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0" yWindow="0" windowWidth="24760" windowHeight="15600" tabRatio="500" activeTab="4"/>
  </bookViews>
  <sheets>
    <sheet name="Samples" sheetId="2" r:id="rId1"/>
    <sheet name="Assay" sheetId="4" r:id="rId2"/>
    <sheet name="qPCR results 7.12.16" sheetId="6" r:id="rId3"/>
    <sheet name="qpcr Melt 7.12.16" sheetId="5" r:id="rId4"/>
    <sheet name="Qpcr Validation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6" l="1"/>
  <c r="I38" i="6"/>
  <c r="I41" i="6"/>
  <c r="I32" i="6"/>
  <c r="M35" i="6"/>
  <c r="M34" i="6"/>
  <c r="M33" i="6"/>
  <c r="M32" i="6"/>
  <c r="M31" i="6"/>
  <c r="M30" i="6"/>
  <c r="K30" i="6"/>
  <c r="K31" i="6"/>
  <c r="L31" i="6"/>
  <c r="K32" i="6"/>
  <c r="L32" i="6"/>
  <c r="K33" i="6"/>
  <c r="L33" i="6"/>
  <c r="K34" i="6"/>
  <c r="L34" i="6"/>
  <c r="K35" i="6"/>
  <c r="L35" i="6"/>
  <c r="L30" i="6"/>
  <c r="E33" i="2"/>
  <c r="D33" i="2"/>
  <c r="E74" i="6"/>
  <c r="E77" i="6"/>
  <c r="E80" i="6"/>
  <c r="E83" i="6"/>
  <c r="E86" i="6"/>
  <c r="E89" i="6"/>
  <c r="E92" i="6"/>
  <c r="E95" i="6"/>
  <c r="O7" i="6"/>
  <c r="O6" i="6"/>
  <c r="O5" i="6"/>
  <c r="O4" i="6"/>
  <c r="E44" i="6"/>
  <c r="N2" i="6"/>
  <c r="O3" i="6"/>
  <c r="N9" i="6"/>
  <c r="N8" i="6"/>
  <c r="M2" i="6"/>
  <c r="M3" i="6"/>
  <c r="M4" i="6"/>
  <c r="M5" i="6"/>
  <c r="M6" i="6"/>
  <c r="M7" i="6"/>
  <c r="E5" i="6"/>
  <c r="E8" i="6"/>
  <c r="E11" i="6"/>
  <c r="E17" i="6"/>
  <c r="E20" i="6"/>
  <c r="E23" i="6"/>
  <c r="E26" i="6"/>
  <c r="E29" i="6"/>
  <c r="E32" i="6"/>
  <c r="E35" i="6"/>
  <c r="E38" i="6"/>
  <c r="E41" i="6"/>
  <c r="E47" i="6"/>
  <c r="E50" i="6"/>
  <c r="E53" i="6"/>
  <c r="E56" i="6"/>
  <c r="E59" i="6"/>
  <c r="E62" i="6"/>
  <c r="E65" i="6"/>
  <c r="E68" i="6"/>
  <c r="E71" i="6"/>
  <c r="E2" i="6"/>
  <c r="C21" i="4"/>
  <c r="C20" i="4"/>
  <c r="E16" i="4"/>
  <c r="C15" i="4"/>
  <c r="K15" i="4"/>
  <c r="M15" i="4"/>
  <c r="N15" i="4"/>
  <c r="P15" i="4"/>
  <c r="K16" i="4"/>
  <c r="M16" i="4"/>
  <c r="N16" i="4"/>
  <c r="P16" i="4"/>
  <c r="K17" i="4"/>
  <c r="M17" i="4"/>
  <c r="N17" i="4"/>
  <c r="P17" i="4"/>
  <c r="K18" i="4"/>
  <c r="M18" i="4"/>
  <c r="N18" i="4"/>
  <c r="P18" i="4"/>
  <c r="K19" i="4"/>
  <c r="M19" i="4"/>
  <c r="N19" i="4"/>
  <c r="P19" i="4"/>
  <c r="K20" i="4"/>
  <c r="M20" i="4"/>
  <c r="N20" i="4"/>
  <c r="P20" i="4"/>
  <c r="M21" i="4"/>
  <c r="N21" i="4"/>
  <c r="P21" i="4"/>
  <c r="K22" i="4"/>
  <c r="M22" i="4"/>
  <c r="N22" i="4"/>
  <c r="P22" i="4"/>
  <c r="M23" i="4"/>
  <c r="N23" i="4"/>
  <c r="P23" i="4"/>
  <c r="K24" i="4"/>
  <c r="M24" i="4"/>
  <c r="N24" i="4"/>
  <c r="P24" i="4"/>
  <c r="M25" i="4"/>
  <c r="N25" i="4"/>
  <c r="P25" i="4"/>
  <c r="K26" i="4"/>
  <c r="M26" i="4"/>
  <c r="N26" i="4"/>
  <c r="P26" i="4"/>
  <c r="K27" i="4"/>
  <c r="M27" i="4"/>
  <c r="N27" i="4"/>
  <c r="P27" i="4"/>
  <c r="K14" i="4"/>
  <c r="M14" i="4"/>
  <c r="N14" i="4"/>
  <c r="P14" i="4"/>
  <c r="D14" i="4"/>
  <c r="C18" i="4"/>
  <c r="E15" i="4"/>
  <c r="E14" i="4"/>
  <c r="D30" i="2"/>
  <c r="E30" i="2"/>
  <c r="D27" i="2"/>
  <c r="E27" i="2"/>
  <c r="D24" i="2"/>
  <c r="E24" i="2"/>
  <c r="D16" i="2"/>
  <c r="D17" i="2"/>
  <c r="D18" i="2"/>
  <c r="D19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4" i="2"/>
  <c r="C3" i="2"/>
  <c r="C2" i="2"/>
  <c r="E14" i="6"/>
</calcChain>
</file>

<file path=xl/sharedStrings.xml><?xml version="1.0" encoding="utf-8"?>
<sst xmlns="http://schemas.openxmlformats.org/spreadsheetml/2006/main" count="1117" uniqueCount="241">
  <si>
    <t>A</t>
  </si>
  <si>
    <t>B</t>
  </si>
  <si>
    <t>C</t>
  </si>
  <si>
    <t>D</t>
  </si>
  <si>
    <t>E</t>
  </si>
  <si>
    <t>F</t>
  </si>
  <si>
    <t>G</t>
  </si>
  <si>
    <t>H</t>
  </si>
  <si>
    <t>VPI DNA 10^-1</t>
  </si>
  <si>
    <t>VPI DNA 10^-2</t>
  </si>
  <si>
    <t>VPI DNA 10^-3</t>
  </si>
  <si>
    <t>VPI DNA 10^-4</t>
  </si>
  <si>
    <t>VPI DNA 10^-5</t>
  </si>
  <si>
    <t>VPI DNA 10^-6</t>
  </si>
  <si>
    <t>NTC</t>
  </si>
  <si>
    <t>630 DNA 10^-1</t>
  </si>
  <si>
    <t>PRIMERS</t>
  </si>
  <si>
    <t>VPI_DNA_PIN_9</t>
  </si>
  <si>
    <t>Reagent</t>
  </si>
  <si>
    <t xml:space="preserve"> #Rxns </t>
  </si>
  <si>
    <t>Master Mix</t>
  </si>
  <si>
    <t>Amount/rxn(ul)</t>
  </si>
  <si>
    <t>PCR Water</t>
  </si>
  <si>
    <t>DNA</t>
  </si>
  <si>
    <t xml:space="preserve">Total Volume </t>
  </si>
  <si>
    <t>Amout needed</t>
  </si>
  <si>
    <t>Per Well</t>
  </si>
  <si>
    <t>Primer Mix</t>
  </si>
  <si>
    <t>Sample ID</t>
  </si>
  <si>
    <t xml:space="preserve"> Amount of Content Extracted (g)</t>
  </si>
  <si>
    <t>ng/mL (Qubit)</t>
  </si>
  <si>
    <t>ng/uL (Qubit)</t>
  </si>
  <si>
    <t>ng/uL (Nano Drop)</t>
  </si>
  <si>
    <t>630A</t>
  </si>
  <si>
    <t>630B</t>
  </si>
  <si>
    <t>VPIA</t>
  </si>
  <si>
    <t>VPIB</t>
  </si>
  <si>
    <t>NA</t>
  </si>
  <si>
    <t>Strain and Dilution</t>
  </si>
  <si>
    <t>CFU</t>
  </si>
  <si>
    <t>630 A T=6 10^-4</t>
  </si>
  <si>
    <t>TNTC</t>
  </si>
  <si>
    <t>631 A T=6 10^-5</t>
  </si>
  <si>
    <t>632 A T=6 10^-6</t>
  </si>
  <si>
    <t>633 B T=6 10^-4</t>
  </si>
  <si>
    <t>634 B T=6 10^-5</t>
  </si>
  <si>
    <t>635 B T=6 10^-6</t>
  </si>
  <si>
    <t>VPI 10463 A T=6 10^-4</t>
  </si>
  <si>
    <t>VPI 10463 A T=6 10^-5</t>
  </si>
  <si>
    <t>VPI 10463 A T=6 10^-6</t>
  </si>
  <si>
    <t>VPI B T=6 10^-4</t>
  </si>
  <si>
    <t>VPI B T=6 10^-5</t>
  </si>
  <si>
    <t>VPI B T=6 10^-6</t>
  </si>
  <si>
    <t>Position</t>
  </si>
  <si>
    <t>Sample Name</t>
  </si>
  <si>
    <t>Gene Name</t>
  </si>
  <si>
    <t>efficiency</t>
  </si>
  <si>
    <t>VPI DNA Neat</t>
  </si>
  <si>
    <t>Desired [] in well(ng)</t>
  </si>
  <si>
    <t>Neat</t>
  </si>
  <si>
    <t>Dilute</t>
  </si>
  <si>
    <t>Use neat</t>
  </si>
  <si>
    <t>1:5</t>
  </si>
  <si>
    <t>uL</t>
  </si>
  <si>
    <t xml:space="preserve">uL of Sample </t>
  </si>
  <si>
    <t>Master Mix + Primer</t>
  </si>
  <si>
    <t>Total Vol</t>
  </si>
  <si>
    <t>Protocol</t>
  </si>
  <si>
    <t>Thaw reagents</t>
  </si>
  <si>
    <t>Mix 800uL of Master Mix with 80uL of VPI_DNA_PIN_9 Primer</t>
  </si>
  <si>
    <t>Dilute DNA Samples in PCR water</t>
  </si>
  <si>
    <t xml:space="preserve"> </t>
  </si>
  <si>
    <t>the amount each needs to be diluted</t>
  </si>
  <si>
    <t xml:space="preserve">The chart to the right  shows the sample ID </t>
  </si>
  <si>
    <t>For 1:10 dilutions: 10uL sample DNA into 90uL of PCR water</t>
  </si>
  <si>
    <t>For 1:5 dilutions: 10uL into 40uL of PCR water</t>
  </si>
  <si>
    <t>Neat: Use sample undiluted</t>
  </si>
  <si>
    <t>Load the PCR plate</t>
  </si>
  <si>
    <t>Add 11 uL of Master mix + Primer to each well</t>
  </si>
  <si>
    <t>For the standard curve, use the dilutions you made last time load neat --&gt; 10^-6</t>
  </si>
  <si>
    <t>630 DNA 10^-2</t>
  </si>
  <si>
    <t xml:space="preserve">This plate has to be perfect so if you mess up start again. </t>
  </si>
  <si>
    <t xml:space="preserve">Master Mix </t>
  </si>
  <si>
    <t>Amount (ul)</t>
  </si>
  <si>
    <t>For July 12, 2016</t>
  </si>
  <si>
    <t>Add the amount of DNA listed in the column labeled DNA (sheet column M) note that this is  the amount of diluted DNA you should add to each well</t>
  </si>
  <si>
    <t xml:space="preserve">Add PCR water, the amount is listed in the column (N) next to the DNA </t>
  </si>
  <si>
    <t>Group</t>
  </si>
  <si>
    <t>Dye</t>
  </si>
  <si>
    <t>Number</t>
  </si>
  <si>
    <t>A1</t>
  </si>
  <si>
    <t>VPI_DNA_Pin9</t>
  </si>
  <si>
    <t>Negative</t>
  </si>
  <si>
    <t>SYBR Green I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</si>
  <si>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</si>
  <si>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</si>
  <si>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</si>
  <si>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</si>
  <si>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</si>
  <si>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</si>
  <si>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</si>
  <si>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</si>
  <si>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</si>
  <si>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</si>
  <si>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</si>
  <si>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</si>
  <si>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</si>
  <si>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</si>
  <si>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</si>
  <si>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</si>
  <si>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</si>
  <si>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Unknown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</si>
  <si>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</si>
  <si>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</si>
  <si>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</si>
  <si>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</si>
  <si>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</si>
  <si>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</si>
  <si>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</si>
  <si>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</si>
  <si>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</si>
  <si>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</si>
  <si>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</si>
  <si>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</si>
  <si>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</si>
  <si>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Group1</t>
  </si>
  <si>
    <t>C8</t>
  </si>
  <si>
    <t>C9</t>
  </si>
  <si>
    <t>C10</t>
  </si>
  <si>
    <t>Group3</t>
  </si>
  <si>
    <t>C11</t>
  </si>
  <si>
    <t>C12</t>
  </si>
  <si>
    <t>Group2</t>
  </si>
  <si>
    <t>D1</t>
  </si>
  <si>
    <t>D2</t>
  </si>
  <si>
    <t>D3</t>
  </si>
  <si>
    <t>D4</t>
  </si>
  <si>
    <t>D5</t>
  </si>
  <si>
    <t>D6</t>
  </si>
  <si>
    <t>D7</t>
  </si>
  <si>
    <t>VPI_neat</t>
  </si>
  <si>
    <t>D8</t>
  </si>
  <si>
    <t>D9</t>
  </si>
  <si>
    <t>D10</t>
  </si>
  <si>
    <t>VPI_10^-1</t>
  </si>
  <si>
    <t>D11</t>
  </si>
  <si>
    <t>D12</t>
  </si>
  <si>
    <t>E1</t>
  </si>
  <si>
    <t>VPI_10^-2</t>
  </si>
  <si>
    <t>E2</t>
  </si>
  <si>
    <t>E3</t>
  </si>
  <si>
    <t>E4</t>
  </si>
  <si>
    <t>VPI_10^-3</t>
  </si>
  <si>
    <t>E5</t>
  </si>
  <si>
    <t>E6</t>
  </si>
  <si>
    <t>E7</t>
  </si>
  <si>
    <t>VPI_10^-4</t>
  </si>
  <si>
    <t>E8</t>
  </si>
  <si>
    <t>E9</t>
  </si>
  <si>
    <t>E10</t>
  </si>
  <si>
    <t>VPI_10^-5</t>
  </si>
  <si>
    <t>E11</t>
  </si>
  <si>
    <t>E12</t>
  </si>
  <si>
    <t>F1</t>
  </si>
  <si>
    <t>VPI_10^-6</t>
  </si>
  <si>
    <t>F2</t>
  </si>
  <si>
    <t>F3</t>
  </si>
  <si>
    <t>F4</t>
  </si>
  <si>
    <t>F5</t>
  </si>
  <si>
    <t>F6</t>
  </si>
  <si>
    <t>F7</t>
  </si>
  <si>
    <t>630_10^-1</t>
  </si>
  <si>
    <t>F8</t>
  </si>
  <si>
    <t>F9</t>
  </si>
  <si>
    <t>F10</t>
  </si>
  <si>
    <t>630_10^-2</t>
  </si>
  <si>
    <t>F11</t>
  </si>
  <si>
    <t>F12</t>
  </si>
  <si>
    <t>Cq</t>
  </si>
  <si>
    <t>Call</t>
  </si>
  <si>
    <t>Failure</t>
  </si>
  <si>
    <t>-</t>
  </si>
  <si>
    <t>None</t>
  </si>
  <si>
    <t>Positive</t>
  </si>
  <si>
    <t>Replicate group contains positives and negatives.</t>
  </si>
  <si>
    <t>G1</t>
  </si>
  <si>
    <t>Sample 73</t>
  </si>
  <si>
    <t>G2</t>
  </si>
  <si>
    <t>Sample 74</t>
  </si>
  <si>
    <t>G3</t>
  </si>
  <si>
    <t>Sample 75</t>
  </si>
  <si>
    <t>G4</t>
  </si>
  <si>
    <t>Sample 76</t>
  </si>
  <si>
    <t>G5</t>
  </si>
  <si>
    <t>Sample 77</t>
  </si>
  <si>
    <t>G6</t>
  </si>
  <si>
    <t>Sample 78</t>
  </si>
  <si>
    <t>G7</t>
  </si>
  <si>
    <t>Sample 79</t>
  </si>
  <si>
    <t>G8</t>
  </si>
  <si>
    <t>Sample 80</t>
  </si>
  <si>
    <t>G9</t>
  </si>
  <si>
    <t>Sample 81</t>
  </si>
  <si>
    <t>G10</t>
  </si>
  <si>
    <t>Sample 82</t>
  </si>
  <si>
    <t>G11</t>
  </si>
  <si>
    <t>Sample 83</t>
  </si>
  <si>
    <t>G12</t>
  </si>
  <si>
    <t>Sample 84</t>
  </si>
  <si>
    <t>H1</t>
  </si>
  <si>
    <t>Sample 85</t>
  </si>
  <si>
    <t>H2</t>
  </si>
  <si>
    <t>Sample 86</t>
  </si>
  <si>
    <t>H3</t>
  </si>
  <si>
    <t>Sample 87</t>
  </si>
  <si>
    <t>H4</t>
  </si>
  <si>
    <t>Sample 88</t>
  </si>
  <si>
    <t>H5</t>
  </si>
  <si>
    <t>Sample 89</t>
  </si>
  <si>
    <t>H6</t>
  </si>
  <si>
    <t>Sample 90</t>
  </si>
  <si>
    <t>H7</t>
  </si>
  <si>
    <t>Sample 91</t>
  </si>
  <si>
    <t>H8</t>
  </si>
  <si>
    <t>Sample 92</t>
  </si>
  <si>
    <t>H9</t>
  </si>
  <si>
    <t>Sample 93</t>
  </si>
  <si>
    <t>H10</t>
  </si>
  <si>
    <t>Sample 94</t>
  </si>
  <si>
    <t>H11</t>
  </si>
  <si>
    <t>Sample 95</t>
  </si>
  <si>
    <t>H12</t>
  </si>
  <si>
    <t>Sample 96</t>
  </si>
  <si>
    <t>Mean CP</t>
  </si>
  <si>
    <t>Log10 Dilution</t>
  </si>
  <si>
    <t>Mean Cq</t>
  </si>
  <si>
    <t>Melt_Group</t>
  </si>
  <si>
    <t>CT</t>
  </si>
  <si>
    <t>Log10 CFU</t>
  </si>
  <si>
    <t>CFU euqivlents</t>
  </si>
  <si>
    <t>Log10_Dilution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</si>
</sst>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b/>
      <u/>
      <sz val="12"/>
      <color theme="1"/>
      <name val="Calibri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20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2" fontId="0" fillId="7" borderId="0" xfId="0" applyNumberForma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9" fontId="9" fillId="4" borderId="0" xfId="33" applyFont="1" applyFill="1"/>
    <xf numFmtId="166" fontId="9" fillId="4" borderId="0" xfId="0" applyNumberFormat="1" applyFont="1" applyFill="1"/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Percent" xfId="3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25"/>
          <c:y val="0.0740740740740741"/>
          <c:w val="0.626321741032371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2998250218723"/>
                  <c:y val="-0.378218139399242"/>
                </c:manualLayout>
              </c:layout>
              <c:numFmt formatCode="General" sourceLinked="0"/>
            </c:trendlineLbl>
          </c:trendline>
          <c:xVal>
            <c:numRef>
              <c:f>'qPCR results 7.12.16'!$M$2:$M$7</c:f>
              <c:numCache>
                <c:formatCode>General</c:formatCode>
                <c:ptCount val="6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</c:numCache>
            </c:numRef>
          </c:xVal>
          <c:yVal>
            <c:numRef>
              <c:f>'qPCR results 7.12.16'!$N$2:$N$7</c:f>
              <c:numCache>
                <c:formatCode>0.00</c:formatCode>
                <c:ptCount val="6"/>
                <c:pt idx="0">
                  <c:v>12.12666666666667</c:v>
                </c:pt>
                <c:pt idx="1">
                  <c:v>15.57</c:v>
                </c:pt>
                <c:pt idx="2">
                  <c:v>18.89333333333333</c:v>
                </c:pt>
                <c:pt idx="3">
                  <c:v>22.32</c:v>
                </c:pt>
                <c:pt idx="4">
                  <c:v>25.86666666666666</c:v>
                </c:pt>
                <c:pt idx="5">
                  <c:v>27.67333333333334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68008"/>
        <c:axId val="2122471000"/>
      </c:scatterChart>
      <c:valAx>
        <c:axId val="212246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471000"/>
        <c:crosses val="autoZero"/>
        <c:crossBetween val="midCat"/>
      </c:valAx>
      <c:valAx>
        <c:axId val="212247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468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859580052493"/>
                  <c:y val="-0.355069991251094"/>
                </c:manualLayout>
              </c:layout>
              <c:numFmt formatCode="General" sourceLinked="0"/>
            </c:trendlineLbl>
          </c:trendline>
          <c:xVal>
            <c:numRef>
              <c:f>'qPCR results 7.12.16'!$L$30:$L$35</c:f>
              <c:numCache>
                <c:formatCode>0</c:formatCode>
                <c:ptCount val="6"/>
                <c:pt idx="0">
                  <c:v>9.143639235274543</c:v>
                </c:pt>
                <c:pt idx="1">
                  <c:v>8.143639235274543</c:v>
                </c:pt>
                <c:pt idx="2">
                  <c:v>7.143639235274543</c:v>
                </c:pt>
                <c:pt idx="3">
                  <c:v>6.143639235274543</c:v>
                </c:pt>
                <c:pt idx="4">
                  <c:v>5.143639235274543</c:v>
                </c:pt>
                <c:pt idx="5">
                  <c:v>4.143639235274543</c:v>
                </c:pt>
              </c:numCache>
            </c:numRef>
          </c:xVal>
          <c:yVal>
            <c:numRef>
              <c:f>'qPCR results 7.12.16'!$M$30:$M$35</c:f>
              <c:numCache>
                <c:formatCode>0.0</c:formatCode>
                <c:ptCount val="6"/>
                <c:pt idx="0">
                  <c:v>12.12666666666667</c:v>
                </c:pt>
                <c:pt idx="1">
                  <c:v>15.57</c:v>
                </c:pt>
                <c:pt idx="2">
                  <c:v>18.89333333333333</c:v>
                </c:pt>
                <c:pt idx="3">
                  <c:v>22.32</c:v>
                </c:pt>
                <c:pt idx="4">
                  <c:v>25.86666666666666</c:v>
                </c:pt>
                <c:pt idx="5">
                  <c:v>27.67333333333334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1784"/>
        <c:axId val="-2126173016"/>
      </c:scatterChart>
      <c:valAx>
        <c:axId val="212600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Log10 CFU VPI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26173016"/>
        <c:crosses val="autoZero"/>
        <c:crossBetween val="midCat"/>
      </c:valAx>
      <c:valAx>
        <c:axId val="-2126173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26001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9</xdr:row>
      <xdr:rowOff>146050</xdr:rowOff>
    </xdr:from>
    <xdr:to>
      <xdr:col>15</xdr:col>
      <xdr:colOff>723900</xdr:colOff>
      <xdr:row>24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36</xdr:row>
      <xdr:rowOff>88900</xdr:rowOff>
    </xdr:from>
    <xdr:to>
      <xdr:col>15</xdr:col>
      <xdr:colOff>273050</xdr:colOff>
      <xdr:row>50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34" sqref="E34"/>
    </sheetView>
  </sheetViews>
  <sheetFormatPr baseColWidth="10" defaultRowHeight="15" x14ac:dyDescent="0"/>
  <cols>
    <col min="2" max="2" width="28.1640625" bestFit="1" customWidth="1"/>
    <col min="3" max="3" width="12.5" customWidth="1"/>
    <col min="4" max="4" width="12.1640625" bestFit="1" customWidth="1"/>
    <col min="5" max="5" width="16.33203125" bestFit="1" customWidth="1"/>
  </cols>
  <sheetData>
    <row r="1" spans="1: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>
      <c r="A2" s="3">
        <v>1</v>
      </c>
      <c r="B2" s="2">
        <v>7.0499999999999993E-2</v>
      </c>
      <c r="C2" s="2">
        <f>7.38*10^4</f>
        <v>73800</v>
      </c>
      <c r="D2" s="2">
        <f>C2/1000</f>
        <v>73.8</v>
      </c>
      <c r="E2" s="4">
        <v>79.52</v>
      </c>
    </row>
    <row r="3" spans="1:5">
      <c r="A3" s="3">
        <v>2</v>
      </c>
      <c r="B3" s="2">
        <v>0.10059999999999999</v>
      </c>
      <c r="C3" s="2">
        <f>4.97*10^4</f>
        <v>49700</v>
      </c>
      <c r="D3" s="2">
        <f t="shared" ref="D3:D19" si="0">C3/1000</f>
        <v>49.7</v>
      </c>
      <c r="E3" s="4">
        <v>54.83</v>
      </c>
    </row>
    <row r="4" spans="1:5">
      <c r="A4" s="3">
        <v>1900</v>
      </c>
      <c r="B4" s="2">
        <v>5.2600000000000001E-2</v>
      </c>
      <c r="C4" s="2">
        <f>1.76*10^4</f>
        <v>17600</v>
      </c>
      <c r="D4" s="2">
        <f t="shared" si="0"/>
        <v>17.600000000000001</v>
      </c>
      <c r="E4" s="4">
        <v>25.1</v>
      </c>
    </row>
    <row r="5" spans="1:5">
      <c r="A5" s="3">
        <v>1200</v>
      </c>
      <c r="B5" s="2">
        <v>8.5999999999999993E-2</v>
      </c>
      <c r="C5" s="2">
        <f>2.58*10^4</f>
        <v>25800</v>
      </c>
      <c r="D5" s="2">
        <f t="shared" si="0"/>
        <v>25.8</v>
      </c>
      <c r="E5" s="4">
        <v>38.090000000000003</v>
      </c>
    </row>
    <row r="6" spans="1:5">
      <c r="A6" s="3">
        <v>1195</v>
      </c>
      <c r="B6" s="2">
        <v>0.1017</v>
      </c>
      <c r="C6" s="2">
        <f>1.72*10^4</f>
        <v>17200</v>
      </c>
      <c r="D6" s="2">
        <f t="shared" si="0"/>
        <v>17.2</v>
      </c>
      <c r="E6" s="4">
        <v>26.89</v>
      </c>
    </row>
    <row r="7" spans="1:5">
      <c r="A7" s="3">
        <v>1188</v>
      </c>
      <c r="B7" s="2">
        <v>0.1108</v>
      </c>
      <c r="C7" s="2">
        <f>1.8*10^4</f>
        <v>18000</v>
      </c>
      <c r="D7" s="2">
        <f t="shared" si="0"/>
        <v>18</v>
      </c>
      <c r="E7" s="4">
        <v>25.27</v>
      </c>
    </row>
    <row r="8" spans="1:5">
      <c r="A8" s="3">
        <v>3080</v>
      </c>
      <c r="B8" s="2">
        <v>6.4999999999999997E-3</v>
      </c>
      <c r="C8" s="2">
        <f>2.48*10^4</f>
        <v>24800</v>
      </c>
      <c r="D8" s="2">
        <f t="shared" si="0"/>
        <v>24.8</v>
      </c>
      <c r="E8" s="4">
        <v>28.65</v>
      </c>
    </row>
    <row r="9" spans="1:5">
      <c r="A9" s="3">
        <v>3040</v>
      </c>
      <c r="B9" s="2">
        <v>5.1900000000000002E-2</v>
      </c>
      <c r="C9" s="2">
        <f>1.23*10^4</f>
        <v>12300</v>
      </c>
      <c r="D9" s="2">
        <f t="shared" si="0"/>
        <v>12.3</v>
      </c>
      <c r="E9" s="4">
        <v>17.82</v>
      </c>
    </row>
    <row r="10" spans="1:5">
      <c r="A10" s="3">
        <v>3095</v>
      </c>
      <c r="B10" s="2">
        <v>6.3E-2</v>
      </c>
      <c r="C10" s="2">
        <f>4.5*10^4</f>
        <v>45000</v>
      </c>
      <c r="D10" s="2">
        <f t="shared" si="0"/>
        <v>45</v>
      </c>
      <c r="E10" s="4">
        <v>54.11</v>
      </c>
    </row>
    <row r="11" spans="1:5">
      <c r="A11" s="3">
        <v>3093</v>
      </c>
      <c r="B11" s="2">
        <v>0.12989999999999999</v>
      </c>
      <c r="C11" s="2">
        <f>5.56*10^3</f>
        <v>5560</v>
      </c>
      <c r="D11" s="2">
        <f t="shared" si="0"/>
        <v>5.56</v>
      </c>
      <c r="E11" s="4">
        <v>9.73</v>
      </c>
    </row>
    <row r="12" spans="1:5">
      <c r="A12" s="3">
        <v>3078</v>
      </c>
      <c r="B12" s="2">
        <v>4.9299999999999997E-2</v>
      </c>
      <c r="C12" s="2">
        <f>5.5*10^4</f>
        <v>55000</v>
      </c>
      <c r="D12" s="2">
        <f t="shared" si="0"/>
        <v>55</v>
      </c>
      <c r="E12" s="4">
        <v>60.2</v>
      </c>
    </row>
    <row r="13" spans="1:5">
      <c r="A13" s="3">
        <v>3088</v>
      </c>
      <c r="B13" s="2">
        <v>0.35070000000000001</v>
      </c>
      <c r="C13" s="2">
        <f>1.05*10^4</f>
        <v>10500</v>
      </c>
      <c r="D13" s="2">
        <f t="shared" si="0"/>
        <v>10.5</v>
      </c>
      <c r="E13" s="4">
        <v>17.239999999999998</v>
      </c>
    </row>
    <row r="14" spans="1:5">
      <c r="A14" s="3">
        <v>3094</v>
      </c>
      <c r="B14" s="2">
        <v>4.9799999999999997E-2</v>
      </c>
      <c r="C14" s="2">
        <f>5.8*10^4</f>
        <v>58000</v>
      </c>
      <c r="D14" s="2">
        <f t="shared" si="0"/>
        <v>58</v>
      </c>
      <c r="E14" s="4">
        <v>102.23</v>
      </c>
    </row>
    <row r="15" spans="1:5">
      <c r="A15" s="3">
        <v>3096</v>
      </c>
      <c r="B15" s="2">
        <v>3.8399999999999997E-2</v>
      </c>
      <c r="C15" s="2">
        <f>3.74*10^4</f>
        <v>37400</v>
      </c>
      <c r="D15" s="2">
        <f t="shared" si="0"/>
        <v>37.4</v>
      </c>
      <c r="E15" s="4">
        <v>42.48</v>
      </c>
    </row>
    <row r="16" spans="1:5">
      <c r="A16" s="13" t="s">
        <v>33</v>
      </c>
      <c r="B16" s="14" t="s">
        <v>37</v>
      </c>
      <c r="C16" s="14">
        <f>2.54*10^4</f>
        <v>25400</v>
      </c>
      <c r="D16" s="14">
        <f t="shared" si="0"/>
        <v>25.4</v>
      </c>
      <c r="E16" s="15">
        <v>22.99</v>
      </c>
    </row>
    <row r="17" spans="1:5">
      <c r="A17" s="3" t="s">
        <v>34</v>
      </c>
      <c r="B17" s="2" t="s">
        <v>37</v>
      </c>
      <c r="C17" s="2">
        <f>1.35*10^4</f>
        <v>13500</v>
      </c>
      <c r="D17" s="2">
        <f t="shared" si="0"/>
        <v>13.5</v>
      </c>
      <c r="E17" s="4">
        <v>19.25</v>
      </c>
    </row>
    <row r="18" spans="1:5">
      <c r="A18" s="3" t="s">
        <v>35</v>
      </c>
      <c r="B18" s="2" t="s">
        <v>37</v>
      </c>
      <c r="C18" s="2">
        <f>6.7*10^3</f>
        <v>6700</v>
      </c>
      <c r="D18" s="2">
        <f t="shared" si="0"/>
        <v>6.7</v>
      </c>
      <c r="E18" s="4">
        <v>10.76</v>
      </c>
    </row>
    <row r="19" spans="1:5">
      <c r="A19" s="13" t="s">
        <v>36</v>
      </c>
      <c r="B19" s="14" t="s">
        <v>37</v>
      </c>
      <c r="C19" s="14">
        <f>8.2*10^3</f>
        <v>8200</v>
      </c>
      <c r="D19" s="14">
        <f t="shared" si="0"/>
        <v>8.1999999999999993</v>
      </c>
      <c r="E19" s="15">
        <v>12.82</v>
      </c>
    </row>
    <row r="22" spans="1:5" ht="16" thickBot="1">
      <c r="B22" s="5" t="s">
        <v>38</v>
      </c>
      <c r="C22" s="5" t="s">
        <v>39</v>
      </c>
    </row>
    <row r="23" spans="1:5">
      <c r="B23" s="6" t="s">
        <v>40</v>
      </c>
      <c r="C23" s="7" t="s">
        <v>41</v>
      </c>
    </row>
    <row r="24" spans="1:5">
      <c r="B24" s="8" t="s">
        <v>42</v>
      </c>
      <c r="C24" s="9">
        <v>42</v>
      </c>
      <c r="D24">
        <f>42*10^5*10</f>
        <v>42000000</v>
      </c>
      <c r="E24" s="10">
        <f>D24*12</f>
        <v>504000000</v>
      </c>
    </row>
    <row r="25" spans="1:5" ht="16" thickBot="1">
      <c r="B25" s="11" t="s">
        <v>43</v>
      </c>
      <c r="C25" s="12">
        <v>2</v>
      </c>
    </row>
    <row r="26" spans="1:5">
      <c r="B26" s="6" t="s">
        <v>44</v>
      </c>
      <c r="C26" s="7">
        <v>228</v>
      </c>
    </row>
    <row r="27" spans="1:5">
      <c r="B27" s="8" t="s">
        <v>45</v>
      </c>
      <c r="C27" s="9">
        <v>35</v>
      </c>
      <c r="D27">
        <f>C27*10^5*10</f>
        <v>35000000</v>
      </c>
      <c r="E27" s="10">
        <f>D27*12</f>
        <v>420000000</v>
      </c>
    </row>
    <row r="28" spans="1:5" ht="16" thickBot="1">
      <c r="B28" s="11" t="s">
        <v>46</v>
      </c>
      <c r="C28" s="12">
        <v>0</v>
      </c>
    </row>
    <row r="29" spans="1:5">
      <c r="B29" s="6" t="s">
        <v>47</v>
      </c>
      <c r="C29" s="7" t="s">
        <v>41</v>
      </c>
    </row>
    <row r="30" spans="1:5">
      <c r="B30" s="8" t="s">
        <v>48</v>
      </c>
      <c r="C30" s="9">
        <v>88</v>
      </c>
      <c r="D30">
        <f>C30*10^5*10</f>
        <v>88000000</v>
      </c>
      <c r="E30" s="10">
        <f>D30*12</f>
        <v>1056000000</v>
      </c>
    </row>
    <row r="31" spans="1:5" ht="16" thickBot="1">
      <c r="B31" s="11" t="s">
        <v>49</v>
      </c>
      <c r="C31" s="12">
        <v>11</v>
      </c>
    </row>
    <row r="32" spans="1:5">
      <c r="B32" s="6" t="s">
        <v>50</v>
      </c>
      <c r="C32" s="7" t="s">
        <v>41</v>
      </c>
    </row>
    <row r="33" spans="2:5">
      <c r="B33" s="8" t="s">
        <v>51</v>
      </c>
      <c r="C33" s="9">
        <v>116</v>
      </c>
      <c r="D33">
        <f>C33*10^5*10</f>
        <v>116000000</v>
      </c>
      <c r="E33" s="10">
        <f>D33*12</f>
        <v>1392000000</v>
      </c>
    </row>
    <row r="34" spans="2:5" ht="16" thickBot="1">
      <c r="B34" s="11" t="s">
        <v>52</v>
      </c>
      <c r="C34" s="12">
        <v>14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9"/>
  <sheetViews>
    <sheetView topLeftCell="A7" workbookViewId="0">
      <selection activeCell="I14" sqref="I14:J28"/>
    </sheetView>
  </sheetViews>
  <sheetFormatPr baseColWidth="10" defaultRowHeight="15" x14ac:dyDescent="0"/>
  <cols>
    <col min="1" max="1" width="2.5" bestFit="1" customWidth="1"/>
    <col min="2" max="2" width="13.33203125" bestFit="1" customWidth="1"/>
    <col min="9" max="9" width="12.5" bestFit="1" customWidth="1"/>
    <col min="10" max="10" width="12" customWidth="1"/>
  </cols>
  <sheetData>
    <row r="1" spans="1:16">
      <c r="B1" t="s">
        <v>84</v>
      </c>
    </row>
    <row r="2" spans="1:16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O2" t="s">
        <v>16</v>
      </c>
    </row>
    <row r="3" spans="1:16">
      <c r="A3" s="1" t="s">
        <v>0</v>
      </c>
      <c r="B3" s="47">
        <v>1</v>
      </c>
      <c r="C3" s="47"/>
      <c r="D3" s="47"/>
      <c r="E3" s="47">
        <v>2</v>
      </c>
      <c r="F3" s="47"/>
      <c r="G3" s="47"/>
      <c r="H3" s="47">
        <v>1900</v>
      </c>
      <c r="I3" s="47"/>
      <c r="J3" s="47"/>
      <c r="K3" s="47">
        <v>1200</v>
      </c>
      <c r="L3" s="47"/>
      <c r="M3" s="47"/>
    </row>
    <row r="4" spans="1:16">
      <c r="A4" s="1" t="s">
        <v>1</v>
      </c>
      <c r="B4" s="47">
        <v>1195</v>
      </c>
      <c r="C4" s="47"/>
      <c r="D4" s="47"/>
      <c r="E4" s="47">
        <v>1188</v>
      </c>
      <c r="F4" s="47"/>
      <c r="G4" s="47"/>
      <c r="H4" s="47">
        <v>3080</v>
      </c>
      <c r="I4" s="47"/>
      <c r="J4" s="47"/>
      <c r="K4" s="47">
        <v>3040</v>
      </c>
      <c r="L4" s="47"/>
      <c r="M4" s="47"/>
      <c r="O4" s="48" t="s">
        <v>17</v>
      </c>
      <c r="P4" s="48"/>
    </row>
    <row r="5" spans="1:16">
      <c r="A5" s="1" t="s">
        <v>2</v>
      </c>
      <c r="B5" s="47">
        <v>3095</v>
      </c>
      <c r="C5" s="47"/>
      <c r="D5" s="47"/>
      <c r="E5" s="47">
        <v>3093</v>
      </c>
      <c r="F5" s="47"/>
      <c r="G5" s="47"/>
      <c r="H5" s="47">
        <v>3078</v>
      </c>
      <c r="I5" s="47"/>
      <c r="J5" s="47"/>
      <c r="K5" s="47">
        <v>3088</v>
      </c>
      <c r="L5" s="47"/>
      <c r="M5" s="47"/>
    </row>
    <row r="6" spans="1:16">
      <c r="A6" s="1" t="s">
        <v>3</v>
      </c>
      <c r="B6" s="47">
        <v>3094</v>
      </c>
      <c r="C6" s="47"/>
      <c r="D6" s="47"/>
      <c r="E6" s="47">
        <v>3096</v>
      </c>
      <c r="F6" s="47"/>
      <c r="G6" s="47"/>
      <c r="H6" s="47" t="s">
        <v>57</v>
      </c>
      <c r="I6" s="47"/>
      <c r="J6" s="47"/>
      <c r="K6" s="47" t="s">
        <v>8</v>
      </c>
      <c r="L6" s="47"/>
      <c r="M6" s="47"/>
    </row>
    <row r="7" spans="1:16">
      <c r="A7" s="1" t="s">
        <v>4</v>
      </c>
      <c r="B7" s="47" t="s">
        <v>9</v>
      </c>
      <c r="C7" s="47"/>
      <c r="D7" s="47"/>
      <c r="E7" s="47" t="s">
        <v>10</v>
      </c>
      <c r="F7" s="47"/>
      <c r="G7" s="47"/>
      <c r="H7" s="47" t="s">
        <v>11</v>
      </c>
      <c r="I7" s="47"/>
      <c r="J7" s="47"/>
      <c r="K7" s="47" t="s">
        <v>12</v>
      </c>
      <c r="L7" s="47"/>
      <c r="M7" s="47"/>
    </row>
    <row r="8" spans="1:16">
      <c r="A8" s="1" t="s">
        <v>5</v>
      </c>
      <c r="B8" s="47" t="s">
        <v>13</v>
      </c>
      <c r="C8" s="47"/>
      <c r="D8" s="47"/>
      <c r="E8" s="47" t="s">
        <v>14</v>
      </c>
      <c r="F8" s="47"/>
      <c r="G8" s="47"/>
      <c r="H8" s="47" t="s">
        <v>15</v>
      </c>
      <c r="I8" s="47"/>
      <c r="J8" s="47"/>
      <c r="K8" s="47" t="s">
        <v>80</v>
      </c>
      <c r="L8" s="47"/>
      <c r="M8" s="47"/>
    </row>
    <row r="9" spans="1:16">
      <c r="A9" s="1" t="s">
        <v>6</v>
      </c>
      <c r="B9" s="44"/>
      <c r="C9" s="45"/>
      <c r="D9" s="46"/>
      <c r="E9" s="44"/>
      <c r="F9" s="45"/>
      <c r="G9" s="46"/>
      <c r="H9" s="44"/>
      <c r="I9" s="45"/>
      <c r="J9" s="46"/>
      <c r="K9" s="44"/>
      <c r="L9" s="45"/>
      <c r="M9" s="46"/>
    </row>
    <row r="10" spans="1:16">
      <c r="A10" s="1" t="s">
        <v>7</v>
      </c>
      <c r="B10" s="44"/>
      <c r="C10" s="45"/>
      <c r="D10" s="46"/>
      <c r="E10" s="44"/>
      <c r="F10" s="45"/>
      <c r="G10" s="46"/>
      <c r="H10" s="44"/>
      <c r="I10" s="45"/>
      <c r="J10" s="46"/>
      <c r="K10" s="44"/>
      <c r="L10" s="45"/>
      <c r="M10" s="46"/>
    </row>
    <row r="12" spans="1:16" ht="30">
      <c r="B12" s="19" t="s">
        <v>26</v>
      </c>
      <c r="C12" s="18"/>
      <c r="D12" s="18"/>
      <c r="E12" s="18"/>
      <c r="I12" s="16" t="s">
        <v>59</v>
      </c>
      <c r="M12" s="28" t="s">
        <v>23</v>
      </c>
      <c r="N12" s="28" t="s">
        <v>22</v>
      </c>
      <c r="O12" s="29" t="s">
        <v>65</v>
      </c>
      <c r="P12" s="28" t="s">
        <v>66</v>
      </c>
    </row>
    <row r="13" spans="1:16" s="18" customFormat="1" ht="30">
      <c r="B13" s="1" t="s">
        <v>18</v>
      </c>
      <c r="C13" s="1" t="s">
        <v>21</v>
      </c>
      <c r="D13" s="1" t="s">
        <v>19</v>
      </c>
      <c r="E13" s="1" t="s">
        <v>25</v>
      </c>
      <c r="H13" s="3" t="s">
        <v>28</v>
      </c>
      <c r="I13" s="20" t="s">
        <v>31</v>
      </c>
      <c r="J13" s="21" t="s">
        <v>60</v>
      </c>
      <c r="K13" s="21" t="s">
        <v>31</v>
      </c>
      <c r="L13" s="17" t="s">
        <v>58</v>
      </c>
      <c r="M13" s="29" t="s">
        <v>64</v>
      </c>
      <c r="N13" s="28" t="s">
        <v>63</v>
      </c>
      <c r="O13" s="28" t="s">
        <v>63</v>
      </c>
      <c r="P13" s="28" t="s">
        <v>63</v>
      </c>
    </row>
    <row r="14" spans="1:16">
      <c r="B14" t="s">
        <v>20</v>
      </c>
      <c r="C14">
        <v>10</v>
      </c>
      <c r="D14">
        <f>80</f>
        <v>80</v>
      </c>
      <c r="E14">
        <f>C14*D14</f>
        <v>800</v>
      </c>
      <c r="H14" s="22">
        <v>1</v>
      </c>
      <c r="I14" s="23">
        <v>73.8</v>
      </c>
      <c r="J14" s="24">
        <v>4.8611111111111112E-2</v>
      </c>
      <c r="K14" s="2">
        <f>I14/10</f>
        <v>7.38</v>
      </c>
      <c r="L14" s="2">
        <v>20</v>
      </c>
      <c r="M14" s="30">
        <f>((20/20)*20)/K14</f>
        <v>2.7100271002710028</v>
      </c>
      <c r="N14" s="31">
        <f t="shared" ref="N14:N27" si="0">7-(M14-$C$17)</f>
        <v>6.2899728997289976</v>
      </c>
      <c r="O14" s="32">
        <v>11</v>
      </c>
      <c r="P14" s="31">
        <f>SUM(M14:O14)</f>
        <v>20</v>
      </c>
    </row>
    <row r="15" spans="1:16">
      <c r="B15" t="s">
        <v>22</v>
      </c>
      <c r="C15">
        <f>20-SUM(C14+C16+C17)</f>
        <v>7</v>
      </c>
      <c r="D15">
        <v>80</v>
      </c>
      <c r="E15">
        <f t="shared" ref="E15" si="1">C15*D15</f>
        <v>560</v>
      </c>
      <c r="H15" s="22">
        <v>2</v>
      </c>
      <c r="I15" s="23">
        <v>49.7</v>
      </c>
      <c r="J15" s="24">
        <v>4.8611111111111112E-2</v>
      </c>
      <c r="K15" s="2">
        <f>I15/10</f>
        <v>4.9700000000000006</v>
      </c>
      <c r="L15" s="2">
        <v>20</v>
      </c>
      <c r="M15" s="30">
        <f>((20/20)*20)/K15</f>
        <v>4.0241448692152915</v>
      </c>
      <c r="N15" s="31">
        <f t="shared" si="0"/>
        <v>4.9758551307847085</v>
      </c>
      <c r="O15" s="32">
        <v>11</v>
      </c>
      <c r="P15" s="31">
        <f t="shared" ref="P15:P27" si="2">SUM(M15:O15)</f>
        <v>20</v>
      </c>
    </row>
    <row r="16" spans="1:16">
      <c r="B16" t="s">
        <v>27</v>
      </c>
      <c r="C16">
        <v>1</v>
      </c>
      <c r="D16">
        <v>80</v>
      </c>
      <c r="E16">
        <f>C16*D16</f>
        <v>80</v>
      </c>
      <c r="H16" s="22">
        <v>1900</v>
      </c>
      <c r="I16" s="23">
        <v>17.600000000000001</v>
      </c>
      <c r="J16" s="25" t="s">
        <v>62</v>
      </c>
      <c r="K16" s="2">
        <f>I16/5</f>
        <v>3.5200000000000005</v>
      </c>
      <c r="L16" s="2">
        <v>20</v>
      </c>
      <c r="M16" s="30">
        <f>((20/20)*20)/K16</f>
        <v>5.6818181818181808</v>
      </c>
      <c r="N16" s="31">
        <f t="shared" si="0"/>
        <v>3.3181818181818192</v>
      </c>
      <c r="O16" s="32">
        <v>11</v>
      </c>
      <c r="P16" s="31">
        <f t="shared" si="2"/>
        <v>20</v>
      </c>
    </row>
    <row r="17" spans="1:16">
      <c r="B17" t="s">
        <v>23</v>
      </c>
      <c r="C17">
        <v>2</v>
      </c>
      <c r="H17" s="22">
        <v>1200</v>
      </c>
      <c r="I17" s="23">
        <v>25.8</v>
      </c>
      <c r="J17" s="25" t="s">
        <v>62</v>
      </c>
      <c r="K17" s="2">
        <f>I17/5</f>
        <v>5.16</v>
      </c>
      <c r="L17" s="2">
        <v>20</v>
      </c>
      <c r="M17" s="30">
        <f>((20/20)*20)/K17</f>
        <v>3.8759689922480618</v>
      </c>
      <c r="N17" s="31">
        <f t="shared" si="0"/>
        <v>5.1240310077519382</v>
      </c>
      <c r="O17" s="32">
        <v>11</v>
      </c>
      <c r="P17" s="31">
        <f t="shared" si="2"/>
        <v>20</v>
      </c>
    </row>
    <row r="18" spans="1:16">
      <c r="B18" t="s">
        <v>24</v>
      </c>
      <c r="C18">
        <f>SUM(C14:C17)</f>
        <v>20</v>
      </c>
      <c r="H18" s="22">
        <v>1195</v>
      </c>
      <c r="I18" s="23">
        <v>17.2</v>
      </c>
      <c r="J18" s="25" t="s">
        <v>62</v>
      </c>
      <c r="K18" s="2">
        <f t="shared" ref="K18:K20" si="3">I18/5</f>
        <v>3.44</v>
      </c>
      <c r="L18" s="2">
        <v>20</v>
      </c>
      <c r="M18" s="30">
        <f t="shared" ref="M18:M20" si="4">((20/20)*20)/K18</f>
        <v>5.8139534883720927</v>
      </c>
      <c r="N18" s="31">
        <f t="shared" si="0"/>
        <v>3.1860465116279073</v>
      </c>
      <c r="O18" s="32">
        <v>11</v>
      </c>
      <c r="P18" s="31">
        <f t="shared" si="2"/>
        <v>20</v>
      </c>
    </row>
    <row r="19" spans="1:16">
      <c r="B19" s="1"/>
      <c r="C19" s="1" t="s">
        <v>83</v>
      </c>
      <c r="H19" s="22">
        <v>1188</v>
      </c>
      <c r="I19" s="23">
        <v>18</v>
      </c>
      <c r="J19" s="25" t="s">
        <v>62</v>
      </c>
      <c r="K19" s="2">
        <f t="shared" si="3"/>
        <v>3.6</v>
      </c>
      <c r="L19" s="2">
        <v>20</v>
      </c>
      <c r="M19" s="30">
        <f t="shared" si="4"/>
        <v>5.5555555555555554</v>
      </c>
      <c r="N19" s="31">
        <f t="shared" si="0"/>
        <v>3.4444444444444446</v>
      </c>
      <c r="O19" s="32">
        <v>11</v>
      </c>
      <c r="P19" s="31">
        <f t="shared" si="2"/>
        <v>20</v>
      </c>
    </row>
    <row r="20" spans="1:16">
      <c r="B20" s="1" t="s">
        <v>82</v>
      </c>
      <c r="C20" s="1">
        <f>E14</f>
        <v>800</v>
      </c>
      <c r="H20" s="22">
        <v>3080</v>
      </c>
      <c r="I20" s="23">
        <v>24.8</v>
      </c>
      <c r="J20" s="25" t="s">
        <v>62</v>
      </c>
      <c r="K20" s="2">
        <f t="shared" si="3"/>
        <v>4.96</v>
      </c>
      <c r="L20" s="2">
        <v>20</v>
      </c>
      <c r="M20" s="30">
        <f t="shared" si="4"/>
        <v>4.032258064516129</v>
      </c>
      <c r="N20" s="31">
        <f t="shared" si="0"/>
        <v>4.967741935483871</v>
      </c>
      <c r="O20" s="32">
        <v>11</v>
      </c>
      <c r="P20" s="31">
        <f t="shared" si="2"/>
        <v>20</v>
      </c>
    </row>
    <row r="21" spans="1:16">
      <c r="B21" s="1" t="s">
        <v>27</v>
      </c>
      <c r="C21" s="1">
        <f>E16</f>
        <v>80</v>
      </c>
      <c r="H21" s="22">
        <v>3040</v>
      </c>
      <c r="I21" s="23">
        <v>12.3</v>
      </c>
      <c r="J21" s="26" t="s">
        <v>61</v>
      </c>
      <c r="K21" s="2" t="s">
        <v>37</v>
      </c>
      <c r="L21" s="2">
        <v>20</v>
      </c>
      <c r="M21" s="30">
        <f>((20/20)*20)/Assay!I21</f>
        <v>1.6260162601626016</v>
      </c>
      <c r="N21" s="31">
        <f t="shared" si="0"/>
        <v>7.3739837398373984</v>
      </c>
      <c r="O21" s="32">
        <v>11</v>
      </c>
      <c r="P21" s="31">
        <f t="shared" si="2"/>
        <v>20</v>
      </c>
    </row>
    <row r="22" spans="1:16">
      <c r="H22" s="22">
        <v>3095</v>
      </c>
      <c r="I22" s="23">
        <v>45</v>
      </c>
      <c r="J22" s="24">
        <v>4.8611111111111112E-2</v>
      </c>
      <c r="K22" s="2">
        <f t="shared" ref="K22" si="5">I22/10</f>
        <v>4.5</v>
      </c>
      <c r="L22" s="2">
        <v>20</v>
      </c>
      <c r="M22" s="30">
        <f>((20/20)*20)/K22</f>
        <v>4.4444444444444446</v>
      </c>
      <c r="N22" s="31">
        <f t="shared" si="0"/>
        <v>4.5555555555555554</v>
      </c>
      <c r="O22" s="32">
        <v>11</v>
      </c>
      <c r="P22" s="31">
        <f t="shared" si="2"/>
        <v>20</v>
      </c>
    </row>
    <row r="23" spans="1:16">
      <c r="B23" s="1" t="s">
        <v>67</v>
      </c>
      <c r="H23" s="22">
        <v>3093</v>
      </c>
      <c r="I23" s="23">
        <v>5.56</v>
      </c>
      <c r="J23" s="26" t="s">
        <v>61</v>
      </c>
      <c r="K23" s="2"/>
      <c r="L23" s="2">
        <v>20</v>
      </c>
      <c r="M23" s="30">
        <f>((20/20)*20)/Assay!I23</f>
        <v>3.5971223021582737</v>
      </c>
      <c r="N23" s="31">
        <f t="shared" si="0"/>
        <v>5.4028776978417259</v>
      </c>
      <c r="O23" s="32">
        <v>11</v>
      </c>
      <c r="P23" s="31">
        <f t="shared" si="2"/>
        <v>20</v>
      </c>
    </row>
    <row r="24" spans="1:16">
      <c r="A24">
        <v>1</v>
      </c>
      <c r="B24" t="s">
        <v>68</v>
      </c>
      <c r="H24" s="22">
        <v>3078</v>
      </c>
      <c r="I24" s="23">
        <v>55</v>
      </c>
      <c r="J24" s="24">
        <v>4.8611111111111112E-2</v>
      </c>
      <c r="K24" s="2">
        <f>I24/10</f>
        <v>5.5</v>
      </c>
      <c r="L24" s="2">
        <v>20</v>
      </c>
      <c r="M24" s="30">
        <f>((20/20)*20)/K24</f>
        <v>3.6363636363636362</v>
      </c>
      <c r="N24" s="31">
        <f t="shared" si="0"/>
        <v>5.3636363636363633</v>
      </c>
      <c r="O24" s="33">
        <v>11</v>
      </c>
      <c r="P24" s="31">
        <f t="shared" si="2"/>
        <v>20</v>
      </c>
    </row>
    <row r="25" spans="1:16">
      <c r="A25">
        <v>2</v>
      </c>
      <c r="B25" t="s">
        <v>69</v>
      </c>
      <c r="H25" s="22">
        <v>3088</v>
      </c>
      <c r="I25" s="23">
        <v>10.5</v>
      </c>
      <c r="J25" s="26" t="s">
        <v>61</v>
      </c>
      <c r="K25" s="2" t="s">
        <v>37</v>
      </c>
      <c r="L25" s="2">
        <v>20</v>
      </c>
      <c r="M25" s="30">
        <f>((20/20)*20)/Assay!I25</f>
        <v>1.9047619047619047</v>
      </c>
      <c r="N25" s="31">
        <f t="shared" si="0"/>
        <v>7.0952380952380949</v>
      </c>
      <c r="O25" s="32">
        <v>11</v>
      </c>
      <c r="P25" s="31">
        <f t="shared" si="2"/>
        <v>20</v>
      </c>
    </row>
    <row r="26" spans="1:16">
      <c r="A26">
        <v>3</v>
      </c>
      <c r="B26" t="s">
        <v>70</v>
      </c>
      <c r="H26" s="22">
        <v>3094</v>
      </c>
      <c r="I26" s="23">
        <v>58</v>
      </c>
      <c r="J26" s="24">
        <v>4.8611111111111112E-2</v>
      </c>
      <c r="K26" s="2">
        <f>I26/10</f>
        <v>5.8</v>
      </c>
      <c r="L26" s="2">
        <v>20</v>
      </c>
      <c r="M26" s="30">
        <f>((20/20)*20)/K26</f>
        <v>3.4482758620689657</v>
      </c>
      <c r="N26" s="31">
        <f t="shared" si="0"/>
        <v>5.5517241379310338</v>
      </c>
      <c r="O26" s="33">
        <v>11</v>
      </c>
      <c r="P26" s="31">
        <f t="shared" si="2"/>
        <v>20</v>
      </c>
    </row>
    <row r="27" spans="1:16">
      <c r="A27" t="s">
        <v>71</v>
      </c>
      <c r="B27" t="s">
        <v>73</v>
      </c>
      <c r="H27" s="22">
        <v>3096</v>
      </c>
      <c r="I27" s="23">
        <v>37.4</v>
      </c>
      <c r="J27" s="24">
        <v>4.8611111111111112E-2</v>
      </c>
      <c r="K27" s="2">
        <f>I27/10</f>
        <v>3.7399999999999998</v>
      </c>
      <c r="L27" s="2">
        <v>20</v>
      </c>
      <c r="M27" s="30">
        <f>((20/20)*20)/K27</f>
        <v>5.3475935828877006</v>
      </c>
      <c r="N27" s="31">
        <f t="shared" si="0"/>
        <v>3.6524064171122994</v>
      </c>
      <c r="O27" s="33">
        <v>11</v>
      </c>
      <c r="P27" s="31">
        <f t="shared" si="2"/>
        <v>20</v>
      </c>
    </row>
    <row r="28" spans="1:16">
      <c r="B28" t="s">
        <v>72</v>
      </c>
      <c r="I28" s="2"/>
      <c r="O28" s="27"/>
    </row>
    <row r="29" spans="1:16">
      <c r="I29" s="2"/>
    </row>
    <row r="30" spans="1:16">
      <c r="B30" t="s">
        <v>74</v>
      </c>
      <c r="I30" s="2"/>
    </row>
    <row r="31" spans="1:16">
      <c r="B31" t="s">
        <v>75</v>
      </c>
      <c r="I31" s="2"/>
    </row>
    <row r="32" spans="1:16">
      <c r="B32" t="s">
        <v>76</v>
      </c>
    </row>
    <row r="33" spans="1:2">
      <c r="A33">
        <v>4</v>
      </c>
      <c r="B33" t="s">
        <v>77</v>
      </c>
    </row>
    <row r="34" spans="1:2">
      <c r="B34" t="s">
        <v>78</v>
      </c>
    </row>
    <row r="35" spans="1:2">
      <c r="B35" t="s">
        <v>85</v>
      </c>
    </row>
    <row r="36" spans="1:2">
      <c r="B36" t="s">
        <v>86</v>
      </c>
    </row>
    <row r="37" spans="1:2">
      <c r="B37" t="s">
        <v>79</v>
      </c>
    </row>
    <row r="39" spans="1:2">
      <c r="B39" t="s">
        <v>81</v>
      </c>
    </row>
  </sheetData>
  <mergeCells count="33">
    <mergeCell ref="B6:D6"/>
    <mergeCell ref="E6:G6"/>
    <mergeCell ref="H6:J6"/>
    <mergeCell ref="K6:M6"/>
    <mergeCell ref="B3:D3"/>
    <mergeCell ref="E3:G3"/>
    <mergeCell ref="H3:J3"/>
    <mergeCell ref="K3:M3"/>
    <mergeCell ref="B4:D4"/>
    <mergeCell ref="E4:G4"/>
    <mergeCell ref="H4:J4"/>
    <mergeCell ref="K4:M4"/>
    <mergeCell ref="O4:P4"/>
    <mergeCell ref="B5:D5"/>
    <mergeCell ref="E5:G5"/>
    <mergeCell ref="H5:J5"/>
    <mergeCell ref="K5:M5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</mergeCells>
  <phoneticPr fontId="7" type="noConversion"/>
  <pageMargins left="0.75" right="0.75" top="1" bottom="1" header="0.5" footer="0.5"/>
  <pageSetup scale="4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97"/>
  <sheetViews>
    <sheetView topLeftCell="A31" workbookViewId="0">
      <selection activeCell="D44" sqref="D44:D61"/>
    </sheetView>
  </sheetViews>
  <sheetFormatPr baseColWidth="10" defaultRowHeight="15" x14ac:dyDescent="0"/>
  <cols>
    <col min="1" max="1" width="8" style="18" bestFit="1" customWidth="1"/>
    <col min="2" max="2" width="12.83203125" style="18" bestFit="1" customWidth="1"/>
    <col min="3" max="3" width="13.1640625" style="18" bestFit="1" customWidth="1"/>
    <col min="4" max="4" width="6.1640625" style="18" bestFit="1" customWidth="1"/>
    <col min="5" max="6" width="10.83203125" style="18"/>
    <col min="7" max="7" width="18.33203125" style="18" customWidth="1"/>
    <col min="8" max="9" width="20" style="18" customWidth="1"/>
    <col min="10" max="10" width="41.1640625" style="18" bestFit="1" customWidth="1"/>
    <col min="11" max="12" width="10.83203125" style="18"/>
    <col min="13" max="13" width="13.1640625" style="18" bestFit="1" customWidth="1"/>
    <col min="14" max="16384" width="10.83203125" style="18"/>
  </cols>
  <sheetData>
    <row r="1" spans="1:15" s="3" customFormat="1">
      <c r="A1" s="3" t="s">
        <v>71</v>
      </c>
      <c r="B1" s="3" t="s">
        <v>54</v>
      </c>
      <c r="C1" s="3" t="s">
        <v>55</v>
      </c>
      <c r="D1" s="3" t="s">
        <v>178</v>
      </c>
      <c r="E1" s="3" t="s">
        <v>233</v>
      </c>
      <c r="F1" s="3" t="s">
        <v>179</v>
      </c>
      <c r="G1" s="3" t="s">
        <v>88</v>
      </c>
      <c r="H1" s="3" t="s">
        <v>236</v>
      </c>
      <c r="I1" s="35" t="s">
        <v>239</v>
      </c>
      <c r="J1" s="3" t="s">
        <v>180</v>
      </c>
      <c r="M1" s="3" t="s">
        <v>234</v>
      </c>
      <c r="N1" s="3" t="s">
        <v>235</v>
      </c>
    </row>
    <row r="2" spans="1:15">
      <c r="A2" s="18" t="s">
        <v>90</v>
      </c>
      <c r="B2" s="18">
        <v>1</v>
      </c>
      <c r="C2" s="18" t="s">
        <v>91</v>
      </c>
      <c r="D2" s="18" t="s">
        <v>181</v>
      </c>
      <c r="E2" s="49" t="e">
        <f>AVERAGE(D2:D4)</f>
        <v>#DIV/0!</v>
      </c>
      <c r="F2" s="18" t="s">
        <v>92</v>
      </c>
      <c r="G2" s="18" t="s">
        <v>93</v>
      </c>
      <c r="H2" s="18" t="s">
        <v>92</v>
      </c>
      <c r="I2" s="51"/>
      <c r="J2" s="18" t="s">
        <v>182</v>
      </c>
      <c r="M2" s="18">
        <f>LOG10(1)</f>
        <v>0</v>
      </c>
      <c r="N2" s="34">
        <f>E44</f>
        <v>12.126666666666665</v>
      </c>
    </row>
    <row r="3" spans="1:15">
      <c r="A3" s="18" t="s">
        <v>94</v>
      </c>
      <c r="B3" s="18">
        <v>1</v>
      </c>
      <c r="C3" s="18" t="s">
        <v>91</v>
      </c>
      <c r="D3" s="18" t="s">
        <v>181</v>
      </c>
      <c r="E3" s="49"/>
      <c r="F3" s="18" t="s">
        <v>92</v>
      </c>
      <c r="G3" s="18" t="s">
        <v>93</v>
      </c>
      <c r="H3" s="18" t="s">
        <v>92</v>
      </c>
      <c r="I3" s="51"/>
      <c r="J3" s="18" t="s">
        <v>182</v>
      </c>
      <c r="M3" s="18">
        <f>LOG10(10^-1)</f>
        <v>-1</v>
      </c>
      <c r="N3" s="34">
        <v>15.57</v>
      </c>
      <c r="O3" s="34">
        <f>N3-N2</f>
        <v>3.4433333333333351</v>
      </c>
    </row>
    <row r="4" spans="1:15">
      <c r="A4" s="18" t="s">
        <v>95</v>
      </c>
      <c r="B4" s="18">
        <v>1</v>
      </c>
      <c r="C4" s="18" t="s">
        <v>91</v>
      </c>
      <c r="D4" s="18" t="s">
        <v>181</v>
      </c>
      <c r="E4" s="49"/>
      <c r="F4" s="18" t="s">
        <v>92</v>
      </c>
      <c r="G4" s="18" t="s">
        <v>93</v>
      </c>
      <c r="H4" s="18" t="s">
        <v>92</v>
      </c>
      <c r="I4" s="51"/>
      <c r="J4" s="18" t="s">
        <v>182</v>
      </c>
      <c r="M4" s="18">
        <f>LOG10(10^-2)</f>
        <v>-2</v>
      </c>
      <c r="N4" s="34">
        <v>18.893333333333334</v>
      </c>
      <c r="O4" s="34">
        <f>N4-N3</f>
        <v>3.3233333333333341</v>
      </c>
    </row>
    <row r="5" spans="1:15">
      <c r="A5" s="18" t="s">
        <v>96</v>
      </c>
      <c r="B5" s="18">
        <v>2</v>
      </c>
      <c r="C5" s="18" t="s">
        <v>91</v>
      </c>
      <c r="D5" s="18" t="s">
        <v>181</v>
      </c>
      <c r="E5" s="49" t="e">
        <f t="shared" ref="E5" si="0">AVERAGE(D5:D7)</f>
        <v>#DIV/0!</v>
      </c>
      <c r="F5" s="18" t="s">
        <v>92</v>
      </c>
      <c r="G5" s="18" t="s">
        <v>93</v>
      </c>
      <c r="H5" s="18" t="s">
        <v>92</v>
      </c>
      <c r="I5" s="51"/>
      <c r="J5" s="18" t="s">
        <v>182</v>
      </c>
      <c r="M5" s="18">
        <f>LOG10(10^-3)</f>
        <v>-3</v>
      </c>
      <c r="N5" s="34">
        <v>22.320000000000004</v>
      </c>
      <c r="O5" s="34">
        <f>N5-N4</f>
        <v>3.4266666666666694</v>
      </c>
    </row>
    <row r="6" spans="1:15">
      <c r="A6" s="18" t="s">
        <v>97</v>
      </c>
      <c r="B6" s="18">
        <v>2</v>
      </c>
      <c r="C6" s="18" t="s">
        <v>91</v>
      </c>
      <c r="D6" s="18" t="s">
        <v>181</v>
      </c>
      <c r="E6" s="49"/>
      <c r="F6" s="18" t="s">
        <v>92</v>
      </c>
      <c r="G6" s="18" t="s">
        <v>93</v>
      </c>
      <c r="H6" s="18" t="s">
        <v>92</v>
      </c>
      <c r="I6" s="51"/>
      <c r="J6" s="18" t="s">
        <v>182</v>
      </c>
      <c r="M6" s="18">
        <f>LOG10(10^-4)</f>
        <v>-4</v>
      </c>
      <c r="N6" s="34">
        <v>25.866666666666664</v>
      </c>
      <c r="O6" s="34">
        <f>N6-N5</f>
        <v>3.5466666666666598</v>
      </c>
    </row>
    <row r="7" spans="1:15">
      <c r="A7" s="18" t="s">
        <v>98</v>
      </c>
      <c r="B7" s="18">
        <v>2</v>
      </c>
      <c r="C7" s="18" t="s">
        <v>91</v>
      </c>
      <c r="D7" s="18" t="s">
        <v>181</v>
      </c>
      <c r="E7" s="49"/>
      <c r="F7" s="18" t="s">
        <v>92</v>
      </c>
      <c r="G7" s="18" t="s">
        <v>93</v>
      </c>
      <c r="H7" s="18" t="s">
        <v>92</v>
      </c>
      <c r="I7" s="51"/>
      <c r="J7" s="18" t="s">
        <v>182</v>
      </c>
      <c r="M7" s="18">
        <f>LOG10(10^-5)</f>
        <v>-5</v>
      </c>
      <c r="N7" s="34">
        <v>27.673333333333336</v>
      </c>
      <c r="O7" s="34">
        <f>N7-N6</f>
        <v>1.806666666666672</v>
      </c>
    </row>
    <row r="8" spans="1:15">
      <c r="A8" s="18" t="s">
        <v>99</v>
      </c>
      <c r="B8" s="18">
        <v>1900</v>
      </c>
      <c r="C8" s="18" t="s">
        <v>91</v>
      </c>
      <c r="D8" s="18" t="s">
        <v>181</v>
      </c>
      <c r="E8" s="49" t="e">
        <f t="shared" ref="E8" si="1">AVERAGE(D8:D10)</f>
        <v>#DIV/0!</v>
      </c>
      <c r="F8" s="18" t="s">
        <v>92</v>
      </c>
      <c r="G8" s="18" t="s">
        <v>93</v>
      </c>
      <c r="H8" s="18" t="s">
        <v>92</v>
      </c>
      <c r="I8" s="51"/>
      <c r="J8" s="18" t="s">
        <v>182</v>
      </c>
      <c r="M8" s="36" t="s">
        <v>56</v>
      </c>
      <c r="N8" s="37">
        <f>N9-1</f>
        <v>1.0528789476762763</v>
      </c>
    </row>
    <row r="9" spans="1:15">
      <c r="A9" s="18" t="s">
        <v>100</v>
      </c>
      <c r="B9" s="18">
        <v>1900</v>
      </c>
      <c r="C9" s="18" t="s">
        <v>91</v>
      </c>
      <c r="D9" s="18" t="s">
        <v>181</v>
      </c>
      <c r="E9" s="49"/>
      <c r="F9" s="18" t="s">
        <v>92</v>
      </c>
      <c r="G9" s="18" t="s">
        <v>93</v>
      </c>
      <c r="H9" s="18" t="s">
        <v>92</v>
      </c>
      <c r="I9" s="51"/>
      <c r="J9" s="18" t="s">
        <v>182</v>
      </c>
      <c r="M9" s="36"/>
      <c r="N9" s="38">
        <f>10^(-1/-3.2014)</f>
        <v>2.0528789476762763</v>
      </c>
    </row>
    <row r="10" spans="1:15">
      <c r="A10" s="18" t="s">
        <v>101</v>
      </c>
      <c r="B10" s="18">
        <v>1900</v>
      </c>
      <c r="C10" s="18" t="s">
        <v>91</v>
      </c>
      <c r="D10" s="18" t="s">
        <v>181</v>
      </c>
      <c r="E10" s="49"/>
      <c r="F10" s="18" t="s">
        <v>92</v>
      </c>
      <c r="G10" s="18" t="s">
        <v>93</v>
      </c>
      <c r="H10" s="18" t="s">
        <v>92</v>
      </c>
      <c r="I10" s="51"/>
      <c r="J10" s="18" t="s">
        <v>182</v>
      </c>
    </row>
    <row r="11" spans="1:15">
      <c r="A11" s="18" t="s">
        <v>102</v>
      </c>
      <c r="B11" s="18">
        <v>1200</v>
      </c>
      <c r="C11" s="18" t="s">
        <v>91</v>
      </c>
      <c r="D11" s="18" t="s">
        <v>181</v>
      </c>
      <c r="E11" s="49" t="e">
        <f t="shared" ref="E11" si="2">AVERAGE(D11:D13)</f>
        <v>#DIV/0!</v>
      </c>
      <c r="F11" s="18" t="s">
        <v>92</v>
      </c>
      <c r="G11" s="18" t="s">
        <v>93</v>
      </c>
      <c r="H11" s="18" t="s">
        <v>92</v>
      </c>
      <c r="I11" s="51"/>
      <c r="J11" s="18" t="s">
        <v>182</v>
      </c>
    </row>
    <row r="12" spans="1:15">
      <c r="A12" s="18" t="s">
        <v>103</v>
      </c>
      <c r="B12" s="18">
        <v>1200</v>
      </c>
      <c r="C12" s="18" t="s">
        <v>91</v>
      </c>
      <c r="D12" s="18" t="s">
        <v>181</v>
      </c>
      <c r="E12" s="49"/>
      <c r="F12" s="18" t="s">
        <v>92</v>
      </c>
      <c r="G12" s="18" t="s">
        <v>93</v>
      </c>
      <c r="H12" s="18" t="s">
        <v>92</v>
      </c>
      <c r="I12" s="51"/>
      <c r="J12" s="18" t="s">
        <v>182</v>
      </c>
    </row>
    <row r="13" spans="1:15">
      <c r="A13" s="18" t="s">
        <v>104</v>
      </c>
      <c r="B13" s="18">
        <v>1200</v>
      </c>
      <c r="C13" s="18" t="s">
        <v>91</v>
      </c>
      <c r="D13" s="18" t="s">
        <v>181</v>
      </c>
      <c r="E13" s="49"/>
      <c r="F13" s="18" t="s">
        <v>92</v>
      </c>
      <c r="G13" s="18" t="s">
        <v>93</v>
      </c>
      <c r="H13" s="18" t="s">
        <v>92</v>
      </c>
      <c r="I13" s="51"/>
      <c r="J13" s="18" t="s">
        <v>182</v>
      </c>
    </row>
    <row r="14" spans="1:15">
      <c r="A14" s="18" t="s">
        <v>105</v>
      </c>
      <c r="B14" s="18">
        <v>1195</v>
      </c>
      <c r="C14" s="18" t="s">
        <v>91</v>
      </c>
      <c r="D14" s="18">
        <v>28.42</v>
      </c>
      <c r="E14" s="49">
        <f>AVERAGE(D14:D16)</f>
        <v>28.42</v>
      </c>
      <c r="F14" s="18" t="s">
        <v>183</v>
      </c>
      <c r="G14" s="18" t="s">
        <v>93</v>
      </c>
      <c r="H14" s="18" t="s">
        <v>92</v>
      </c>
      <c r="I14" s="51"/>
      <c r="J14" s="18" t="s">
        <v>184</v>
      </c>
    </row>
    <row r="15" spans="1:15">
      <c r="A15" s="18" t="s">
        <v>106</v>
      </c>
      <c r="B15" s="18">
        <v>1195</v>
      </c>
      <c r="C15" s="18" t="s">
        <v>91</v>
      </c>
      <c r="D15" s="18" t="s">
        <v>181</v>
      </c>
      <c r="E15" s="49"/>
      <c r="F15" s="18" t="s">
        <v>92</v>
      </c>
      <c r="G15" s="18" t="s">
        <v>93</v>
      </c>
      <c r="H15" s="18" t="s">
        <v>92</v>
      </c>
      <c r="I15" s="51"/>
      <c r="J15" s="18" t="s">
        <v>184</v>
      </c>
    </row>
    <row r="16" spans="1:15">
      <c r="A16" s="18" t="s">
        <v>107</v>
      </c>
      <c r="B16" s="18">
        <v>1195</v>
      </c>
      <c r="C16" s="18" t="s">
        <v>91</v>
      </c>
      <c r="D16" s="18" t="s">
        <v>181</v>
      </c>
      <c r="E16" s="49"/>
      <c r="F16" s="18" t="s">
        <v>92</v>
      </c>
      <c r="G16" s="18" t="s">
        <v>93</v>
      </c>
      <c r="H16" s="18" t="s">
        <v>92</v>
      </c>
      <c r="I16" s="51"/>
      <c r="J16" s="18" t="s">
        <v>184</v>
      </c>
    </row>
    <row r="17" spans="1:13">
      <c r="A17" s="18" t="s">
        <v>108</v>
      </c>
      <c r="B17" s="18">
        <v>1188</v>
      </c>
      <c r="C17" s="18" t="s">
        <v>91</v>
      </c>
      <c r="D17" s="18" t="s">
        <v>181</v>
      </c>
      <c r="E17" s="49" t="e">
        <f t="shared" ref="E17" si="3">AVERAGE(D17:D19)</f>
        <v>#DIV/0!</v>
      </c>
      <c r="F17" s="18" t="s">
        <v>92</v>
      </c>
      <c r="G17" s="18" t="s">
        <v>93</v>
      </c>
      <c r="H17" s="18" t="s">
        <v>92</v>
      </c>
      <c r="I17" s="51"/>
      <c r="J17" s="18" t="s">
        <v>182</v>
      </c>
    </row>
    <row r="18" spans="1:13">
      <c r="A18" s="18" t="s">
        <v>109</v>
      </c>
      <c r="B18" s="18">
        <v>1188</v>
      </c>
      <c r="C18" s="18" t="s">
        <v>91</v>
      </c>
      <c r="D18" s="18" t="s">
        <v>181</v>
      </c>
      <c r="E18" s="49"/>
      <c r="F18" s="18" t="s">
        <v>92</v>
      </c>
      <c r="G18" s="18" t="s">
        <v>93</v>
      </c>
      <c r="H18" s="18" t="s">
        <v>92</v>
      </c>
      <c r="I18" s="51"/>
      <c r="J18" s="18" t="s">
        <v>182</v>
      </c>
    </row>
    <row r="19" spans="1:13">
      <c r="A19" s="18" t="s">
        <v>110</v>
      </c>
      <c r="B19" s="18">
        <v>1188</v>
      </c>
      <c r="C19" s="18" t="s">
        <v>91</v>
      </c>
      <c r="D19" s="18" t="s">
        <v>181</v>
      </c>
      <c r="E19" s="49"/>
      <c r="F19" s="18" t="s">
        <v>92</v>
      </c>
      <c r="G19" s="18" t="s">
        <v>93</v>
      </c>
      <c r="H19" s="18" t="s">
        <v>111</v>
      </c>
      <c r="I19" s="51"/>
      <c r="J19" s="18" t="s">
        <v>182</v>
      </c>
    </row>
    <row r="20" spans="1:13">
      <c r="A20" s="18" t="s">
        <v>112</v>
      </c>
      <c r="B20" s="18">
        <v>3080</v>
      </c>
      <c r="C20" s="18" t="s">
        <v>91</v>
      </c>
      <c r="D20" s="18" t="s">
        <v>181</v>
      </c>
      <c r="E20" s="49" t="e">
        <f t="shared" ref="E20" si="4">AVERAGE(D20:D22)</f>
        <v>#DIV/0!</v>
      </c>
      <c r="F20" s="18" t="s">
        <v>92</v>
      </c>
      <c r="G20" s="18" t="s">
        <v>93</v>
      </c>
      <c r="H20" s="18" t="s">
        <v>92</v>
      </c>
      <c r="I20" s="51"/>
      <c r="J20" s="18" t="s">
        <v>182</v>
      </c>
    </row>
    <row r="21" spans="1:13">
      <c r="A21" s="18" t="s">
        <v>113</v>
      </c>
      <c r="B21" s="18">
        <v>3080</v>
      </c>
      <c r="C21" s="18" t="s">
        <v>91</v>
      </c>
      <c r="D21" s="18" t="s">
        <v>181</v>
      </c>
      <c r="E21" s="49"/>
      <c r="F21" s="18" t="s">
        <v>92</v>
      </c>
      <c r="G21" s="18" t="s">
        <v>93</v>
      </c>
      <c r="H21" s="18" t="s">
        <v>92</v>
      </c>
      <c r="I21" s="51"/>
      <c r="J21" s="18" t="s">
        <v>182</v>
      </c>
    </row>
    <row r="22" spans="1:13">
      <c r="A22" s="18" t="s">
        <v>114</v>
      </c>
      <c r="B22" s="18">
        <v>3080</v>
      </c>
      <c r="C22" s="18" t="s">
        <v>91</v>
      </c>
      <c r="D22" s="18" t="s">
        <v>181</v>
      </c>
      <c r="E22" s="49"/>
      <c r="F22" s="18" t="s">
        <v>92</v>
      </c>
      <c r="G22" s="18" t="s">
        <v>93</v>
      </c>
      <c r="H22" s="18" t="s">
        <v>92</v>
      </c>
      <c r="I22" s="51"/>
      <c r="J22" s="18" t="s">
        <v>182</v>
      </c>
    </row>
    <row r="23" spans="1:13">
      <c r="A23" s="18" t="s">
        <v>115</v>
      </c>
      <c r="B23" s="18">
        <v>3040</v>
      </c>
      <c r="C23" s="18" t="s">
        <v>91</v>
      </c>
      <c r="D23" s="18" t="s">
        <v>181</v>
      </c>
      <c r="E23" s="49" t="e">
        <f t="shared" ref="E23" si="5">AVERAGE(D23:D25)</f>
        <v>#DIV/0!</v>
      </c>
      <c r="F23" s="18" t="s">
        <v>92</v>
      </c>
      <c r="G23" s="18" t="s">
        <v>93</v>
      </c>
      <c r="H23" s="18" t="s">
        <v>92</v>
      </c>
      <c r="I23" s="51"/>
      <c r="J23" s="18" t="s">
        <v>182</v>
      </c>
    </row>
    <row r="24" spans="1:13">
      <c r="A24" s="18" t="s">
        <v>116</v>
      </c>
      <c r="B24" s="18">
        <v>3040</v>
      </c>
      <c r="C24" s="18" t="s">
        <v>91</v>
      </c>
      <c r="D24" s="18" t="s">
        <v>181</v>
      </c>
      <c r="E24" s="49"/>
      <c r="F24" s="18" t="s">
        <v>92</v>
      </c>
      <c r="G24" s="18" t="s">
        <v>93</v>
      </c>
      <c r="H24" s="18" t="s">
        <v>92</v>
      </c>
      <c r="I24" s="51"/>
      <c r="J24" s="18" t="s">
        <v>182</v>
      </c>
    </row>
    <row r="25" spans="1:13">
      <c r="A25" s="18" t="s">
        <v>117</v>
      </c>
      <c r="B25" s="18">
        <v>3040</v>
      </c>
      <c r="C25" s="18" t="s">
        <v>91</v>
      </c>
      <c r="D25" s="18" t="s">
        <v>181</v>
      </c>
      <c r="E25" s="49"/>
      <c r="F25" s="18" t="s">
        <v>92</v>
      </c>
      <c r="G25" s="18" t="s">
        <v>93</v>
      </c>
      <c r="H25" s="18" t="s">
        <v>92</v>
      </c>
      <c r="I25" s="51"/>
      <c r="J25" s="18" t="s">
        <v>182</v>
      </c>
    </row>
    <row r="26" spans="1:13">
      <c r="A26" s="18" t="s">
        <v>118</v>
      </c>
      <c r="B26" s="18">
        <v>3095</v>
      </c>
      <c r="C26" s="18" t="s">
        <v>91</v>
      </c>
      <c r="D26" s="18" t="s">
        <v>181</v>
      </c>
      <c r="E26" s="49" t="e">
        <f t="shared" ref="E26" si="6">AVERAGE(D26:D28)</f>
        <v>#DIV/0!</v>
      </c>
      <c r="F26" s="18" t="s">
        <v>92</v>
      </c>
      <c r="G26" s="18" t="s">
        <v>93</v>
      </c>
      <c r="H26" s="18" t="s">
        <v>92</v>
      </c>
      <c r="I26" s="51"/>
      <c r="J26" s="18" t="s">
        <v>182</v>
      </c>
    </row>
    <row r="27" spans="1:13">
      <c r="A27" s="18" t="s">
        <v>119</v>
      </c>
      <c r="B27" s="18">
        <v>3095</v>
      </c>
      <c r="C27" s="18" t="s">
        <v>91</v>
      </c>
      <c r="D27" s="18" t="s">
        <v>181</v>
      </c>
      <c r="E27" s="49"/>
      <c r="F27" s="18" t="s">
        <v>92</v>
      </c>
      <c r="G27" s="18" t="s">
        <v>93</v>
      </c>
      <c r="H27" s="18" t="s">
        <v>92</v>
      </c>
      <c r="I27" s="51"/>
      <c r="J27" s="18" t="s">
        <v>182</v>
      </c>
    </row>
    <row r="28" spans="1:13">
      <c r="A28" s="18" t="s">
        <v>120</v>
      </c>
      <c r="B28" s="18">
        <v>3095</v>
      </c>
      <c r="C28" s="18" t="s">
        <v>91</v>
      </c>
      <c r="D28" s="18" t="s">
        <v>181</v>
      </c>
      <c r="E28" s="49"/>
      <c r="F28" s="18" t="s">
        <v>92</v>
      </c>
      <c r="G28" s="18" t="s">
        <v>93</v>
      </c>
      <c r="H28" s="18" t="s">
        <v>92</v>
      </c>
      <c r="I28" s="51"/>
      <c r="J28" s="18" t="s">
        <v>182</v>
      </c>
    </row>
    <row r="29" spans="1:13">
      <c r="A29" s="18" t="s">
        <v>121</v>
      </c>
      <c r="B29" s="18">
        <v>3093</v>
      </c>
      <c r="C29" s="18" t="s">
        <v>91</v>
      </c>
      <c r="D29" s="18" t="s">
        <v>181</v>
      </c>
      <c r="E29" s="49" t="e">
        <f t="shared" ref="E29" si="7">AVERAGE(D29:D31)</f>
        <v>#DIV/0!</v>
      </c>
      <c r="F29" s="18" t="s">
        <v>92</v>
      </c>
      <c r="G29" s="18" t="s">
        <v>93</v>
      </c>
      <c r="H29" s="18" t="s">
        <v>92</v>
      </c>
      <c r="I29" s="51"/>
      <c r="J29" s="18" t="s">
        <v>182</v>
      </c>
      <c r="K29" s="18" t="s">
        <v>39</v>
      </c>
      <c r="L29" s="18" t="s">
        <v>238</v>
      </c>
      <c r="M29" s="18" t="s">
        <v>237</v>
      </c>
    </row>
    <row r="30" spans="1:13">
      <c r="A30" s="18" t="s">
        <v>122</v>
      </c>
      <c r="B30" s="18">
        <v>3093</v>
      </c>
      <c r="C30" s="18" t="s">
        <v>91</v>
      </c>
      <c r="D30" s="18" t="s">
        <v>181</v>
      </c>
      <c r="E30" s="49"/>
      <c r="F30" s="18" t="s">
        <v>92</v>
      </c>
      <c r="G30" s="18" t="s">
        <v>93</v>
      </c>
      <c r="H30" s="18" t="s">
        <v>92</v>
      </c>
      <c r="I30" s="51"/>
      <c r="J30" s="18" t="s">
        <v>182</v>
      </c>
      <c r="K30" s="39">
        <f>Samples!E33</f>
        <v>1392000000</v>
      </c>
      <c r="L30" s="41">
        <f>LOG10(K30)</f>
        <v>9.1436392352745433</v>
      </c>
      <c r="M30" s="40">
        <f>E44</f>
        <v>12.126666666666665</v>
      </c>
    </row>
    <row r="31" spans="1:13">
      <c r="A31" s="18" t="s">
        <v>123</v>
      </c>
      <c r="B31" s="18">
        <v>3093</v>
      </c>
      <c r="C31" s="18" t="s">
        <v>91</v>
      </c>
      <c r="D31" s="18" t="s">
        <v>181</v>
      </c>
      <c r="E31" s="49"/>
      <c r="F31" s="18" t="s">
        <v>92</v>
      </c>
      <c r="G31" s="18" t="s">
        <v>93</v>
      </c>
      <c r="H31" s="18" t="s">
        <v>92</v>
      </c>
      <c r="I31" s="51"/>
      <c r="J31" s="18" t="s">
        <v>182</v>
      </c>
      <c r="K31" s="39">
        <f>K30/10</f>
        <v>139200000</v>
      </c>
      <c r="L31" s="41">
        <f t="shared" ref="L31:L35" si="8">LOG10(K31)</f>
        <v>8.1436392352745433</v>
      </c>
      <c r="M31" s="40">
        <f>E47</f>
        <v>15.57</v>
      </c>
    </row>
    <row r="32" spans="1:13">
      <c r="A32" s="18" t="s">
        <v>124</v>
      </c>
      <c r="B32" s="18">
        <v>3078</v>
      </c>
      <c r="C32" s="18" t="s">
        <v>91</v>
      </c>
      <c r="D32" s="18">
        <v>17.010000000000002</v>
      </c>
      <c r="E32" s="50">
        <f t="shared" ref="E32" si="9">AVERAGE(D32:D34)</f>
        <v>16.933333333333334</v>
      </c>
      <c r="F32" s="18" t="s">
        <v>183</v>
      </c>
      <c r="G32" s="18" t="s">
        <v>93</v>
      </c>
      <c r="H32" s="18" t="s">
        <v>125</v>
      </c>
      <c r="I32" s="52">
        <f>(E32-41.677)/-3.2014</f>
        <v>7.7290143895379106</v>
      </c>
      <c r="J32" s="18" t="s">
        <v>182</v>
      </c>
      <c r="K32" s="39">
        <f t="shared" ref="K32:K35" si="10">K31/10</f>
        <v>13920000</v>
      </c>
      <c r="L32" s="41">
        <f t="shared" si="8"/>
        <v>7.1436392352745433</v>
      </c>
      <c r="M32" s="40">
        <f>E50</f>
        <v>18.893333333333334</v>
      </c>
    </row>
    <row r="33" spans="1:13">
      <c r="A33" s="18" t="s">
        <v>126</v>
      </c>
      <c r="B33" s="18">
        <v>3078</v>
      </c>
      <c r="C33" s="18" t="s">
        <v>91</v>
      </c>
      <c r="D33" s="18">
        <v>16.829999999999998</v>
      </c>
      <c r="E33" s="50"/>
      <c r="F33" s="18" t="s">
        <v>183</v>
      </c>
      <c r="G33" s="18" t="s">
        <v>93</v>
      </c>
      <c r="H33" s="18" t="s">
        <v>125</v>
      </c>
      <c r="I33" s="52"/>
      <c r="J33" s="18" t="s">
        <v>182</v>
      </c>
      <c r="K33" s="39">
        <f t="shared" si="10"/>
        <v>1392000</v>
      </c>
      <c r="L33" s="41">
        <f t="shared" si="8"/>
        <v>6.1436392352745433</v>
      </c>
      <c r="M33" s="40">
        <f>E53</f>
        <v>22.320000000000004</v>
      </c>
    </row>
    <row r="34" spans="1:13">
      <c r="A34" s="18" t="s">
        <v>127</v>
      </c>
      <c r="B34" s="18">
        <v>3078</v>
      </c>
      <c r="C34" s="18" t="s">
        <v>91</v>
      </c>
      <c r="D34" s="18">
        <v>16.96</v>
      </c>
      <c r="E34" s="50"/>
      <c r="F34" s="18" t="s">
        <v>183</v>
      </c>
      <c r="G34" s="18" t="s">
        <v>93</v>
      </c>
      <c r="H34" s="18" t="s">
        <v>125</v>
      </c>
      <c r="I34" s="52"/>
      <c r="J34" s="18" t="s">
        <v>182</v>
      </c>
      <c r="K34" s="39">
        <f t="shared" si="10"/>
        <v>139200</v>
      </c>
      <c r="L34" s="41">
        <f t="shared" si="8"/>
        <v>5.1436392352745433</v>
      </c>
      <c r="M34" s="40">
        <f>E56</f>
        <v>25.866666666666664</v>
      </c>
    </row>
    <row r="35" spans="1:13">
      <c r="A35" s="18" t="s">
        <v>128</v>
      </c>
      <c r="B35" s="18">
        <v>3088</v>
      </c>
      <c r="C35" s="18" t="s">
        <v>91</v>
      </c>
      <c r="D35" s="18">
        <v>14.5</v>
      </c>
      <c r="E35" s="50">
        <f t="shared" ref="E35" si="11">AVERAGE(D35:D37)</f>
        <v>14.456666666666665</v>
      </c>
      <c r="F35" s="18" t="s">
        <v>183</v>
      </c>
      <c r="G35" s="18" t="s">
        <v>93</v>
      </c>
      <c r="H35" s="18" t="s">
        <v>129</v>
      </c>
      <c r="I35" s="52">
        <f t="shared" ref="I35" si="12">(E35-41.677)/-3.2014</f>
        <v>8.5026342641760912</v>
      </c>
      <c r="J35" s="18" t="s">
        <v>182</v>
      </c>
      <c r="K35" s="39">
        <f t="shared" si="10"/>
        <v>13920</v>
      </c>
      <c r="L35" s="41">
        <f t="shared" si="8"/>
        <v>4.1436392352745433</v>
      </c>
      <c r="M35" s="40">
        <f>E59</f>
        <v>27.673333333333336</v>
      </c>
    </row>
    <row r="36" spans="1:13">
      <c r="A36" s="18" t="s">
        <v>130</v>
      </c>
      <c r="B36" s="18">
        <v>3088</v>
      </c>
      <c r="C36" s="18" t="s">
        <v>91</v>
      </c>
      <c r="D36" s="18">
        <v>14.51</v>
      </c>
      <c r="E36" s="50"/>
      <c r="F36" s="18" t="s">
        <v>183</v>
      </c>
      <c r="G36" s="18" t="s">
        <v>93</v>
      </c>
      <c r="H36" s="18" t="s">
        <v>129</v>
      </c>
      <c r="I36" s="52"/>
      <c r="J36" s="18" t="s">
        <v>182</v>
      </c>
    </row>
    <row r="37" spans="1:13">
      <c r="A37" s="18" t="s">
        <v>131</v>
      </c>
      <c r="B37" s="18">
        <v>3088</v>
      </c>
      <c r="C37" s="18" t="s">
        <v>91</v>
      </c>
      <c r="D37" s="18">
        <v>14.36</v>
      </c>
      <c r="E37" s="50"/>
      <c r="F37" s="18" t="s">
        <v>183</v>
      </c>
      <c r="G37" s="18" t="s">
        <v>93</v>
      </c>
      <c r="H37" s="18" t="s">
        <v>132</v>
      </c>
      <c r="I37" s="52"/>
      <c r="J37" s="18" t="s">
        <v>182</v>
      </c>
    </row>
    <row r="38" spans="1:13">
      <c r="A38" s="18" t="s">
        <v>133</v>
      </c>
      <c r="B38" s="18">
        <v>3094</v>
      </c>
      <c r="C38" s="18" t="s">
        <v>91</v>
      </c>
      <c r="D38" s="18">
        <v>18.32</v>
      </c>
      <c r="E38" s="50">
        <f t="shared" ref="E38" si="13">AVERAGE(D38:D40)</f>
        <v>18.293333333333333</v>
      </c>
      <c r="F38" s="18" t="s">
        <v>183</v>
      </c>
      <c r="G38" s="18" t="s">
        <v>93</v>
      </c>
      <c r="H38" s="18" t="s">
        <v>125</v>
      </c>
      <c r="I38" s="52">
        <f t="shared" ref="I38" si="14">(E38-41.677)/-3.2014</f>
        <v>7.3042002457258279</v>
      </c>
      <c r="J38" s="18" t="s">
        <v>182</v>
      </c>
    </row>
    <row r="39" spans="1:13">
      <c r="A39" s="18" t="s">
        <v>134</v>
      </c>
      <c r="B39" s="18">
        <v>3094</v>
      </c>
      <c r="C39" s="18" t="s">
        <v>91</v>
      </c>
      <c r="D39" s="18">
        <v>18.149999999999999</v>
      </c>
      <c r="E39" s="50"/>
      <c r="F39" s="18" t="s">
        <v>183</v>
      </c>
      <c r="G39" s="18" t="s">
        <v>93</v>
      </c>
      <c r="H39" s="18" t="s">
        <v>125</v>
      </c>
      <c r="I39" s="52"/>
      <c r="J39" s="18" t="s">
        <v>182</v>
      </c>
    </row>
    <row r="40" spans="1:13">
      <c r="A40" s="18" t="s">
        <v>135</v>
      </c>
      <c r="B40" s="18">
        <v>3094</v>
      </c>
      <c r="C40" s="18" t="s">
        <v>91</v>
      </c>
      <c r="D40" s="18">
        <v>18.41</v>
      </c>
      <c r="E40" s="50"/>
      <c r="F40" s="18" t="s">
        <v>183</v>
      </c>
      <c r="G40" s="18" t="s">
        <v>93</v>
      </c>
      <c r="H40" s="18" t="s">
        <v>125</v>
      </c>
      <c r="I40" s="52"/>
      <c r="J40" s="18" t="s">
        <v>182</v>
      </c>
    </row>
    <row r="41" spans="1:13">
      <c r="A41" s="18" t="s">
        <v>136</v>
      </c>
      <c r="B41" s="18">
        <v>3096</v>
      </c>
      <c r="C41" s="18" t="s">
        <v>91</v>
      </c>
      <c r="D41" s="18">
        <v>17.63</v>
      </c>
      <c r="E41" s="50">
        <f t="shared" ref="E41" si="15">AVERAGE(D41:D43)</f>
        <v>17.63</v>
      </c>
      <c r="F41" s="18" t="s">
        <v>183</v>
      </c>
      <c r="G41" s="18" t="s">
        <v>93</v>
      </c>
      <c r="H41" s="18" t="s">
        <v>125</v>
      </c>
      <c r="I41" s="52">
        <f t="shared" ref="I41" si="16">(E41-41.677)/-3.2014</f>
        <v>7.5114012619478983</v>
      </c>
      <c r="J41" s="18" t="s">
        <v>182</v>
      </c>
    </row>
    <row r="42" spans="1:13">
      <c r="A42" s="18" t="s">
        <v>137</v>
      </c>
      <c r="B42" s="18">
        <v>3096</v>
      </c>
      <c r="C42" s="18" t="s">
        <v>91</v>
      </c>
      <c r="D42" s="18">
        <v>17.64</v>
      </c>
      <c r="E42" s="50"/>
      <c r="F42" s="18" t="s">
        <v>183</v>
      </c>
      <c r="G42" s="18" t="s">
        <v>93</v>
      </c>
      <c r="H42" s="18" t="s">
        <v>125</v>
      </c>
      <c r="I42" s="52"/>
      <c r="J42" s="18" t="s">
        <v>182</v>
      </c>
    </row>
    <row r="43" spans="1:13">
      <c r="A43" s="18" t="s">
        <v>138</v>
      </c>
      <c r="B43" s="18">
        <v>3096</v>
      </c>
      <c r="C43" s="18" t="s">
        <v>91</v>
      </c>
      <c r="D43" s="18">
        <v>17.62</v>
      </c>
      <c r="E43" s="50"/>
      <c r="F43" s="18" t="s">
        <v>183</v>
      </c>
      <c r="G43" s="18" t="s">
        <v>93</v>
      </c>
      <c r="H43" s="18" t="s">
        <v>125</v>
      </c>
      <c r="I43" s="52"/>
      <c r="J43" s="18" t="s">
        <v>182</v>
      </c>
    </row>
    <row r="44" spans="1:13">
      <c r="A44" s="18" t="s">
        <v>139</v>
      </c>
      <c r="B44" s="18" t="s">
        <v>140</v>
      </c>
      <c r="C44" s="18" t="s">
        <v>91</v>
      </c>
      <c r="D44" s="18">
        <v>12.08</v>
      </c>
      <c r="E44" s="50">
        <f t="shared" ref="E44" si="17">AVERAGE(D44:D46)</f>
        <v>12.126666666666665</v>
      </c>
      <c r="F44" s="18" t="s">
        <v>183</v>
      </c>
      <c r="G44" s="18" t="s">
        <v>93</v>
      </c>
      <c r="H44" s="18" t="s">
        <v>125</v>
      </c>
      <c r="I44" s="51"/>
      <c r="J44" s="18" t="s">
        <v>182</v>
      </c>
    </row>
    <row r="45" spans="1:13">
      <c r="A45" s="18" t="s">
        <v>141</v>
      </c>
      <c r="B45" s="18" t="s">
        <v>140</v>
      </c>
      <c r="C45" s="18" t="s">
        <v>91</v>
      </c>
      <c r="D45" s="18">
        <v>12.1</v>
      </c>
      <c r="E45" s="50"/>
      <c r="F45" s="18" t="s">
        <v>183</v>
      </c>
      <c r="G45" s="18" t="s">
        <v>93</v>
      </c>
      <c r="H45" s="18" t="s">
        <v>125</v>
      </c>
      <c r="I45" s="51"/>
      <c r="J45" s="18" t="s">
        <v>182</v>
      </c>
    </row>
    <row r="46" spans="1:13">
      <c r="A46" s="18" t="s">
        <v>142</v>
      </c>
      <c r="B46" s="18" t="s">
        <v>140</v>
      </c>
      <c r="C46" s="18" t="s">
        <v>91</v>
      </c>
      <c r="D46" s="18">
        <v>12.2</v>
      </c>
      <c r="E46" s="50"/>
      <c r="F46" s="18" t="s">
        <v>183</v>
      </c>
      <c r="G46" s="18" t="s">
        <v>93</v>
      </c>
      <c r="H46" s="18" t="s">
        <v>125</v>
      </c>
      <c r="I46" s="51"/>
      <c r="J46" s="18" t="s">
        <v>182</v>
      </c>
    </row>
    <row r="47" spans="1:13">
      <c r="A47" s="18" t="s">
        <v>143</v>
      </c>
      <c r="B47" s="18" t="s">
        <v>144</v>
      </c>
      <c r="C47" s="18" t="s">
        <v>91</v>
      </c>
      <c r="D47" s="18">
        <v>15.46</v>
      </c>
      <c r="E47" s="50">
        <f t="shared" ref="E47" si="18">AVERAGE(D47:D49)</f>
        <v>15.57</v>
      </c>
      <c r="F47" s="18" t="s">
        <v>183</v>
      </c>
      <c r="G47" s="18" t="s">
        <v>93</v>
      </c>
      <c r="H47" s="18" t="s">
        <v>125</v>
      </c>
      <c r="I47" s="51"/>
      <c r="J47" s="18" t="s">
        <v>182</v>
      </c>
    </row>
    <row r="48" spans="1:13">
      <c r="A48" s="18" t="s">
        <v>145</v>
      </c>
      <c r="B48" s="18" t="s">
        <v>144</v>
      </c>
      <c r="C48" s="18" t="s">
        <v>91</v>
      </c>
      <c r="D48" s="18">
        <v>15.66</v>
      </c>
      <c r="E48" s="50"/>
      <c r="F48" s="18" t="s">
        <v>183</v>
      </c>
      <c r="G48" s="18" t="s">
        <v>93</v>
      </c>
      <c r="H48" s="18" t="s">
        <v>125</v>
      </c>
      <c r="I48" s="51"/>
      <c r="J48" s="18" t="s">
        <v>182</v>
      </c>
    </row>
    <row r="49" spans="1:10">
      <c r="A49" s="18" t="s">
        <v>146</v>
      </c>
      <c r="B49" s="18" t="s">
        <v>144</v>
      </c>
      <c r="C49" s="18" t="s">
        <v>91</v>
      </c>
      <c r="D49" s="18">
        <v>15.59</v>
      </c>
      <c r="E49" s="50"/>
      <c r="F49" s="18" t="s">
        <v>183</v>
      </c>
      <c r="G49" s="18" t="s">
        <v>93</v>
      </c>
      <c r="H49" s="18" t="s">
        <v>125</v>
      </c>
      <c r="I49" s="51"/>
      <c r="J49" s="18" t="s">
        <v>182</v>
      </c>
    </row>
    <row r="50" spans="1:10">
      <c r="A50" s="18" t="s">
        <v>147</v>
      </c>
      <c r="B50" s="18" t="s">
        <v>148</v>
      </c>
      <c r="C50" s="18" t="s">
        <v>91</v>
      </c>
      <c r="D50" s="18">
        <v>18.899999999999999</v>
      </c>
      <c r="E50" s="50">
        <f t="shared" ref="E50" si="19">AVERAGE(D50:D52)</f>
        <v>18.893333333333334</v>
      </c>
      <c r="F50" s="18" t="s">
        <v>183</v>
      </c>
      <c r="G50" s="18" t="s">
        <v>93</v>
      </c>
      <c r="H50" s="18" t="s">
        <v>125</v>
      </c>
      <c r="I50" s="51"/>
      <c r="J50" s="18" t="s">
        <v>182</v>
      </c>
    </row>
    <row r="51" spans="1:10">
      <c r="A51" s="18" t="s">
        <v>149</v>
      </c>
      <c r="B51" s="18" t="s">
        <v>148</v>
      </c>
      <c r="C51" s="18" t="s">
        <v>91</v>
      </c>
      <c r="D51" s="18">
        <v>18.850000000000001</v>
      </c>
      <c r="E51" s="50"/>
      <c r="F51" s="18" t="s">
        <v>183</v>
      </c>
      <c r="G51" s="18" t="s">
        <v>93</v>
      </c>
      <c r="H51" s="18" t="s">
        <v>125</v>
      </c>
      <c r="I51" s="51"/>
      <c r="J51" s="18" t="s">
        <v>182</v>
      </c>
    </row>
    <row r="52" spans="1:10">
      <c r="A52" s="18" t="s">
        <v>150</v>
      </c>
      <c r="B52" s="18" t="s">
        <v>148</v>
      </c>
      <c r="C52" s="18" t="s">
        <v>91</v>
      </c>
      <c r="D52" s="18">
        <v>18.93</v>
      </c>
      <c r="E52" s="50"/>
      <c r="F52" s="18" t="s">
        <v>183</v>
      </c>
      <c r="G52" s="18" t="s">
        <v>93</v>
      </c>
      <c r="H52" s="18" t="s">
        <v>125</v>
      </c>
      <c r="I52" s="51"/>
      <c r="J52" s="18" t="s">
        <v>182</v>
      </c>
    </row>
    <row r="53" spans="1:10">
      <c r="A53" s="18" t="s">
        <v>151</v>
      </c>
      <c r="B53" s="18" t="s">
        <v>152</v>
      </c>
      <c r="C53" s="18" t="s">
        <v>91</v>
      </c>
      <c r="D53" s="18">
        <v>22.19</v>
      </c>
      <c r="E53" s="50">
        <f t="shared" ref="E53" si="20">AVERAGE(D53:D55)</f>
        <v>22.320000000000004</v>
      </c>
      <c r="F53" s="18" t="s">
        <v>183</v>
      </c>
      <c r="G53" s="18" t="s">
        <v>93</v>
      </c>
      <c r="H53" s="18" t="s">
        <v>125</v>
      </c>
      <c r="I53" s="51"/>
      <c r="J53" s="18" t="s">
        <v>182</v>
      </c>
    </row>
    <row r="54" spans="1:10">
      <c r="A54" s="18" t="s">
        <v>153</v>
      </c>
      <c r="B54" s="18" t="s">
        <v>152</v>
      </c>
      <c r="C54" s="18" t="s">
        <v>91</v>
      </c>
      <c r="D54" s="18">
        <v>22.41</v>
      </c>
      <c r="E54" s="50"/>
      <c r="F54" s="18" t="s">
        <v>183</v>
      </c>
      <c r="G54" s="18" t="s">
        <v>93</v>
      </c>
      <c r="H54" s="18" t="s">
        <v>129</v>
      </c>
      <c r="I54" s="51"/>
      <c r="J54" s="18" t="s">
        <v>182</v>
      </c>
    </row>
    <row r="55" spans="1:10">
      <c r="A55" s="18" t="s">
        <v>154</v>
      </c>
      <c r="B55" s="18" t="s">
        <v>152</v>
      </c>
      <c r="C55" s="18" t="s">
        <v>91</v>
      </c>
      <c r="D55" s="18">
        <v>22.36</v>
      </c>
      <c r="E55" s="50"/>
      <c r="F55" s="18" t="s">
        <v>183</v>
      </c>
      <c r="G55" s="18" t="s">
        <v>93</v>
      </c>
      <c r="H55" s="18" t="s">
        <v>129</v>
      </c>
      <c r="I55" s="51"/>
      <c r="J55" s="18" t="s">
        <v>182</v>
      </c>
    </row>
    <row r="56" spans="1:10">
      <c r="A56" s="18" t="s">
        <v>155</v>
      </c>
      <c r="B56" s="18" t="s">
        <v>156</v>
      </c>
      <c r="C56" s="18" t="s">
        <v>91</v>
      </c>
      <c r="D56" s="18">
        <v>25.82</v>
      </c>
      <c r="E56" s="50">
        <f t="shared" ref="E56" si="21">AVERAGE(D56:D58)</f>
        <v>25.866666666666664</v>
      </c>
      <c r="F56" s="18" t="s">
        <v>183</v>
      </c>
      <c r="G56" s="18" t="s">
        <v>93</v>
      </c>
      <c r="H56" s="18" t="s">
        <v>132</v>
      </c>
      <c r="I56" s="51"/>
      <c r="J56" s="18" t="s">
        <v>182</v>
      </c>
    </row>
    <row r="57" spans="1:10">
      <c r="A57" s="18" t="s">
        <v>157</v>
      </c>
      <c r="B57" s="18" t="s">
        <v>156</v>
      </c>
      <c r="C57" s="18" t="s">
        <v>91</v>
      </c>
      <c r="D57" s="18">
        <v>25.92</v>
      </c>
      <c r="E57" s="50"/>
      <c r="F57" s="18" t="s">
        <v>183</v>
      </c>
      <c r="G57" s="18" t="s">
        <v>93</v>
      </c>
      <c r="H57" s="18" t="s">
        <v>132</v>
      </c>
      <c r="I57" s="51"/>
      <c r="J57" s="18" t="s">
        <v>182</v>
      </c>
    </row>
    <row r="58" spans="1:10">
      <c r="A58" s="18" t="s">
        <v>158</v>
      </c>
      <c r="B58" s="18" t="s">
        <v>156</v>
      </c>
      <c r="C58" s="18" t="s">
        <v>91</v>
      </c>
      <c r="D58" s="18">
        <v>25.86</v>
      </c>
      <c r="E58" s="50"/>
      <c r="F58" s="18" t="s">
        <v>183</v>
      </c>
      <c r="G58" s="18" t="s">
        <v>93</v>
      </c>
      <c r="H58" s="18" t="s">
        <v>132</v>
      </c>
      <c r="I58" s="51"/>
      <c r="J58" s="18" t="s">
        <v>182</v>
      </c>
    </row>
    <row r="59" spans="1:10">
      <c r="A59" s="18" t="s">
        <v>159</v>
      </c>
      <c r="B59" s="18" t="s">
        <v>160</v>
      </c>
      <c r="C59" s="18" t="s">
        <v>91</v>
      </c>
      <c r="D59" s="18">
        <v>27.61</v>
      </c>
      <c r="E59" s="50">
        <f t="shared" ref="E59" si="22">AVERAGE(D59:D61)</f>
        <v>27.673333333333336</v>
      </c>
      <c r="F59" s="18" t="s">
        <v>183</v>
      </c>
      <c r="G59" s="18" t="s">
        <v>93</v>
      </c>
      <c r="H59" s="18" t="s">
        <v>111</v>
      </c>
      <c r="I59" s="51"/>
      <c r="J59" s="18" t="s">
        <v>182</v>
      </c>
    </row>
    <row r="60" spans="1:10">
      <c r="A60" s="18" t="s">
        <v>161</v>
      </c>
      <c r="B60" s="18" t="s">
        <v>160</v>
      </c>
      <c r="C60" s="18" t="s">
        <v>91</v>
      </c>
      <c r="D60" s="18">
        <v>27.59</v>
      </c>
      <c r="E60" s="50"/>
      <c r="F60" s="18" t="s">
        <v>183</v>
      </c>
      <c r="G60" s="18" t="s">
        <v>93</v>
      </c>
      <c r="H60" s="18" t="s">
        <v>111</v>
      </c>
      <c r="I60" s="51"/>
      <c r="J60" s="18" t="s">
        <v>182</v>
      </c>
    </row>
    <row r="61" spans="1:10">
      <c r="A61" s="18" t="s">
        <v>162</v>
      </c>
      <c r="B61" s="18" t="s">
        <v>160</v>
      </c>
      <c r="C61" s="18" t="s">
        <v>91</v>
      </c>
      <c r="D61" s="18">
        <v>27.82</v>
      </c>
      <c r="E61" s="50"/>
      <c r="F61" s="18" t="s">
        <v>183</v>
      </c>
      <c r="G61" s="18" t="s">
        <v>93</v>
      </c>
      <c r="H61" s="18" t="s">
        <v>111</v>
      </c>
      <c r="I61" s="51"/>
      <c r="J61" s="18" t="s">
        <v>182</v>
      </c>
    </row>
    <row r="62" spans="1:10">
      <c r="A62" s="18" t="s">
        <v>163</v>
      </c>
      <c r="B62" s="18" t="s">
        <v>164</v>
      </c>
      <c r="C62" s="18" t="s">
        <v>91</v>
      </c>
      <c r="D62" s="18" t="s">
        <v>181</v>
      </c>
      <c r="E62" s="50" t="e">
        <f t="shared" ref="E62" si="23">AVERAGE(D62:D64)</f>
        <v>#DIV/0!</v>
      </c>
      <c r="F62" s="18" t="s">
        <v>92</v>
      </c>
      <c r="G62" s="18" t="s">
        <v>93</v>
      </c>
      <c r="H62" s="18" t="s">
        <v>92</v>
      </c>
      <c r="I62" s="51"/>
      <c r="J62" s="18" t="s">
        <v>182</v>
      </c>
    </row>
    <row r="63" spans="1:10">
      <c r="A63" s="18" t="s">
        <v>165</v>
      </c>
      <c r="B63" s="18" t="s">
        <v>164</v>
      </c>
      <c r="C63" s="18" t="s">
        <v>91</v>
      </c>
      <c r="D63" s="18" t="s">
        <v>181</v>
      </c>
      <c r="E63" s="50"/>
      <c r="F63" s="18" t="s">
        <v>92</v>
      </c>
      <c r="G63" s="18" t="s">
        <v>93</v>
      </c>
      <c r="H63" s="18" t="s">
        <v>92</v>
      </c>
      <c r="I63" s="51"/>
      <c r="J63" s="18" t="s">
        <v>182</v>
      </c>
    </row>
    <row r="64" spans="1:10">
      <c r="A64" s="18" t="s">
        <v>166</v>
      </c>
      <c r="B64" s="18" t="s">
        <v>164</v>
      </c>
      <c r="C64" s="18" t="s">
        <v>91</v>
      </c>
      <c r="D64" s="18" t="s">
        <v>181</v>
      </c>
      <c r="E64" s="50"/>
      <c r="F64" s="18" t="s">
        <v>92</v>
      </c>
      <c r="G64" s="18" t="s">
        <v>93</v>
      </c>
      <c r="H64" s="18" t="s">
        <v>92</v>
      </c>
      <c r="I64" s="51"/>
      <c r="J64" s="18" t="s">
        <v>182</v>
      </c>
    </row>
    <row r="65" spans="1:10">
      <c r="A65" s="18" t="s">
        <v>167</v>
      </c>
      <c r="B65" s="18" t="s">
        <v>14</v>
      </c>
      <c r="C65" s="18" t="s">
        <v>91</v>
      </c>
      <c r="D65" s="18" t="s">
        <v>181</v>
      </c>
      <c r="E65" s="49" t="e">
        <f t="shared" ref="E65" si="24">AVERAGE(D65:D67)</f>
        <v>#DIV/0!</v>
      </c>
      <c r="F65" s="18" t="s">
        <v>92</v>
      </c>
      <c r="G65" s="18" t="s">
        <v>93</v>
      </c>
      <c r="H65" s="18" t="s">
        <v>92</v>
      </c>
      <c r="I65" s="51"/>
      <c r="J65" s="18" t="s">
        <v>182</v>
      </c>
    </row>
    <row r="66" spans="1:10">
      <c r="A66" s="18" t="s">
        <v>168</v>
      </c>
      <c r="B66" s="18" t="s">
        <v>14</v>
      </c>
      <c r="C66" s="18" t="s">
        <v>91</v>
      </c>
      <c r="D66" s="18" t="s">
        <v>181</v>
      </c>
      <c r="E66" s="49"/>
      <c r="F66" s="18" t="s">
        <v>92</v>
      </c>
      <c r="G66" s="18" t="s">
        <v>93</v>
      </c>
      <c r="H66" s="18" t="s">
        <v>92</v>
      </c>
      <c r="I66" s="51"/>
      <c r="J66" s="18" t="s">
        <v>182</v>
      </c>
    </row>
    <row r="67" spans="1:10">
      <c r="A67" s="18" t="s">
        <v>169</v>
      </c>
      <c r="B67" s="18" t="s">
        <v>14</v>
      </c>
      <c r="C67" s="18" t="s">
        <v>91</v>
      </c>
      <c r="D67" s="18" t="s">
        <v>181</v>
      </c>
      <c r="E67" s="49"/>
      <c r="F67" s="18" t="s">
        <v>92</v>
      </c>
      <c r="G67" s="18" t="s">
        <v>93</v>
      </c>
      <c r="H67" s="18" t="s">
        <v>92</v>
      </c>
      <c r="I67" s="51"/>
      <c r="J67" s="18" t="s">
        <v>182</v>
      </c>
    </row>
    <row r="68" spans="1:10">
      <c r="A68" s="18" t="s">
        <v>170</v>
      </c>
      <c r="B68" s="18" t="s">
        <v>171</v>
      </c>
      <c r="C68" s="18" t="s">
        <v>91</v>
      </c>
      <c r="D68" s="18" t="s">
        <v>181</v>
      </c>
      <c r="E68" s="49" t="e">
        <f t="shared" ref="E68" si="25">AVERAGE(D68:D70)</f>
        <v>#DIV/0!</v>
      </c>
      <c r="F68" s="18" t="s">
        <v>92</v>
      </c>
      <c r="G68" s="18" t="s">
        <v>93</v>
      </c>
      <c r="H68" s="18" t="s">
        <v>92</v>
      </c>
      <c r="I68" s="51"/>
      <c r="J68" s="18" t="s">
        <v>182</v>
      </c>
    </row>
    <row r="69" spans="1:10">
      <c r="A69" s="18" t="s">
        <v>172</v>
      </c>
      <c r="B69" s="18" t="s">
        <v>171</v>
      </c>
      <c r="C69" s="18" t="s">
        <v>91</v>
      </c>
      <c r="D69" s="18" t="s">
        <v>181</v>
      </c>
      <c r="E69" s="49"/>
      <c r="F69" s="18" t="s">
        <v>92</v>
      </c>
      <c r="G69" s="18" t="s">
        <v>93</v>
      </c>
      <c r="H69" s="18" t="s">
        <v>92</v>
      </c>
      <c r="I69" s="51"/>
      <c r="J69" s="18" t="s">
        <v>182</v>
      </c>
    </row>
    <row r="70" spans="1:10">
      <c r="A70" s="18" t="s">
        <v>173</v>
      </c>
      <c r="B70" s="18" t="s">
        <v>171</v>
      </c>
      <c r="C70" s="18" t="s">
        <v>91</v>
      </c>
      <c r="D70" s="18" t="s">
        <v>181</v>
      </c>
      <c r="E70" s="49"/>
      <c r="F70" s="18" t="s">
        <v>92</v>
      </c>
      <c r="G70" s="18" t="s">
        <v>93</v>
      </c>
      <c r="H70" s="18" t="s">
        <v>92</v>
      </c>
      <c r="I70" s="51"/>
      <c r="J70" s="18" t="s">
        <v>182</v>
      </c>
    </row>
    <row r="71" spans="1:10">
      <c r="A71" s="18" t="s">
        <v>174</v>
      </c>
      <c r="B71" s="18" t="s">
        <v>175</v>
      </c>
      <c r="C71" s="18" t="s">
        <v>91</v>
      </c>
      <c r="D71" s="18" t="s">
        <v>181</v>
      </c>
      <c r="E71" s="49" t="e">
        <f t="shared" ref="E71" si="26">AVERAGE(D71:D73)</f>
        <v>#DIV/0!</v>
      </c>
      <c r="F71" s="18" t="s">
        <v>92</v>
      </c>
      <c r="G71" s="18" t="s">
        <v>93</v>
      </c>
      <c r="H71" s="18" t="s">
        <v>92</v>
      </c>
      <c r="I71" s="51"/>
      <c r="J71" s="18" t="s">
        <v>182</v>
      </c>
    </row>
    <row r="72" spans="1:10">
      <c r="A72" s="18" t="s">
        <v>176</v>
      </c>
      <c r="B72" s="18" t="s">
        <v>175</v>
      </c>
      <c r="C72" s="18" t="s">
        <v>91</v>
      </c>
      <c r="D72" s="18" t="s">
        <v>181</v>
      </c>
      <c r="E72" s="49"/>
      <c r="F72" s="18" t="s">
        <v>92</v>
      </c>
      <c r="G72" s="18" t="s">
        <v>93</v>
      </c>
      <c r="H72" s="18" t="s">
        <v>92</v>
      </c>
      <c r="I72" s="51"/>
      <c r="J72" s="18" t="s">
        <v>182</v>
      </c>
    </row>
    <row r="73" spans="1:10">
      <c r="A73" s="18" t="s">
        <v>177</v>
      </c>
      <c r="B73" s="18" t="s">
        <v>175</v>
      </c>
      <c r="C73" s="18" t="s">
        <v>91</v>
      </c>
      <c r="D73" s="18" t="s">
        <v>181</v>
      </c>
      <c r="E73" s="49"/>
      <c r="F73" s="18" t="s">
        <v>92</v>
      </c>
      <c r="G73" s="18" t="s">
        <v>93</v>
      </c>
      <c r="H73" s="18" t="s">
        <v>92</v>
      </c>
      <c r="I73" s="51"/>
      <c r="J73" s="18" t="s">
        <v>182</v>
      </c>
    </row>
    <row r="74" spans="1:10">
      <c r="A74" s="18" t="s">
        <v>185</v>
      </c>
      <c r="B74" s="18" t="s">
        <v>186</v>
      </c>
      <c r="C74" s="18" t="s">
        <v>182</v>
      </c>
      <c r="D74" s="18" t="s">
        <v>181</v>
      </c>
      <c r="E74" s="49" t="e">
        <f t="shared" ref="E74" si="27">AVERAGE(D74:D76)</f>
        <v>#DIV/0!</v>
      </c>
      <c r="F74" s="18" t="s">
        <v>92</v>
      </c>
      <c r="G74" s="18" t="s">
        <v>93</v>
      </c>
      <c r="I74" s="51"/>
      <c r="J74" s="18" t="s">
        <v>182</v>
      </c>
    </row>
    <row r="75" spans="1:10">
      <c r="A75" s="18" t="s">
        <v>187</v>
      </c>
      <c r="B75" s="18" t="s">
        <v>188</v>
      </c>
      <c r="C75" s="18" t="s">
        <v>182</v>
      </c>
      <c r="D75" s="18" t="s">
        <v>181</v>
      </c>
      <c r="E75" s="49"/>
      <c r="F75" s="18" t="s">
        <v>92</v>
      </c>
      <c r="G75" s="18" t="s">
        <v>93</v>
      </c>
      <c r="I75" s="51"/>
      <c r="J75" s="18" t="s">
        <v>182</v>
      </c>
    </row>
    <row r="76" spans="1:10">
      <c r="A76" s="18" t="s">
        <v>189</v>
      </c>
      <c r="B76" s="18" t="s">
        <v>190</v>
      </c>
      <c r="C76" s="18" t="s">
        <v>182</v>
      </c>
      <c r="D76" s="18" t="s">
        <v>181</v>
      </c>
      <c r="E76" s="49"/>
      <c r="F76" s="18" t="s">
        <v>92</v>
      </c>
      <c r="G76" s="18" t="s">
        <v>93</v>
      </c>
      <c r="I76" s="51"/>
      <c r="J76" s="18" t="s">
        <v>182</v>
      </c>
    </row>
    <row r="77" spans="1:10">
      <c r="A77" s="18" t="s">
        <v>191</v>
      </c>
      <c r="B77" s="18" t="s">
        <v>192</v>
      </c>
      <c r="C77" s="18" t="s">
        <v>182</v>
      </c>
      <c r="D77" s="18" t="s">
        <v>181</v>
      </c>
      <c r="E77" s="49" t="e">
        <f t="shared" ref="E77" si="28">AVERAGE(D77:D79)</f>
        <v>#DIV/0!</v>
      </c>
      <c r="F77" s="18" t="s">
        <v>92</v>
      </c>
      <c r="G77" s="18" t="s">
        <v>93</v>
      </c>
      <c r="I77" s="51"/>
      <c r="J77" s="18" t="s">
        <v>182</v>
      </c>
    </row>
    <row r="78" spans="1:10">
      <c r="A78" s="18" t="s">
        <v>193</v>
      </c>
      <c r="B78" s="18" t="s">
        <v>194</v>
      </c>
      <c r="C78" s="18" t="s">
        <v>182</v>
      </c>
      <c r="D78" s="18" t="s">
        <v>181</v>
      </c>
      <c r="E78" s="49"/>
      <c r="F78" s="18" t="s">
        <v>92</v>
      </c>
      <c r="G78" s="18" t="s">
        <v>93</v>
      </c>
      <c r="I78" s="51"/>
      <c r="J78" s="18" t="s">
        <v>182</v>
      </c>
    </row>
    <row r="79" spans="1:10">
      <c r="A79" s="18" t="s">
        <v>195</v>
      </c>
      <c r="B79" s="18" t="s">
        <v>196</v>
      </c>
      <c r="C79" s="18" t="s">
        <v>182</v>
      </c>
      <c r="D79" s="18" t="s">
        <v>181</v>
      </c>
      <c r="E79" s="49"/>
      <c r="F79" s="18" t="s">
        <v>92</v>
      </c>
      <c r="G79" s="18" t="s">
        <v>93</v>
      </c>
      <c r="I79" s="51"/>
      <c r="J79" s="18" t="s">
        <v>182</v>
      </c>
    </row>
    <row r="80" spans="1:10">
      <c r="A80" s="18" t="s">
        <v>197</v>
      </c>
      <c r="B80" s="18" t="s">
        <v>198</v>
      </c>
      <c r="C80" s="18" t="s">
        <v>182</v>
      </c>
      <c r="D80" s="18" t="s">
        <v>181</v>
      </c>
      <c r="E80" s="49" t="e">
        <f t="shared" ref="E80" si="29">AVERAGE(D80:D82)</f>
        <v>#DIV/0!</v>
      </c>
      <c r="F80" s="18" t="s">
        <v>92</v>
      </c>
      <c r="G80" s="18" t="s">
        <v>93</v>
      </c>
      <c r="I80" s="51"/>
      <c r="J80" s="18" t="s">
        <v>182</v>
      </c>
    </row>
    <row r="81" spans="1:10">
      <c r="A81" s="18" t="s">
        <v>199</v>
      </c>
      <c r="B81" s="18" t="s">
        <v>200</v>
      </c>
      <c r="C81" s="18" t="s">
        <v>182</v>
      </c>
      <c r="D81" s="18" t="s">
        <v>181</v>
      </c>
      <c r="E81" s="49"/>
      <c r="F81" s="18" t="s">
        <v>92</v>
      </c>
      <c r="G81" s="18" t="s">
        <v>93</v>
      </c>
      <c r="I81" s="51"/>
      <c r="J81" s="18" t="s">
        <v>182</v>
      </c>
    </row>
    <row r="82" spans="1:10">
      <c r="A82" s="18" t="s">
        <v>201</v>
      </c>
      <c r="B82" s="18" t="s">
        <v>202</v>
      </c>
      <c r="C82" s="18" t="s">
        <v>182</v>
      </c>
      <c r="D82" s="18" t="s">
        <v>181</v>
      </c>
      <c r="E82" s="49"/>
      <c r="F82" s="18" t="s">
        <v>92</v>
      </c>
      <c r="G82" s="18" t="s">
        <v>93</v>
      </c>
      <c r="I82" s="51"/>
      <c r="J82" s="18" t="s">
        <v>182</v>
      </c>
    </row>
    <row r="83" spans="1:10">
      <c r="A83" s="18" t="s">
        <v>203</v>
      </c>
      <c r="B83" s="18" t="s">
        <v>204</v>
      </c>
      <c r="C83" s="18" t="s">
        <v>182</v>
      </c>
      <c r="D83" s="18" t="s">
        <v>181</v>
      </c>
      <c r="E83" s="49" t="e">
        <f t="shared" ref="E83" si="30">AVERAGE(D83:D85)</f>
        <v>#DIV/0!</v>
      </c>
      <c r="F83" s="18" t="s">
        <v>92</v>
      </c>
      <c r="G83" s="18" t="s">
        <v>93</v>
      </c>
      <c r="I83" s="51"/>
      <c r="J83" s="18" t="s">
        <v>182</v>
      </c>
    </row>
    <row r="84" spans="1:10">
      <c r="A84" s="18" t="s">
        <v>205</v>
      </c>
      <c r="B84" s="18" t="s">
        <v>206</v>
      </c>
      <c r="C84" s="18" t="s">
        <v>182</v>
      </c>
      <c r="D84" s="18" t="s">
        <v>181</v>
      </c>
      <c r="E84" s="49"/>
      <c r="F84" s="18" t="s">
        <v>92</v>
      </c>
      <c r="G84" s="18" t="s">
        <v>93</v>
      </c>
      <c r="I84" s="51"/>
      <c r="J84" s="18" t="s">
        <v>182</v>
      </c>
    </row>
    <row r="85" spans="1:10">
      <c r="A85" s="18" t="s">
        <v>207</v>
      </c>
      <c r="B85" s="18" t="s">
        <v>208</v>
      </c>
      <c r="C85" s="18" t="s">
        <v>182</v>
      </c>
      <c r="D85" s="18" t="s">
        <v>181</v>
      </c>
      <c r="E85" s="49"/>
      <c r="F85" s="18" t="s">
        <v>92</v>
      </c>
      <c r="G85" s="18" t="s">
        <v>93</v>
      </c>
      <c r="I85" s="51"/>
      <c r="J85" s="18" t="s">
        <v>182</v>
      </c>
    </row>
    <row r="86" spans="1:10">
      <c r="A86" s="18" t="s">
        <v>209</v>
      </c>
      <c r="B86" s="18" t="s">
        <v>210</v>
      </c>
      <c r="C86" s="18" t="s">
        <v>182</v>
      </c>
      <c r="D86" s="18" t="s">
        <v>181</v>
      </c>
      <c r="E86" s="49" t="e">
        <f t="shared" ref="E86" si="31">AVERAGE(D86:D88)</f>
        <v>#DIV/0!</v>
      </c>
      <c r="F86" s="18" t="s">
        <v>92</v>
      </c>
      <c r="G86" s="18" t="s">
        <v>93</v>
      </c>
      <c r="I86" s="51"/>
      <c r="J86" s="18" t="s">
        <v>182</v>
      </c>
    </row>
    <row r="87" spans="1:10">
      <c r="A87" s="18" t="s">
        <v>211</v>
      </c>
      <c r="B87" s="18" t="s">
        <v>212</v>
      </c>
      <c r="C87" s="18" t="s">
        <v>182</v>
      </c>
      <c r="D87" s="18" t="s">
        <v>181</v>
      </c>
      <c r="E87" s="49"/>
      <c r="F87" s="18" t="s">
        <v>92</v>
      </c>
      <c r="G87" s="18" t="s">
        <v>93</v>
      </c>
      <c r="I87" s="51"/>
      <c r="J87" s="18" t="s">
        <v>182</v>
      </c>
    </row>
    <row r="88" spans="1:10">
      <c r="A88" s="18" t="s">
        <v>213</v>
      </c>
      <c r="B88" s="18" t="s">
        <v>214</v>
      </c>
      <c r="C88" s="18" t="s">
        <v>182</v>
      </c>
      <c r="D88" s="18" t="s">
        <v>181</v>
      </c>
      <c r="E88" s="49"/>
      <c r="F88" s="18" t="s">
        <v>92</v>
      </c>
      <c r="G88" s="18" t="s">
        <v>93</v>
      </c>
      <c r="I88" s="51"/>
      <c r="J88" s="18" t="s">
        <v>182</v>
      </c>
    </row>
    <row r="89" spans="1:10">
      <c r="A89" s="18" t="s">
        <v>215</v>
      </c>
      <c r="B89" s="18" t="s">
        <v>216</v>
      </c>
      <c r="C89" s="18" t="s">
        <v>182</v>
      </c>
      <c r="D89" s="18" t="s">
        <v>181</v>
      </c>
      <c r="E89" s="49" t="e">
        <f t="shared" ref="E89" si="32">AVERAGE(D89:D91)</f>
        <v>#DIV/0!</v>
      </c>
      <c r="F89" s="18" t="s">
        <v>92</v>
      </c>
      <c r="G89" s="18" t="s">
        <v>93</v>
      </c>
      <c r="I89" s="51"/>
      <c r="J89" s="18" t="s">
        <v>182</v>
      </c>
    </row>
    <row r="90" spans="1:10">
      <c r="A90" s="18" t="s">
        <v>217</v>
      </c>
      <c r="B90" s="18" t="s">
        <v>218</v>
      </c>
      <c r="C90" s="18" t="s">
        <v>182</v>
      </c>
      <c r="D90" s="18" t="s">
        <v>181</v>
      </c>
      <c r="E90" s="49"/>
      <c r="F90" s="18" t="s">
        <v>92</v>
      </c>
      <c r="G90" s="18" t="s">
        <v>93</v>
      </c>
      <c r="I90" s="51"/>
      <c r="J90" s="18" t="s">
        <v>182</v>
      </c>
    </row>
    <row r="91" spans="1:10">
      <c r="A91" s="18" t="s">
        <v>219</v>
      </c>
      <c r="B91" s="18" t="s">
        <v>220</v>
      </c>
      <c r="C91" s="18" t="s">
        <v>182</v>
      </c>
      <c r="D91" s="18" t="s">
        <v>181</v>
      </c>
      <c r="E91" s="49"/>
      <c r="F91" s="18" t="s">
        <v>92</v>
      </c>
      <c r="G91" s="18" t="s">
        <v>93</v>
      </c>
      <c r="I91" s="51"/>
      <c r="J91" s="18" t="s">
        <v>182</v>
      </c>
    </row>
    <row r="92" spans="1:10">
      <c r="A92" s="18" t="s">
        <v>221</v>
      </c>
      <c r="B92" s="18" t="s">
        <v>222</v>
      </c>
      <c r="C92" s="18" t="s">
        <v>182</v>
      </c>
      <c r="D92" s="18" t="s">
        <v>181</v>
      </c>
      <c r="E92" s="49" t="e">
        <f t="shared" ref="E92" si="33">AVERAGE(D92:D94)</f>
        <v>#DIV/0!</v>
      </c>
      <c r="F92" s="18" t="s">
        <v>92</v>
      </c>
      <c r="G92" s="18" t="s">
        <v>93</v>
      </c>
      <c r="I92" s="51"/>
      <c r="J92" s="18" t="s">
        <v>182</v>
      </c>
    </row>
    <row r="93" spans="1:10">
      <c r="A93" s="18" t="s">
        <v>223</v>
      </c>
      <c r="B93" s="18" t="s">
        <v>224</v>
      </c>
      <c r="C93" s="18" t="s">
        <v>182</v>
      </c>
      <c r="D93" s="18" t="s">
        <v>181</v>
      </c>
      <c r="E93" s="49"/>
      <c r="F93" s="18" t="s">
        <v>92</v>
      </c>
      <c r="G93" s="18" t="s">
        <v>93</v>
      </c>
      <c r="I93" s="51"/>
      <c r="J93" s="18" t="s">
        <v>182</v>
      </c>
    </row>
    <row r="94" spans="1:10">
      <c r="A94" s="18" t="s">
        <v>225</v>
      </c>
      <c r="B94" s="18" t="s">
        <v>226</v>
      </c>
      <c r="C94" s="18" t="s">
        <v>182</v>
      </c>
      <c r="D94" s="18" t="s">
        <v>181</v>
      </c>
      <c r="E94" s="49"/>
      <c r="F94" s="18" t="s">
        <v>92</v>
      </c>
      <c r="G94" s="18" t="s">
        <v>93</v>
      </c>
      <c r="I94" s="51"/>
      <c r="J94" s="18" t="s">
        <v>182</v>
      </c>
    </row>
    <row r="95" spans="1:10">
      <c r="A95" s="18" t="s">
        <v>227</v>
      </c>
      <c r="B95" s="18" t="s">
        <v>228</v>
      </c>
      <c r="C95" s="18" t="s">
        <v>182</v>
      </c>
      <c r="D95" s="18" t="s">
        <v>181</v>
      </c>
      <c r="E95" s="49" t="e">
        <f t="shared" ref="E95" si="34">AVERAGE(D95:D97)</f>
        <v>#DIV/0!</v>
      </c>
      <c r="F95" s="18" t="s">
        <v>92</v>
      </c>
      <c r="G95" s="18" t="s">
        <v>93</v>
      </c>
      <c r="I95" s="51"/>
      <c r="J95" s="18" t="s">
        <v>182</v>
      </c>
    </row>
    <row r="96" spans="1:10">
      <c r="A96" s="18" t="s">
        <v>229</v>
      </c>
      <c r="B96" s="18" t="s">
        <v>230</v>
      </c>
      <c r="C96" s="18" t="s">
        <v>182</v>
      </c>
      <c r="D96" s="18" t="s">
        <v>181</v>
      </c>
      <c r="E96" s="49"/>
      <c r="F96" s="18" t="s">
        <v>92</v>
      </c>
      <c r="G96" s="18" t="s">
        <v>93</v>
      </c>
      <c r="I96" s="51"/>
      <c r="J96" s="18" t="s">
        <v>182</v>
      </c>
    </row>
    <row r="97" spans="1:10">
      <c r="A97" s="18" t="s">
        <v>231</v>
      </c>
      <c r="B97" s="18" t="s">
        <v>232</v>
      </c>
      <c r="C97" s="18" t="s">
        <v>182</v>
      </c>
      <c r="D97" s="18" t="s">
        <v>181</v>
      </c>
      <c r="E97" s="49"/>
      <c r="F97" s="18" t="s">
        <v>92</v>
      </c>
      <c r="G97" s="18" t="s">
        <v>93</v>
      </c>
      <c r="I97" s="51"/>
      <c r="J97" s="18" t="s">
        <v>182</v>
      </c>
    </row>
  </sheetData>
  <mergeCells count="64">
    <mergeCell ref="I92:I94"/>
    <mergeCell ref="I95:I97"/>
    <mergeCell ref="I77:I79"/>
    <mergeCell ref="I80:I82"/>
    <mergeCell ref="I83:I85"/>
    <mergeCell ref="I86:I88"/>
    <mergeCell ref="I89:I91"/>
    <mergeCell ref="I62:I64"/>
    <mergeCell ref="I65:I67"/>
    <mergeCell ref="I68:I70"/>
    <mergeCell ref="I71:I73"/>
    <mergeCell ref="I74:I76"/>
    <mergeCell ref="I47:I49"/>
    <mergeCell ref="I50:I52"/>
    <mergeCell ref="I53:I55"/>
    <mergeCell ref="I56:I58"/>
    <mergeCell ref="I59:I61"/>
    <mergeCell ref="I32:I34"/>
    <mergeCell ref="I35:I37"/>
    <mergeCell ref="I38:I40"/>
    <mergeCell ref="I41:I43"/>
    <mergeCell ref="I44:I46"/>
    <mergeCell ref="I17:I19"/>
    <mergeCell ref="I20:I22"/>
    <mergeCell ref="I23:I25"/>
    <mergeCell ref="I26:I28"/>
    <mergeCell ref="I29:I31"/>
    <mergeCell ref="I2:I4"/>
    <mergeCell ref="I5:I7"/>
    <mergeCell ref="I8:I10"/>
    <mergeCell ref="I11:I13"/>
    <mergeCell ref="I14:I16"/>
    <mergeCell ref="E35:E37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71:E73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92:E94"/>
    <mergeCell ref="E95:E97"/>
    <mergeCell ref="E74:E76"/>
    <mergeCell ref="E77:E79"/>
    <mergeCell ref="E80:E82"/>
    <mergeCell ref="E83:E85"/>
    <mergeCell ref="E86:E88"/>
    <mergeCell ref="E89:E91"/>
  </mergeCells>
  <phoneticPr fontId="7" type="noConversion"/>
  <pageMargins left="0.75" right="0.75" top="1" bottom="1" header="0.5" footer="0.5"/>
  <pageSetup scale="4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34" workbookViewId="0">
      <selection activeCell="D1" sqref="D1:D1048576"/>
    </sheetView>
  </sheetViews>
  <sheetFormatPr baseColWidth="10" defaultRowHeight="15" x14ac:dyDescent="0"/>
  <cols>
    <col min="1" max="2" width="10.83203125" style="18"/>
    <col min="3" max="3" width="13.1640625" style="18" bestFit="1" customWidth="1"/>
    <col min="4" max="4" width="10.83203125" style="18"/>
    <col min="5" max="5" width="11.6640625" style="18" bestFit="1" customWidth="1"/>
    <col min="6" max="16384" width="10.83203125" style="18"/>
  </cols>
  <sheetData>
    <row r="1" spans="1:6">
      <c r="A1" s="18" t="s">
        <v>53</v>
      </c>
      <c r="B1" s="18" t="s">
        <v>54</v>
      </c>
      <c r="C1" s="18" t="s">
        <v>55</v>
      </c>
      <c r="D1" s="18" t="s">
        <v>87</v>
      </c>
      <c r="E1" s="18" t="s">
        <v>88</v>
      </c>
      <c r="F1" s="18" t="s">
        <v>89</v>
      </c>
    </row>
    <row r="2" spans="1:6">
      <c r="A2" s="18" t="s">
        <v>90</v>
      </c>
      <c r="B2" s="18">
        <v>1</v>
      </c>
      <c r="C2" s="18" t="s">
        <v>91</v>
      </c>
      <c r="D2" s="18" t="s">
        <v>92</v>
      </c>
      <c r="E2" s="18" t="s">
        <v>93</v>
      </c>
      <c r="F2" s="18">
        <v>1</v>
      </c>
    </row>
    <row r="3" spans="1:6">
      <c r="A3" s="18" t="s">
        <v>94</v>
      </c>
      <c r="B3" s="18">
        <v>1</v>
      </c>
      <c r="C3" s="18" t="s">
        <v>91</v>
      </c>
      <c r="D3" s="18" t="s">
        <v>92</v>
      </c>
      <c r="E3" s="18" t="s">
        <v>93</v>
      </c>
      <c r="F3" s="18">
        <v>2</v>
      </c>
    </row>
    <row r="4" spans="1:6">
      <c r="A4" s="18" t="s">
        <v>95</v>
      </c>
      <c r="B4" s="18">
        <v>1</v>
      </c>
      <c r="C4" s="18" t="s">
        <v>91</v>
      </c>
      <c r="D4" s="18" t="s">
        <v>92</v>
      </c>
      <c r="E4" s="18" t="s">
        <v>93</v>
      </c>
      <c r="F4" s="18">
        <v>3</v>
      </c>
    </row>
    <row r="5" spans="1:6">
      <c r="A5" s="18" t="s">
        <v>96</v>
      </c>
      <c r="B5" s="18">
        <v>2</v>
      </c>
      <c r="C5" s="18" t="s">
        <v>91</v>
      </c>
      <c r="D5" s="18" t="s">
        <v>92</v>
      </c>
      <c r="E5" s="18" t="s">
        <v>93</v>
      </c>
      <c r="F5" s="18">
        <v>4</v>
      </c>
    </row>
    <row r="6" spans="1:6">
      <c r="A6" s="18" t="s">
        <v>97</v>
      </c>
      <c r="B6" s="18">
        <v>2</v>
      </c>
      <c r="C6" s="18" t="s">
        <v>91</v>
      </c>
      <c r="D6" s="18" t="s">
        <v>92</v>
      </c>
      <c r="E6" s="18" t="s">
        <v>93</v>
      </c>
      <c r="F6" s="18">
        <v>5</v>
      </c>
    </row>
    <row r="7" spans="1:6">
      <c r="A7" s="18" t="s">
        <v>98</v>
      </c>
      <c r="B7" s="18">
        <v>2</v>
      </c>
      <c r="C7" s="18" t="s">
        <v>91</v>
      </c>
      <c r="D7" s="18" t="s">
        <v>92</v>
      </c>
      <c r="E7" s="18" t="s">
        <v>93</v>
      </c>
      <c r="F7" s="18">
        <v>6</v>
      </c>
    </row>
    <row r="8" spans="1:6">
      <c r="A8" s="18" t="s">
        <v>99</v>
      </c>
      <c r="B8" s="18">
        <v>1900</v>
      </c>
      <c r="C8" s="18" t="s">
        <v>91</v>
      </c>
      <c r="D8" s="18" t="s">
        <v>92</v>
      </c>
      <c r="E8" s="18" t="s">
        <v>93</v>
      </c>
      <c r="F8" s="18">
        <v>7</v>
      </c>
    </row>
    <row r="9" spans="1:6">
      <c r="A9" s="18" t="s">
        <v>100</v>
      </c>
      <c r="B9" s="18">
        <v>1900</v>
      </c>
      <c r="C9" s="18" t="s">
        <v>91</v>
      </c>
      <c r="D9" s="18" t="s">
        <v>92</v>
      </c>
      <c r="E9" s="18" t="s">
        <v>93</v>
      </c>
      <c r="F9" s="18">
        <v>8</v>
      </c>
    </row>
    <row r="10" spans="1:6">
      <c r="A10" s="18" t="s">
        <v>101</v>
      </c>
      <c r="B10" s="18">
        <v>1900</v>
      </c>
      <c r="C10" s="18" t="s">
        <v>91</v>
      </c>
      <c r="D10" s="18" t="s">
        <v>92</v>
      </c>
      <c r="E10" s="18" t="s">
        <v>93</v>
      </c>
      <c r="F10" s="18">
        <v>9</v>
      </c>
    </row>
    <row r="11" spans="1:6">
      <c r="A11" s="18" t="s">
        <v>102</v>
      </c>
      <c r="B11" s="18">
        <v>1200</v>
      </c>
      <c r="C11" s="18" t="s">
        <v>91</v>
      </c>
      <c r="D11" s="18" t="s">
        <v>92</v>
      </c>
      <c r="E11" s="18" t="s">
        <v>93</v>
      </c>
      <c r="F11" s="18">
        <v>10</v>
      </c>
    </row>
    <row r="12" spans="1:6">
      <c r="A12" s="18" t="s">
        <v>103</v>
      </c>
      <c r="B12" s="18">
        <v>1200</v>
      </c>
      <c r="C12" s="18" t="s">
        <v>91</v>
      </c>
      <c r="D12" s="18" t="s">
        <v>92</v>
      </c>
      <c r="E12" s="18" t="s">
        <v>93</v>
      </c>
      <c r="F12" s="18">
        <v>11</v>
      </c>
    </row>
    <row r="13" spans="1:6">
      <c r="A13" s="18" t="s">
        <v>104</v>
      </c>
      <c r="B13" s="18">
        <v>1200</v>
      </c>
      <c r="C13" s="18" t="s">
        <v>91</v>
      </c>
      <c r="D13" s="18" t="s">
        <v>92</v>
      </c>
      <c r="E13" s="18" t="s">
        <v>93</v>
      </c>
      <c r="F13" s="18">
        <v>12</v>
      </c>
    </row>
    <row r="14" spans="1:6">
      <c r="A14" s="18" t="s">
        <v>105</v>
      </c>
      <c r="B14" s="18">
        <v>1195</v>
      </c>
      <c r="C14" s="18" t="s">
        <v>91</v>
      </c>
      <c r="D14" s="18" t="s">
        <v>92</v>
      </c>
      <c r="E14" s="18" t="s">
        <v>93</v>
      </c>
      <c r="F14" s="18">
        <v>13</v>
      </c>
    </row>
    <row r="15" spans="1:6">
      <c r="A15" s="18" t="s">
        <v>106</v>
      </c>
      <c r="B15" s="18">
        <v>1195</v>
      </c>
      <c r="C15" s="18" t="s">
        <v>91</v>
      </c>
      <c r="D15" s="18" t="s">
        <v>92</v>
      </c>
      <c r="E15" s="18" t="s">
        <v>93</v>
      </c>
      <c r="F15" s="18">
        <v>14</v>
      </c>
    </row>
    <row r="16" spans="1:6">
      <c r="A16" s="18" t="s">
        <v>107</v>
      </c>
      <c r="B16" s="18">
        <v>1195</v>
      </c>
      <c r="C16" s="18" t="s">
        <v>91</v>
      </c>
      <c r="D16" s="18" t="s">
        <v>92</v>
      </c>
      <c r="E16" s="18" t="s">
        <v>93</v>
      </c>
      <c r="F16" s="18">
        <v>15</v>
      </c>
    </row>
    <row r="17" spans="1:6">
      <c r="A17" s="18" t="s">
        <v>108</v>
      </c>
      <c r="B17" s="18">
        <v>1188</v>
      </c>
      <c r="C17" s="18" t="s">
        <v>91</v>
      </c>
      <c r="D17" s="18" t="s">
        <v>92</v>
      </c>
      <c r="E17" s="18" t="s">
        <v>93</v>
      </c>
      <c r="F17" s="18">
        <v>16</v>
      </c>
    </row>
    <row r="18" spans="1:6">
      <c r="A18" s="18" t="s">
        <v>109</v>
      </c>
      <c r="B18" s="18">
        <v>1188</v>
      </c>
      <c r="C18" s="18" t="s">
        <v>91</v>
      </c>
      <c r="D18" s="18" t="s">
        <v>92</v>
      </c>
      <c r="E18" s="18" t="s">
        <v>93</v>
      </c>
      <c r="F18" s="18">
        <v>17</v>
      </c>
    </row>
    <row r="19" spans="1:6">
      <c r="A19" s="18" t="s">
        <v>110</v>
      </c>
      <c r="B19" s="18">
        <v>1188</v>
      </c>
      <c r="C19" s="18" t="s">
        <v>91</v>
      </c>
      <c r="D19" s="18" t="s">
        <v>111</v>
      </c>
      <c r="E19" s="18" t="s">
        <v>93</v>
      </c>
      <c r="F19" s="18">
        <v>18</v>
      </c>
    </row>
    <row r="20" spans="1:6">
      <c r="A20" s="18" t="s">
        <v>112</v>
      </c>
      <c r="B20" s="18">
        <v>3080</v>
      </c>
      <c r="C20" s="18" t="s">
        <v>91</v>
      </c>
      <c r="D20" s="18" t="s">
        <v>92</v>
      </c>
      <c r="E20" s="18" t="s">
        <v>93</v>
      </c>
      <c r="F20" s="18">
        <v>19</v>
      </c>
    </row>
    <row r="21" spans="1:6">
      <c r="A21" s="18" t="s">
        <v>113</v>
      </c>
      <c r="B21" s="18">
        <v>3080</v>
      </c>
      <c r="C21" s="18" t="s">
        <v>91</v>
      </c>
      <c r="D21" s="18" t="s">
        <v>92</v>
      </c>
      <c r="E21" s="18" t="s">
        <v>93</v>
      </c>
      <c r="F21" s="18">
        <v>20</v>
      </c>
    </row>
    <row r="22" spans="1:6">
      <c r="A22" s="18" t="s">
        <v>114</v>
      </c>
      <c r="B22" s="18">
        <v>3080</v>
      </c>
      <c r="C22" s="18" t="s">
        <v>91</v>
      </c>
      <c r="D22" s="18" t="s">
        <v>92</v>
      </c>
      <c r="E22" s="18" t="s">
        <v>93</v>
      </c>
      <c r="F22" s="18">
        <v>21</v>
      </c>
    </row>
    <row r="23" spans="1:6">
      <c r="A23" s="18" t="s">
        <v>115</v>
      </c>
      <c r="B23" s="18">
        <v>3040</v>
      </c>
      <c r="C23" s="18" t="s">
        <v>91</v>
      </c>
      <c r="D23" s="18" t="s">
        <v>92</v>
      </c>
      <c r="E23" s="18" t="s">
        <v>93</v>
      </c>
      <c r="F23" s="18">
        <v>22</v>
      </c>
    </row>
    <row r="24" spans="1:6">
      <c r="A24" s="18" t="s">
        <v>116</v>
      </c>
      <c r="B24" s="18">
        <v>3040</v>
      </c>
      <c r="C24" s="18" t="s">
        <v>91</v>
      </c>
      <c r="D24" s="18" t="s">
        <v>92</v>
      </c>
      <c r="E24" s="18" t="s">
        <v>93</v>
      </c>
      <c r="F24" s="18">
        <v>23</v>
      </c>
    </row>
    <row r="25" spans="1:6">
      <c r="A25" s="18" t="s">
        <v>117</v>
      </c>
      <c r="B25" s="18">
        <v>3040</v>
      </c>
      <c r="C25" s="18" t="s">
        <v>91</v>
      </c>
      <c r="D25" s="18" t="s">
        <v>92</v>
      </c>
      <c r="E25" s="18" t="s">
        <v>93</v>
      </c>
      <c r="F25" s="18">
        <v>24</v>
      </c>
    </row>
    <row r="26" spans="1:6">
      <c r="A26" s="18" t="s">
        <v>118</v>
      </c>
      <c r="B26" s="18">
        <v>3095</v>
      </c>
      <c r="C26" s="18" t="s">
        <v>91</v>
      </c>
      <c r="D26" s="18" t="s">
        <v>92</v>
      </c>
      <c r="E26" s="18" t="s">
        <v>93</v>
      </c>
      <c r="F26" s="18">
        <v>25</v>
      </c>
    </row>
    <row r="27" spans="1:6">
      <c r="A27" s="18" t="s">
        <v>119</v>
      </c>
      <c r="B27" s="18">
        <v>3095</v>
      </c>
      <c r="C27" s="18" t="s">
        <v>91</v>
      </c>
      <c r="D27" s="18" t="s">
        <v>92</v>
      </c>
      <c r="E27" s="18" t="s">
        <v>93</v>
      </c>
      <c r="F27" s="18">
        <v>26</v>
      </c>
    </row>
    <row r="28" spans="1:6">
      <c r="A28" s="18" t="s">
        <v>120</v>
      </c>
      <c r="B28" s="18">
        <v>3095</v>
      </c>
      <c r="C28" s="18" t="s">
        <v>91</v>
      </c>
      <c r="D28" s="18" t="s">
        <v>92</v>
      </c>
      <c r="E28" s="18" t="s">
        <v>93</v>
      </c>
      <c r="F28" s="18">
        <v>27</v>
      </c>
    </row>
    <row r="29" spans="1:6">
      <c r="A29" s="18" t="s">
        <v>121</v>
      </c>
      <c r="B29" s="18">
        <v>3093</v>
      </c>
      <c r="C29" s="18" t="s">
        <v>91</v>
      </c>
      <c r="D29" s="18" t="s">
        <v>92</v>
      </c>
      <c r="E29" s="18" t="s">
        <v>93</v>
      </c>
      <c r="F29" s="18">
        <v>28</v>
      </c>
    </row>
    <row r="30" spans="1:6">
      <c r="A30" s="18" t="s">
        <v>122</v>
      </c>
      <c r="B30" s="18">
        <v>3093</v>
      </c>
      <c r="C30" s="18" t="s">
        <v>91</v>
      </c>
      <c r="D30" s="18" t="s">
        <v>92</v>
      </c>
      <c r="E30" s="18" t="s">
        <v>93</v>
      </c>
      <c r="F30" s="18">
        <v>29</v>
      </c>
    </row>
    <row r="31" spans="1:6">
      <c r="A31" s="18" t="s">
        <v>123</v>
      </c>
      <c r="B31" s="18">
        <v>3093</v>
      </c>
      <c r="C31" s="18" t="s">
        <v>91</v>
      </c>
      <c r="D31" s="18" t="s">
        <v>92</v>
      </c>
      <c r="E31" s="18" t="s">
        <v>93</v>
      </c>
      <c r="F31" s="18">
        <v>30</v>
      </c>
    </row>
    <row r="32" spans="1:6">
      <c r="A32" s="18" t="s">
        <v>124</v>
      </c>
      <c r="B32" s="18">
        <v>3078</v>
      </c>
      <c r="C32" s="18" t="s">
        <v>91</v>
      </c>
      <c r="D32" s="18" t="s">
        <v>125</v>
      </c>
      <c r="E32" s="18" t="s">
        <v>93</v>
      </c>
      <c r="F32" s="18">
        <v>31</v>
      </c>
    </row>
    <row r="33" spans="1:6">
      <c r="A33" s="18" t="s">
        <v>126</v>
      </c>
      <c r="B33" s="18">
        <v>3078</v>
      </c>
      <c r="C33" s="18" t="s">
        <v>91</v>
      </c>
      <c r="D33" s="18" t="s">
        <v>125</v>
      </c>
      <c r="E33" s="18" t="s">
        <v>93</v>
      </c>
      <c r="F33" s="18">
        <v>32</v>
      </c>
    </row>
    <row r="34" spans="1:6">
      <c r="A34" s="18" t="s">
        <v>127</v>
      </c>
      <c r="B34" s="18">
        <v>3078</v>
      </c>
      <c r="C34" s="18" t="s">
        <v>91</v>
      </c>
      <c r="D34" s="18" t="s">
        <v>125</v>
      </c>
      <c r="E34" s="18" t="s">
        <v>93</v>
      </c>
      <c r="F34" s="18">
        <v>33</v>
      </c>
    </row>
    <row r="35" spans="1:6">
      <c r="A35" s="18" t="s">
        <v>128</v>
      </c>
      <c r="B35" s="18">
        <v>3088</v>
      </c>
      <c r="C35" s="18" t="s">
        <v>91</v>
      </c>
      <c r="D35" s="18" t="s">
        <v>129</v>
      </c>
      <c r="E35" s="18" t="s">
        <v>93</v>
      </c>
      <c r="F35" s="18">
        <v>34</v>
      </c>
    </row>
    <row r="36" spans="1:6">
      <c r="A36" s="18" t="s">
        <v>130</v>
      </c>
      <c r="B36" s="18">
        <v>3088</v>
      </c>
      <c r="C36" s="18" t="s">
        <v>91</v>
      </c>
      <c r="D36" s="18" t="s">
        <v>129</v>
      </c>
      <c r="E36" s="18" t="s">
        <v>93</v>
      </c>
      <c r="F36" s="18">
        <v>35</v>
      </c>
    </row>
    <row r="37" spans="1:6">
      <c r="A37" s="18" t="s">
        <v>131</v>
      </c>
      <c r="B37" s="18">
        <v>3088</v>
      </c>
      <c r="C37" s="18" t="s">
        <v>91</v>
      </c>
      <c r="D37" s="18" t="s">
        <v>132</v>
      </c>
      <c r="E37" s="18" t="s">
        <v>93</v>
      </c>
      <c r="F37" s="18">
        <v>36</v>
      </c>
    </row>
    <row r="38" spans="1:6">
      <c r="A38" s="18" t="s">
        <v>133</v>
      </c>
      <c r="B38" s="18">
        <v>3094</v>
      </c>
      <c r="C38" s="18" t="s">
        <v>91</v>
      </c>
      <c r="D38" s="18" t="s">
        <v>125</v>
      </c>
      <c r="E38" s="18" t="s">
        <v>93</v>
      </c>
      <c r="F38" s="18">
        <v>37</v>
      </c>
    </row>
    <row r="39" spans="1:6">
      <c r="A39" s="18" t="s">
        <v>134</v>
      </c>
      <c r="B39" s="18">
        <v>3094</v>
      </c>
      <c r="C39" s="18" t="s">
        <v>91</v>
      </c>
      <c r="D39" s="18" t="s">
        <v>125</v>
      </c>
      <c r="E39" s="18" t="s">
        <v>93</v>
      </c>
      <c r="F39" s="18">
        <v>38</v>
      </c>
    </row>
    <row r="40" spans="1:6">
      <c r="A40" s="18" t="s">
        <v>135</v>
      </c>
      <c r="B40" s="18">
        <v>3094</v>
      </c>
      <c r="C40" s="18" t="s">
        <v>91</v>
      </c>
      <c r="D40" s="18" t="s">
        <v>125</v>
      </c>
      <c r="E40" s="18" t="s">
        <v>93</v>
      </c>
      <c r="F40" s="18">
        <v>39</v>
      </c>
    </row>
    <row r="41" spans="1:6">
      <c r="A41" s="18" t="s">
        <v>136</v>
      </c>
      <c r="B41" s="18">
        <v>3096</v>
      </c>
      <c r="C41" s="18" t="s">
        <v>91</v>
      </c>
      <c r="D41" s="18" t="s">
        <v>125</v>
      </c>
      <c r="E41" s="18" t="s">
        <v>93</v>
      </c>
      <c r="F41" s="18">
        <v>40</v>
      </c>
    </row>
    <row r="42" spans="1:6">
      <c r="A42" s="18" t="s">
        <v>137</v>
      </c>
      <c r="B42" s="18">
        <v>3096</v>
      </c>
      <c r="C42" s="18" t="s">
        <v>91</v>
      </c>
      <c r="D42" s="18" t="s">
        <v>125</v>
      </c>
      <c r="E42" s="18" t="s">
        <v>93</v>
      </c>
      <c r="F42" s="18">
        <v>41</v>
      </c>
    </row>
    <row r="43" spans="1:6">
      <c r="A43" s="18" t="s">
        <v>138</v>
      </c>
      <c r="B43" s="18">
        <v>3096</v>
      </c>
      <c r="C43" s="18" t="s">
        <v>91</v>
      </c>
      <c r="D43" s="18" t="s">
        <v>125</v>
      </c>
      <c r="E43" s="18" t="s">
        <v>93</v>
      </c>
      <c r="F43" s="18">
        <v>42</v>
      </c>
    </row>
    <row r="44" spans="1:6">
      <c r="A44" s="18" t="s">
        <v>139</v>
      </c>
      <c r="B44" s="18" t="s">
        <v>140</v>
      </c>
      <c r="C44" s="18" t="s">
        <v>91</v>
      </c>
      <c r="D44" s="18" t="s">
        <v>125</v>
      </c>
      <c r="E44" s="18" t="s">
        <v>93</v>
      </c>
      <c r="F44" s="18">
        <v>43</v>
      </c>
    </row>
    <row r="45" spans="1:6">
      <c r="A45" s="18" t="s">
        <v>141</v>
      </c>
      <c r="B45" s="18" t="s">
        <v>140</v>
      </c>
      <c r="C45" s="18" t="s">
        <v>91</v>
      </c>
      <c r="D45" s="18" t="s">
        <v>125</v>
      </c>
      <c r="E45" s="18" t="s">
        <v>93</v>
      </c>
      <c r="F45" s="18">
        <v>44</v>
      </c>
    </row>
    <row r="46" spans="1:6">
      <c r="A46" s="18" t="s">
        <v>142</v>
      </c>
      <c r="B46" s="18" t="s">
        <v>140</v>
      </c>
      <c r="C46" s="18" t="s">
        <v>91</v>
      </c>
      <c r="D46" s="18" t="s">
        <v>125</v>
      </c>
      <c r="E46" s="18" t="s">
        <v>93</v>
      </c>
      <c r="F46" s="18">
        <v>45</v>
      </c>
    </row>
    <row r="47" spans="1:6">
      <c r="A47" s="18" t="s">
        <v>143</v>
      </c>
      <c r="B47" s="18" t="s">
        <v>144</v>
      </c>
      <c r="C47" s="18" t="s">
        <v>91</v>
      </c>
      <c r="D47" s="18" t="s">
        <v>125</v>
      </c>
      <c r="E47" s="18" t="s">
        <v>93</v>
      </c>
      <c r="F47" s="18">
        <v>46</v>
      </c>
    </row>
    <row r="48" spans="1:6">
      <c r="A48" s="18" t="s">
        <v>145</v>
      </c>
      <c r="B48" s="18" t="s">
        <v>144</v>
      </c>
      <c r="C48" s="18" t="s">
        <v>91</v>
      </c>
      <c r="D48" s="18" t="s">
        <v>125</v>
      </c>
      <c r="E48" s="18" t="s">
        <v>93</v>
      </c>
      <c r="F48" s="18">
        <v>47</v>
      </c>
    </row>
    <row r="49" spans="1:6">
      <c r="A49" s="18" t="s">
        <v>146</v>
      </c>
      <c r="B49" s="18" t="s">
        <v>144</v>
      </c>
      <c r="C49" s="18" t="s">
        <v>91</v>
      </c>
      <c r="D49" s="18" t="s">
        <v>125</v>
      </c>
      <c r="E49" s="18" t="s">
        <v>93</v>
      </c>
      <c r="F49" s="18">
        <v>48</v>
      </c>
    </row>
    <row r="50" spans="1:6">
      <c r="A50" s="18" t="s">
        <v>147</v>
      </c>
      <c r="B50" s="18" t="s">
        <v>148</v>
      </c>
      <c r="C50" s="18" t="s">
        <v>91</v>
      </c>
      <c r="D50" s="18" t="s">
        <v>125</v>
      </c>
      <c r="E50" s="18" t="s">
        <v>93</v>
      </c>
      <c r="F50" s="18">
        <v>49</v>
      </c>
    </row>
    <row r="51" spans="1:6">
      <c r="A51" s="18" t="s">
        <v>149</v>
      </c>
      <c r="B51" s="18" t="s">
        <v>148</v>
      </c>
      <c r="C51" s="18" t="s">
        <v>91</v>
      </c>
      <c r="D51" s="18" t="s">
        <v>125</v>
      </c>
      <c r="E51" s="18" t="s">
        <v>93</v>
      </c>
      <c r="F51" s="18">
        <v>50</v>
      </c>
    </row>
    <row r="52" spans="1:6">
      <c r="A52" s="18" t="s">
        <v>150</v>
      </c>
      <c r="B52" s="18" t="s">
        <v>148</v>
      </c>
      <c r="C52" s="18" t="s">
        <v>91</v>
      </c>
      <c r="D52" s="18" t="s">
        <v>125</v>
      </c>
      <c r="E52" s="18" t="s">
        <v>93</v>
      </c>
      <c r="F52" s="18">
        <v>51</v>
      </c>
    </row>
    <row r="53" spans="1:6">
      <c r="A53" s="18" t="s">
        <v>151</v>
      </c>
      <c r="B53" s="18" t="s">
        <v>152</v>
      </c>
      <c r="C53" s="18" t="s">
        <v>91</v>
      </c>
      <c r="D53" s="18" t="s">
        <v>125</v>
      </c>
      <c r="E53" s="18" t="s">
        <v>93</v>
      </c>
      <c r="F53" s="18">
        <v>52</v>
      </c>
    </row>
    <row r="54" spans="1:6">
      <c r="A54" s="18" t="s">
        <v>153</v>
      </c>
      <c r="B54" s="18" t="s">
        <v>152</v>
      </c>
      <c r="C54" s="18" t="s">
        <v>91</v>
      </c>
      <c r="D54" s="18" t="s">
        <v>129</v>
      </c>
      <c r="E54" s="18" t="s">
        <v>93</v>
      </c>
      <c r="F54" s="18">
        <v>53</v>
      </c>
    </row>
    <row r="55" spans="1:6">
      <c r="A55" s="18" t="s">
        <v>154</v>
      </c>
      <c r="B55" s="18" t="s">
        <v>152</v>
      </c>
      <c r="C55" s="18" t="s">
        <v>91</v>
      </c>
      <c r="D55" s="18" t="s">
        <v>129</v>
      </c>
      <c r="E55" s="18" t="s">
        <v>93</v>
      </c>
      <c r="F55" s="18">
        <v>54</v>
      </c>
    </row>
    <row r="56" spans="1:6">
      <c r="A56" s="18" t="s">
        <v>155</v>
      </c>
      <c r="B56" s="18" t="s">
        <v>156</v>
      </c>
      <c r="C56" s="18" t="s">
        <v>91</v>
      </c>
      <c r="D56" s="18" t="s">
        <v>132</v>
      </c>
      <c r="E56" s="18" t="s">
        <v>93</v>
      </c>
      <c r="F56" s="18">
        <v>55</v>
      </c>
    </row>
    <row r="57" spans="1:6">
      <c r="A57" s="18" t="s">
        <v>157</v>
      </c>
      <c r="B57" s="18" t="s">
        <v>156</v>
      </c>
      <c r="C57" s="18" t="s">
        <v>91</v>
      </c>
      <c r="D57" s="18" t="s">
        <v>132</v>
      </c>
      <c r="E57" s="18" t="s">
        <v>93</v>
      </c>
      <c r="F57" s="18">
        <v>56</v>
      </c>
    </row>
    <row r="58" spans="1:6">
      <c r="A58" s="18" t="s">
        <v>158</v>
      </c>
      <c r="B58" s="18" t="s">
        <v>156</v>
      </c>
      <c r="C58" s="18" t="s">
        <v>91</v>
      </c>
      <c r="D58" s="18" t="s">
        <v>132</v>
      </c>
      <c r="E58" s="18" t="s">
        <v>93</v>
      </c>
      <c r="F58" s="18">
        <v>57</v>
      </c>
    </row>
    <row r="59" spans="1:6">
      <c r="A59" s="18" t="s">
        <v>159</v>
      </c>
      <c r="B59" s="18" t="s">
        <v>160</v>
      </c>
      <c r="C59" s="18" t="s">
        <v>91</v>
      </c>
      <c r="D59" s="18" t="s">
        <v>111</v>
      </c>
      <c r="E59" s="18" t="s">
        <v>93</v>
      </c>
      <c r="F59" s="18">
        <v>58</v>
      </c>
    </row>
    <row r="60" spans="1:6">
      <c r="A60" s="18" t="s">
        <v>161</v>
      </c>
      <c r="B60" s="18" t="s">
        <v>160</v>
      </c>
      <c r="C60" s="18" t="s">
        <v>91</v>
      </c>
      <c r="D60" s="18" t="s">
        <v>111</v>
      </c>
      <c r="E60" s="18" t="s">
        <v>93</v>
      </c>
      <c r="F60" s="18">
        <v>59</v>
      </c>
    </row>
    <row r="61" spans="1:6">
      <c r="A61" s="18" t="s">
        <v>162</v>
      </c>
      <c r="B61" s="18" t="s">
        <v>160</v>
      </c>
      <c r="C61" s="18" t="s">
        <v>91</v>
      </c>
      <c r="D61" s="18" t="s">
        <v>111</v>
      </c>
      <c r="E61" s="18" t="s">
        <v>93</v>
      </c>
      <c r="F61" s="18">
        <v>60</v>
      </c>
    </row>
    <row r="62" spans="1:6">
      <c r="A62" s="18" t="s">
        <v>163</v>
      </c>
      <c r="B62" s="18" t="s">
        <v>164</v>
      </c>
      <c r="C62" s="18" t="s">
        <v>91</v>
      </c>
      <c r="D62" s="18" t="s">
        <v>92</v>
      </c>
      <c r="E62" s="18" t="s">
        <v>93</v>
      </c>
      <c r="F62" s="18">
        <v>61</v>
      </c>
    </row>
    <row r="63" spans="1:6">
      <c r="A63" s="18" t="s">
        <v>165</v>
      </c>
      <c r="B63" s="18" t="s">
        <v>164</v>
      </c>
      <c r="C63" s="18" t="s">
        <v>91</v>
      </c>
      <c r="D63" s="18" t="s">
        <v>92</v>
      </c>
      <c r="E63" s="18" t="s">
        <v>93</v>
      </c>
      <c r="F63" s="18">
        <v>62</v>
      </c>
    </row>
    <row r="64" spans="1:6">
      <c r="A64" s="18" t="s">
        <v>166</v>
      </c>
      <c r="B64" s="18" t="s">
        <v>164</v>
      </c>
      <c r="C64" s="18" t="s">
        <v>91</v>
      </c>
      <c r="D64" s="18" t="s">
        <v>92</v>
      </c>
      <c r="E64" s="18" t="s">
        <v>93</v>
      </c>
      <c r="F64" s="18">
        <v>63</v>
      </c>
    </row>
    <row r="65" spans="1:6">
      <c r="A65" s="18" t="s">
        <v>167</v>
      </c>
      <c r="B65" s="18" t="s">
        <v>14</v>
      </c>
      <c r="C65" s="18" t="s">
        <v>91</v>
      </c>
      <c r="D65" s="18" t="s">
        <v>92</v>
      </c>
      <c r="E65" s="18" t="s">
        <v>93</v>
      </c>
      <c r="F65" s="18">
        <v>64</v>
      </c>
    </row>
    <row r="66" spans="1:6">
      <c r="A66" s="18" t="s">
        <v>168</v>
      </c>
      <c r="B66" s="18" t="s">
        <v>14</v>
      </c>
      <c r="C66" s="18" t="s">
        <v>91</v>
      </c>
      <c r="D66" s="18" t="s">
        <v>92</v>
      </c>
      <c r="E66" s="18" t="s">
        <v>93</v>
      </c>
      <c r="F66" s="18">
        <v>65</v>
      </c>
    </row>
    <row r="67" spans="1:6">
      <c r="A67" s="18" t="s">
        <v>169</v>
      </c>
      <c r="B67" s="18" t="s">
        <v>14</v>
      </c>
      <c r="C67" s="18" t="s">
        <v>91</v>
      </c>
      <c r="D67" s="18" t="s">
        <v>92</v>
      </c>
      <c r="E67" s="18" t="s">
        <v>93</v>
      </c>
      <c r="F67" s="18">
        <v>66</v>
      </c>
    </row>
    <row r="68" spans="1:6">
      <c r="A68" s="18" t="s">
        <v>170</v>
      </c>
      <c r="B68" s="18" t="s">
        <v>171</v>
      </c>
      <c r="C68" s="18" t="s">
        <v>91</v>
      </c>
      <c r="D68" s="18" t="s">
        <v>92</v>
      </c>
      <c r="E68" s="18" t="s">
        <v>93</v>
      </c>
      <c r="F68" s="18">
        <v>67</v>
      </c>
    </row>
    <row r="69" spans="1:6">
      <c r="A69" s="18" t="s">
        <v>172</v>
      </c>
      <c r="B69" s="18" t="s">
        <v>171</v>
      </c>
      <c r="C69" s="18" t="s">
        <v>91</v>
      </c>
      <c r="D69" s="18" t="s">
        <v>92</v>
      </c>
      <c r="E69" s="18" t="s">
        <v>93</v>
      </c>
      <c r="F69" s="18">
        <v>68</v>
      </c>
    </row>
    <row r="70" spans="1:6">
      <c r="A70" s="18" t="s">
        <v>173</v>
      </c>
      <c r="B70" s="18" t="s">
        <v>171</v>
      </c>
      <c r="C70" s="18" t="s">
        <v>91</v>
      </c>
      <c r="D70" s="18" t="s">
        <v>92</v>
      </c>
      <c r="E70" s="18" t="s">
        <v>93</v>
      </c>
      <c r="F70" s="18">
        <v>69</v>
      </c>
    </row>
    <row r="71" spans="1:6">
      <c r="A71" s="18" t="s">
        <v>174</v>
      </c>
      <c r="B71" s="18" t="s">
        <v>175</v>
      </c>
      <c r="C71" s="18" t="s">
        <v>91</v>
      </c>
      <c r="D71" s="18" t="s">
        <v>92</v>
      </c>
      <c r="E71" s="18" t="s">
        <v>93</v>
      </c>
      <c r="F71" s="18">
        <v>70</v>
      </c>
    </row>
    <row r="72" spans="1:6">
      <c r="A72" s="18" t="s">
        <v>176</v>
      </c>
      <c r="B72" s="18" t="s">
        <v>175</v>
      </c>
      <c r="C72" s="18" t="s">
        <v>91</v>
      </c>
      <c r="D72" s="18" t="s">
        <v>92</v>
      </c>
      <c r="E72" s="18" t="s">
        <v>93</v>
      </c>
      <c r="F72" s="18">
        <v>71</v>
      </c>
    </row>
    <row r="73" spans="1:6">
      <c r="A73" s="18" t="s">
        <v>177</v>
      </c>
      <c r="B73" s="18" t="s">
        <v>175</v>
      </c>
      <c r="C73" s="18" t="s">
        <v>91</v>
      </c>
      <c r="D73" s="18" t="s">
        <v>92</v>
      </c>
      <c r="E73" s="18" t="s">
        <v>93</v>
      </c>
      <c r="F73" s="18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" sqref="B1"/>
    </sheetView>
  </sheetViews>
  <sheetFormatPr baseColWidth="10" defaultRowHeight="15" x14ac:dyDescent="0"/>
  <cols>
    <col min="1" max="1" width="13.83203125" bestFit="1" customWidth="1"/>
  </cols>
  <sheetData>
    <row r="1" spans="1:2">
      <c r="A1" s="43" t="s">
        <v>240</v>
      </c>
      <c r="B1" t="s">
        <v>178</v>
      </c>
    </row>
    <row r="2" spans="1:2">
      <c r="A2" s="42">
        <v>0</v>
      </c>
      <c r="B2" s="42">
        <v>12.08</v>
      </c>
    </row>
    <row r="3" spans="1:2">
      <c r="A3">
        <v>0</v>
      </c>
      <c r="B3" s="42">
        <v>12.1</v>
      </c>
    </row>
    <row r="4" spans="1:2">
      <c r="A4" s="42">
        <v>0</v>
      </c>
      <c r="B4" s="42">
        <v>12.2</v>
      </c>
    </row>
    <row r="5" spans="1:2">
      <c r="A5" s="42">
        <v>-1</v>
      </c>
      <c r="B5" s="42">
        <v>15.46</v>
      </c>
    </row>
    <row r="6" spans="1:2">
      <c r="A6" s="42">
        <v>-1</v>
      </c>
      <c r="B6" s="42">
        <v>15.66</v>
      </c>
    </row>
    <row r="7" spans="1:2">
      <c r="A7" s="42">
        <v>-1</v>
      </c>
      <c r="B7" s="42">
        <v>15.59</v>
      </c>
    </row>
    <row r="8" spans="1:2">
      <c r="A8" s="42">
        <v>-2</v>
      </c>
      <c r="B8" s="42">
        <v>18.899999999999999</v>
      </c>
    </row>
    <row r="9" spans="1:2">
      <c r="A9" s="42">
        <v>-2</v>
      </c>
      <c r="B9" s="42">
        <v>18.850000000000001</v>
      </c>
    </row>
    <row r="10" spans="1:2">
      <c r="A10" s="42">
        <v>-2</v>
      </c>
      <c r="B10" s="42">
        <v>18.93</v>
      </c>
    </row>
    <row r="11" spans="1:2">
      <c r="A11" s="42">
        <v>-3</v>
      </c>
      <c r="B11" s="42">
        <v>22.19</v>
      </c>
    </row>
    <row r="12" spans="1:2">
      <c r="A12" s="42">
        <v>-3</v>
      </c>
      <c r="B12" s="42">
        <v>22.41</v>
      </c>
    </row>
    <row r="13" spans="1:2">
      <c r="A13" s="42">
        <v>-3</v>
      </c>
      <c r="B13" s="42">
        <v>22.36</v>
      </c>
    </row>
    <row r="14" spans="1:2">
      <c r="A14" s="42">
        <v>-4</v>
      </c>
      <c r="B14" s="42">
        <v>25.82</v>
      </c>
    </row>
    <row r="15" spans="1:2">
      <c r="A15" s="42">
        <v>-4</v>
      </c>
      <c r="B15" s="42">
        <v>25.92</v>
      </c>
    </row>
    <row r="16" spans="1:2">
      <c r="A16" s="42">
        <v>-4</v>
      </c>
      <c r="B16" s="42">
        <v>25.86</v>
      </c>
    </row>
    <row r="17" spans="1:2">
      <c r="A17" s="42">
        <v>-5</v>
      </c>
      <c r="B17" s="42">
        <v>27.61</v>
      </c>
    </row>
    <row r="18" spans="1:2">
      <c r="A18" s="42">
        <v>-5</v>
      </c>
      <c r="B18" s="42">
        <v>27.59</v>
      </c>
    </row>
    <row r="19" spans="1:2">
      <c r="A19" s="42">
        <v>-5</v>
      </c>
      <c r="B19" s="42">
        <v>27.82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</vt:lpstr>
      <vt:lpstr>Assay</vt:lpstr>
      <vt:lpstr>qPCR results 7.12.16</vt:lpstr>
      <vt:lpstr>qpcr Melt 7.12.16</vt:lpstr>
      <vt:lpstr>Qpcr Validation</vt:lpstr>
    </vt:vector>
  </TitlesOfParts>
  <Company>UMich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Jhansi Leslie</dc:creator>
  <cp:lastModifiedBy>Jhansi Leslie</cp:lastModifiedBy>
  <cp:lastPrinted>2016-09-15T18:27:44Z</cp:lastPrinted>
  <dcterms:created xsi:type="dcterms:W3CDTF">2016-07-08T12:15:52Z</dcterms:created>
  <dcterms:modified xsi:type="dcterms:W3CDTF">2017-06-06T04:50:37Z</dcterms:modified>
</cp:coreProperties>
</file>