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dc.gov\project\CCID_NCPDCID_NHSN_SAS\Data\work\_Projects\LTC\COVID-19\Codes\Jason\KML_Shape_Epi_Curve_Omicron\"/>
    </mc:Choice>
  </mc:AlternateContent>
  <xr:revisionPtr revIDLastSave="0" documentId="13_ncr:1_{3CCA805A-4FE8-4B04-AA40-8083E5122189}" xr6:coauthVersionLast="47" xr6:coauthVersionMax="47" xr10:uidLastSave="{00000000-0000-0000-0000-000000000000}"/>
  <bookViews>
    <workbookView xWindow="-110" yWindow="-110" windowWidth="19420" windowHeight="10420" xr2:uid="{C1C825BE-9024-4AB6-9008-1A073058222A}"/>
  </bookViews>
  <sheets>
    <sheet name="Table1" sheetId="1" r:id="rId1"/>
    <sheet name="Tab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K4" i="1"/>
  <c r="F4" i="1"/>
  <c r="P8" i="1"/>
  <c r="P7" i="1"/>
  <c r="K8" i="1"/>
  <c r="K7" i="1"/>
  <c r="F8" i="1"/>
  <c r="F7" i="1"/>
  <c r="P33" i="1"/>
  <c r="P32" i="1"/>
  <c r="P31" i="1"/>
  <c r="K33" i="1"/>
  <c r="K32" i="1"/>
  <c r="K31" i="1"/>
  <c r="F33" i="1"/>
  <c r="F32" i="1"/>
  <c r="F31" i="1"/>
  <c r="P26" i="1" l="1"/>
  <c r="P28" i="1"/>
  <c r="P27" i="1"/>
  <c r="K26" i="1"/>
  <c r="K27" i="1"/>
  <c r="K28" i="1"/>
  <c r="F27" i="1"/>
  <c r="F26" i="1"/>
  <c r="F28" i="1"/>
  <c r="P23" i="1"/>
  <c r="P22" i="1"/>
  <c r="P21" i="1"/>
  <c r="P20" i="1"/>
  <c r="P19" i="1"/>
  <c r="P18" i="1"/>
  <c r="K23" i="1"/>
  <c r="K22" i="1"/>
  <c r="K21" i="1"/>
  <c r="K20" i="1"/>
  <c r="K19" i="1"/>
  <c r="K18" i="1"/>
  <c r="F20" i="1"/>
  <c r="F23" i="1"/>
  <c r="F22" i="1"/>
  <c r="F21" i="1"/>
  <c r="P15" i="1"/>
  <c r="P14" i="1"/>
  <c r="P11" i="1"/>
  <c r="P13" i="1"/>
  <c r="P12" i="1"/>
  <c r="K15" i="1"/>
  <c r="K14" i="1"/>
  <c r="K11" i="1"/>
  <c r="K13" i="1"/>
  <c r="K12" i="1"/>
  <c r="F15" i="1"/>
  <c r="F14" i="1"/>
  <c r="F11" i="1"/>
  <c r="F13" i="1"/>
  <c r="F12" i="1"/>
</calcChain>
</file>

<file path=xl/sharedStrings.xml><?xml version="1.0" encoding="utf-8"?>
<sst xmlns="http://schemas.openxmlformats.org/spreadsheetml/2006/main" count="275" uniqueCount="234">
  <si>
    <t>COVID cases</t>
  </si>
  <si>
    <t>Region</t>
  </si>
  <si>
    <t xml:space="preserve">Urbanicity </t>
  </si>
  <si>
    <t>All Facilities</t>
  </si>
  <si>
    <t xml:space="preserve">   Midwest</t>
  </si>
  <si>
    <t xml:space="preserve">   Mountain</t>
  </si>
  <si>
    <t xml:space="preserve">   Northeast</t>
  </si>
  <si>
    <t xml:space="preserve">   Pacific</t>
  </si>
  <si>
    <t xml:space="preserve">   South</t>
  </si>
  <si>
    <t>94 (31.9)</t>
  </si>
  <si>
    <t>16 (5.4)</t>
  </si>
  <si>
    <t>34 (11.5)</t>
  </si>
  <si>
    <t>21 (7.1)</t>
  </si>
  <si>
    <t>130 (44.1)</t>
  </si>
  <si>
    <t>Total residents</t>
  </si>
  <si>
    <t>Total Residents</t>
  </si>
  <si>
    <t xml:space="preserve">   Large Urban 1</t>
  </si>
  <si>
    <t xml:space="preserve">   Large Urban 2</t>
  </si>
  <si>
    <t xml:space="preserve">   Metropolitan 1</t>
  </si>
  <si>
    <t xml:space="preserve">   Metropolitan 2</t>
  </si>
  <si>
    <t xml:space="preserve">   Metropolitan 3</t>
  </si>
  <si>
    <t>SVI</t>
  </si>
  <si>
    <t>Facility Owner Status</t>
  </si>
  <si>
    <t xml:space="preserve">   Private</t>
  </si>
  <si>
    <t xml:space="preserve">   Non-Private</t>
  </si>
  <si>
    <t xml:space="preserve">   T3</t>
  </si>
  <si>
    <t xml:space="preserve">   T2</t>
  </si>
  <si>
    <t xml:space="preserve">   T1</t>
  </si>
  <si>
    <t>Mean (SD)</t>
  </si>
  <si>
    <t>Booster Rate</t>
  </si>
  <si>
    <t>LTC Certification</t>
  </si>
  <si>
    <t xml:space="preserve">   Dual</t>
  </si>
  <si>
    <t xml:space="preserve">   Medicaid</t>
  </si>
  <si>
    <t xml:space="preserve">   Medicare</t>
  </si>
  <si>
    <t>Reference</t>
  </si>
  <si>
    <t xml:space="preserve">Reference </t>
  </si>
  <si>
    <t xml:space="preserve">   Small Urban </t>
  </si>
  <si>
    <t>0.23 (0.14-0.51)</t>
  </si>
  <si>
    <t>1.42 (0.74-2.33)</t>
  </si>
  <si>
    <t>1.48 (1.14-1.97)</t>
  </si>
  <si>
    <t>0.59 (0.38-0.99)</t>
  </si>
  <si>
    <t>0.55 (0.30-1.17)</t>
  </si>
  <si>
    <t>0.98 (0.64-2.09)</t>
  </si>
  <si>
    <t>0.96 (0.65-1.65)</t>
  </si>
  <si>
    <t>0.58 (0.36-0.87)</t>
  </si>
  <si>
    <t>0.59 (0.37-0.85)</t>
  </si>
  <si>
    <t>0.59 (0.31-0.86)</t>
  </si>
  <si>
    <t>0.51 (0.28-0.76)</t>
  </si>
  <si>
    <t>0.48 (0.31-0.73)</t>
  </si>
  <si>
    <t>0.46 (0.29-0.67)</t>
  </si>
  <si>
    <t>0.79 (0.55-1.04)</t>
  </si>
  <si>
    <t>0.75 (0.22-1.33)</t>
  </si>
  <si>
    <t>0.39 (0.18-0.68)</t>
  </si>
  <si>
    <t>Number of Beds</t>
  </si>
  <si>
    <t>0.67 (0.21)</t>
  </si>
  <si>
    <t>0.61 (0.24)</t>
  </si>
  <si>
    <t>0.49 (0.27)</t>
  </si>
  <si>
    <t>0.48 (0.26)</t>
  </si>
  <si>
    <t>0.55 (0.26)</t>
  </si>
  <si>
    <t>10,463 (27.6%)</t>
  </si>
  <si>
    <t>1,817 (4.8%)</t>
  </si>
  <si>
    <t>7,366 (19.4%)</t>
  </si>
  <si>
    <t>2,182 (5.8%)</t>
  </si>
  <si>
    <t>16,066 (42.4%)</t>
  </si>
  <si>
    <t>1,054 (40.3%)</t>
  </si>
  <si>
    <t>163 (6.2%)</t>
  </si>
  <si>
    <t>340 (13.0%)</t>
  </si>
  <si>
    <t>168 (6.4%)</t>
  </si>
  <si>
    <t>893 (34.1%)</t>
  </si>
  <si>
    <t>960 (41.3%)</t>
  </si>
  <si>
    <t>147 (6.3%)</t>
  </si>
  <si>
    <t>306 (13.2%)</t>
  </si>
  <si>
    <t>763 (32.6%)</t>
  </si>
  <si>
    <t>8,120 (27.9%)</t>
  </si>
  <si>
    <t>1,427 (4.9%)</t>
  </si>
  <si>
    <t>6,096 (21.0%)</t>
  </si>
  <si>
    <t>1,621 (5.6%)</t>
  </si>
  <si>
    <t>11,790 (40.6%)</t>
  </si>
  <si>
    <t>390 (4.4%)</t>
  </si>
  <si>
    <t>561 (6.3%)</t>
  </si>
  <si>
    <t>2,343 (26.5%)</t>
  </si>
  <si>
    <t>1,270 (14.4%)</t>
  </si>
  <si>
    <t>4,276 (48.4%)</t>
  </si>
  <si>
    <t>819 (4.7%)</t>
  </si>
  <si>
    <t>4,770 (27.2%)</t>
  </si>
  <si>
    <t>2,411 (13.7%)</t>
  </si>
  <si>
    <t>1,123 (6.4%)</t>
  </si>
  <si>
    <t>8,423 (48%)</t>
  </si>
  <si>
    <t>63,069 (33.6%)</t>
  </si>
  <si>
    <t>9,486 (5.1%)</t>
  </si>
  <si>
    <t>36,770 (20.0%)</t>
  </si>
  <si>
    <t>11,146 (5.9%)</t>
  </si>
  <si>
    <t>67,050 (36.0%)</t>
  </si>
  <si>
    <t>*Per 1,000 resident-week</t>
  </si>
  <si>
    <t>323 (12.3%)</t>
  </si>
  <si>
    <t>425 (16.23%)</t>
  </si>
  <si>
    <t>410 (15.7%)</t>
  </si>
  <si>
    <t>432 (16.6%)</t>
  </si>
  <si>
    <t xml:space="preserve">   Small Urban 1</t>
  </si>
  <si>
    <t>513 (19,6%)</t>
  </si>
  <si>
    <t>515 (19.7%)</t>
  </si>
  <si>
    <t>290 (12.5%)</t>
  </si>
  <si>
    <t>379 (16.3%)</t>
  </si>
  <si>
    <t>368 (15.8%)</t>
  </si>
  <si>
    <t>393 (16.9%)</t>
  </si>
  <si>
    <t>471 (20.3%)</t>
  </si>
  <si>
    <t>422 (18.2%)</t>
  </si>
  <si>
    <t>33 (11.2%)</t>
  </si>
  <si>
    <t>46 (15.6%)</t>
  </si>
  <si>
    <t>42 (14.2%)</t>
  </si>
  <si>
    <t>39 (13.2%)</t>
  </si>
  <si>
    <t>93 (31.5%)</t>
  </si>
  <si>
    <t>989 (11.2%)</t>
  </si>
  <si>
    <t>Infection rate*</t>
  </si>
  <si>
    <t>862 (32.9%)</t>
  </si>
  <si>
    <t>876 (33.5%)</t>
  </si>
  <si>
    <t>880 (33.6%)</t>
  </si>
  <si>
    <t>798 (34.4%)</t>
  </si>
  <si>
    <t>764 (32.9%)</t>
  </si>
  <si>
    <t>761 (32.8%)</t>
  </si>
  <si>
    <t>64 (21.7%)</t>
  </si>
  <si>
    <t>112 (38.0%</t>
  </si>
  <si>
    <t>119 (40.3%)</t>
  </si>
  <si>
    <t>58,299 (34.3%)</t>
  </si>
  <si>
    <t>8,667 (5.1%)</t>
  </si>
  <si>
    <t>34,359 (20.2%)</t>
  </si>
  <si>
    <t>10,023 (5.9%)</t>
  </si>
  <si>
    <t>58,626 (34.5%)</t>
  </si>
  <si>
    <t>5,413 (14.3%)</t>
  </si>
  <si>
    <t>4,295 (11.3%)</t>
  </si>
  <si>
    <t>5,327 (14.1%)</t>
  </si>
  <si>
    <t>8,146 (21.5%)</t>
  </si>
  <si>
    <t>6,690 (17.7%)</t>
  </si>
  <si>
    <t>8,023 (21.2%)</t>
  </si>
  <si>
    <t>25,144 (13.4%)</t>
  </si>
  <si>
    <t>22,028 (11.7%)</t>
  </si>
  <si>
    <t>26,755 (13.3%)</t>
  </si>
  <si>
    <t>37,418 (20.0%)</t>
  </si>
  <si>
    <t>35,407 (18.9%)</t>
  </si>
  <si>
    <t>40,768 (21.7%)</t>
  </si>
  <si>
    <t>3,186 (11.0%)</t>
  </si>
  <si>
    <t>3,306 (11.4%)</t>
  </si>
  <si>
    <t>3,980 (13.7%)</t>
  </si>
  <si>
    <t>6,579 (22.7%)</t>
  </si>
  <si>
    <t>5,510 (19.0%)</t>
  </si>
  <si>
    <t>6,493 (22.3%)</t>
  </si>
  <si>
    <t>20,948 (12.3%)</t>
  </si>
  <si>
    <t>20,249 (11.9%)</t>
  </si>
  <si>
    <t>24,131 (14.2%)</t>
  </si>
  <si>
    <t>34,085 (20.1%)</t>
  </si>
  <si>
    <t>32,951 (10.4%)</t>
  </si>
  <si>
    <t>37,608 (22.1%)</t>
  </si>
  <si>
    <t>2,227 (25.2%)</t>
  </si>
  <si>
    <t>1,347 (15.2%)</t>
  </si>
  <si>
    <t>1,567 (17.7%)</t>
  </si>
  <si>
    <t>1,180 (13.3%)</t>
  </si>
  <si>
    <t>1,530 (17.3%)</t>
  </si>
  <si>
    <t>4,195 (23.9%)</t>
  </si>
  <si>
    <t>1,778 (10.1%)</t>
  </si>
  <si>
    <t>2,624 (15.0%)</t>
  </si>
  <si>
    <t>3,332 (19.0%)</t>
  </si>
  <si>
    <t>2,456 (14.0%)</t>
  </si>
  <si>
    <t>3,160 (18.0%)</t>
  </si>
  <si>
    <t>20,311 (53.6%)</t>
  </si>
  <si>
    <t>12,129 32.0%)</t>
  </si>
  <si>
    <t>5,454 (14.4%)</t>
  </si>
  <si>
    <t>97,790 (52.1%)</t>
  </si>
  <si>
    <t>58,046 (31.0%)</t>
  </si>
  <si>
    <t>31,686 (16.9%)</t>
  </si>
  <si>
    <t>17,253 (59.4%)</t>
  </si>
  <si>
    <t>8,565 (29.5%)</t>
  </si>
  <si>
    <t>3,236 (11.1%)</t>
  </si>
  <si>
    <t>91,576 (53.9%)</t>
  </si>
  <si>
    <t>51,034 (30.0%)</t>
  </si>
  <si>
    <t>27,363 (16.1%)</t>
  </si>
  <si>
    <t>3,058 (34.6%)</t>
  </si>
  <si>
    <t>3,564 (40.3%)</t>
  </si>
  <si>
    <t>2,218 (25.1%)</t>
  </si>
  <si>
    <t>6,213 (35.4%)</t>
  </si>
  <si>
    <t>7,012 (40.0%)</t>
  </si>
  <si>
    <t>4,322 (24.6%)</t>
  </si>
  <si>
    <t>86 (3.3%)</t>
  </si>
  <si>
    <t>166 (6.3%)</t>
  </si>
  <si>
    <t>76 (2.3%)</t>
  </si>
  <si>
    <t>155 (6.7%)</t>
  </si>
  <si>
    <t>274 (92.9%)</t>
  </si>
  <si>
    <t>10 (3.4%)</t>
  </si>
  <si>
    <t>11 (3.7%)</t>
  </si>
  <si>
    <t>Number of Beds**</t>
  </si>
  <si>
    <t>** Tertiles</t>
  </si>
  <si>
    <t>617 (1.6%)</t>
  </si>
  <si>
    <t>2,366 (90.4%)</t>
  </si>
  <si>
    <t>36,155 (95.4%)</t>
  </si>
  <si>
    <t>1,122 (3.0%)</t>
  </si>
  <si>
    <t>4,053 (2.2%)</t>
  </si>
  <si>
    <t>7,156 (3.8%)</t>
  </si>
  <si>
    <t>404 (1.4%)</t>
  </si>
  <si>
    <t>927 (3.2%)</t>
  </si>
  <si>
    <t>27,723 (95.4%)</t>
  </si>
  <si>
    <t>2,092 (90.1%)</t>
  </si>
  <si>
    <t>176,313 (94%)</t>
  </si>
  <si>
    <t>3552 (2.1%)</t>
  </si>
  <si>
    <t>6754 (4.0%)</t>
  </si>
  <si>
    <t>159,667 (93.9%)</t>
  </si>
  <si>
    <t>213 (2.4%)</t>
  </si>
  <si>
    <t>195 (2.2%)</t>
  </si>
  <si>
    <t>500 (2.9%)</t>
  </si>
  <si>
    <t>401 (2.3%)</t>
  </si>
  <si>
    <t>8,432 (95.4%)</t>
  </si>
  <si>
    <t>16,645 (94.9%)</t>
  </si>
  <si>
    <t>Bootstrapped Adjusted Odd's Ratio and 95% Confidence Interval</t>
  </si>
  <si>
    <t>1,438 (54.9%)</t>
  </si>
  <si>
    <t>1,180 (45.1%)</t>
  </si>
  <si>
    <t>1,069 (46.0%)</t>
  </si>
  <si>
    <t>1,254 (53.0%)</t>
  </si>
  <si>
    <t>111 (37.6%)</t>
  </si>
  <si>
    <t>184 (62.4%)</t>
  </si>
  <si>
    <t>13,899 (36.7%)</t>
  </si>
  <si>
    <t>23,995 (63.3%)</t>
  </si>
  <si>
    <t>83,527 (44.5%)</t>
  </si>
  <si>
    <t>103,996 (55.5%)</t>
  </si>
  <si>
    <t>11082 (38.1%)</t>
  </si>
  <si>
    <t>17972 (61.9%)</t>
  </si>
  <si>
    <t>92,477 (54.4%)</t>
  </si>
  <si>
    <t>77,497 (45.6%)</t>
  </si>
  <si>
    <t>6,029 (34.4%)</t>
  </si>
  <si>
    <t>11,519 (65.6%)</t>
  </si>
  <si>
    <t>6,023 (68.1%)</t>
  </si>
  <si>
    <t>2,817 (31.9%)</t>
  </si>
  <si>
    <t xml:space="preserve">Facility Owner </t>
  </si>
  <si>
    <t>Low Peak Facilities (Cluster 1)</t>
  </si>
  <si>
    <t>High Peak Facilities (Cluster 2)</t>
  </si>
  <si>
    <t>Total</t>
  </si>
  <si>
    <t>Number of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</si>
</sst>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/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188B-DA79-41F2-8022-80D338D6A110}">
  <dimension ref="A1:Q43"/>
  <sheetViews>
    <sheetView tabSelected="1" zoomScale="77" zoomScaleNormal="84" workbookViewId="0">
      <selection activeCell="S12" sqref="S12"/>
    </sheetView>
  </sheetViews>
  <sheetFormatPr defaultRowHeight="14.5" x14ac:dyDescent="0.35"/>
  <cols>
    <col min="1" max="1" width="2.54296875" customWidth="1"/>
    <col min="2" max="2" width="17.08984375" style="2" customWidth="1"/>
    <col min="3" max="3" width="13.36328125" style="1" bestFit="1" customWidth="1"/>
    <col min="4" max="5" width="14.08984375" style="1" bestFit="1" customWidth="1"/>
    <col min="6" max="6" width="8.453125" style="1" bestFit="1" customWidth="1"/>
    <col min="7" max="7" width="2.7265625" style="1" customWidth="1"/>
    <col min="8" max="8" width="12.90625" style="1" customWidth="1"/>
    <col min="9" max="9" width="13.08984375" style="1" bestFit="1" customWidth="1"/>
    <col min="10" max="10" width="13.36328125" style="1" bestFit="1" customWidth="1"/>
    <col min="11" max="11" width="8.453125" style="1" bestFit="1" customWidth="1"/>
    <col min="12" max="12" width="2.54296875" style="1" customWidth="1"/>
    <col min="13" max="13" width="10.6328125" style="1" bestFit="1" customWidth="1"/>
    <col min="14" max="14" width="12.90625" style="1" customWidth="1"/>
    <col min="15" max="15" width="13.1796875" style="1" customWidth="1"/>
    <col min="16" max="16" width="8.453125" style="1" bestFit="1" customWidth="1"/>
  </cols>
  <sheetData>
    <row r="1" spans="2:17" ht="9" customHeight="1" thickBot="1" x14ac:dyDescent="0.4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7" x14ac:dyDescent="0.35">
      <c r="B2" s="3"/>
      <c r="C2" s="43" t="s">
        <v>3</v>
      </c>
      <c r="D2" s="44"/>
      <c r="E2" s="44"/>
      <c r="F2" s="44"/>
      <c r="G2" s="9"/>
      <c r="H2" s="44" t="s">
        <v>230</v>
      </c>
      <c r="I2" s="44"/>
      <c r="J2" s="44"/>
      <c r="K2" s="44"/>
      <c r="L2" s="9"/>
      <c r="M2" s="44" t="s">
        <v>231</v>
      </c>
      <c r="N2" s="44"/>
      <c r="O2" s="44"/>
      <c r="P2" s="45"/>
    </row>
    <row r="3" spans="2:17" ht="29.5" thickBot="1" x14ac:dyDescent="0.4">
      <c r="B3" s="3"/>
      <c r="C3" s="10" t="s">
        <v>233</v>
      </c>
      <c r="D3" s="11" t="s">
        <v>0</v>
      </c>
      <c r="E3" s="11" t="s">
        <v>14</v>
      </c>
      <c r="F3" s="11" t="s">
        <v>113</v>
      </c>
      <c r="G3" s="11"/>
      <c r="H3" s="11" t="s">
        <v>233</v>
      </c>
      <c r="I3" s="11" t="s">
        <v>0</v>
      </c>
      <c r="J3" s="11" t="s">
        <v>14</v>
      </c>
      <c r="K3" s="11" t="s">
        <v>113</v>
      </c>
      <c r="L3" s="11"/>
      <c r="M3" s="11" t="s">
        <v>233</v>
      </c>
      <c r="N3" s="11" t="s">
        <v>0</v>
      </c>
      <c r="O3" s="11" t="s">
        <v>15</v>
      </c>
      <c r="P3" s="42" t="s">
        <v>113</v>
      </c>
    </row>
    <row r="4" spans="2:17" s="51" customFormat="1" x14ac:dyDescent="0.35">
      <c r="B4" s="3" t="s">
        <v>232</v>
      </c>
      <c r="C4" s="54">
        <v>2618</v>
      </c>
      <c r="D4" s="55">
        <v>37894</v>
      </c>
      <c r="E4" s="55">
        <v>187523</v>
      </c>
      <c r="F4" s="52">
        <f>D4/16/E4*1000</f>
        <v>12.629784079819542</v>
      </c>
      <c r="G4" s="50"/>
      <c r="H4" s="55">
        <v>2323</v>
      </c>
      <c r="I4" s="55">
        <v>29054</v>
      </c>
      <c r="J4" s="55">
        <v>169975</v>
      </c>
      <c r="K4" s="52">
        <f>I4/16/J4*1000</f>
        <v>10.683188704221209</v>
      </c>
      <c r="L4" s="50"/>
      <c r="M4" s="50">
        <v>295</v>
      </c>
      <c r="N4" s="55">
        <v>8840</v>
      </c>
      <c r="O4" s="55">
        <v>17548</v>
      </c>
      <c r="P4" s="53">
        <f>N4/16/O4*1000</f>
        <v>31.485069523592429</v>
      </c>
    </row>
    <row r="5" spans="2:17" x14ac:dyDescent="0.35"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</row>
    <row r="6" spans="2:17" x14ac:dyDescent="0.35">
      <c r="B6" s="4" t="s">
        <v>229</v>
      </c>
      <c r="C6" s="15"/>
      <c r="D6" s="16"/>
      <c r="E6" s="13"/>
      <c r="F6" s="25"/>
      <c r="G6" s="13"/>
      <c r="H6" s="13"/>
      <c r="I6" s="27"/>
      <c r="J6" s="14"/>
      <c r="K6" s="32"/>
      <c r="L6" s="14"/>
      <c r="M6" s="14"/>
      <c r="N6" s="14"/>
      <c r="O6" s="14"/>
      <c r="P6" s="33"/>
    </row>
    <row r="7" spans="2:17" x14ac:dyDescent="0.35">
      <c r="B7" s="5" t="s">
        <v>24</v>
      </c>
      <c r="C7" s="12" t="s">
        <v>212</v>
      </c>
      <c r="D7" s="22" t="s">
        <v>217</v>
      </c>
      <c r="E7" s="22" t="s">
        <v>219</v>
      </c>
      <c r="F7" s="25">
        <f>13899/16/83527*1000</f>
        <v>10.400080213583632</v>
      </c>
      <c r="G7" s="13"/>
      <c r="H7" s="13" t="s">
        <v>213</v>
      </c>
      <c r="I7" s="27" t="s">
        <v>221</v>
      </c>
      <c r="J7" s="14" t="s">
        <v>224</v>
      </c>
      <c r="K7" s="32">
        <f>11082/16/77497*1000</f>
        <v>8.9374427397189571</v>
      </c>
      <c r="L7" s="14"/>
      <c r="M7" s="14" t="s">
        <v>215</v>
      </c>
      <c r="N7" s="14" t="s">
        <v>228</v>
      </c>
      <c r="O7" s="14" t="s">
        <v>225</v>
      </c>
      <c r="P7" s="33">
        <f>2817/16/6029*1000</f>
        <v>29.20260408027865</v>
      </c>
    </row>
    <row r="8" spans="2:17" x14ac:dyDescent="0.35">
      <c r="B8" s="5" t="s">
        <v>23</v>
      </c>
      <c r="C8" s="15" t="s">
        <v>211</v>
      </c>
      <c r="D8" s="22" t="s">
        <v>218</v>
      </c>
      <c r="E8" s="22" t="s">
        <v>220</v>
      </c>
      <c r="F8" s="25">
        <f>23995/16/103996*1000</f>
        <v>14.420626754875187</v>
      </c>
      <c r="G8" s="13"/>
      <c r="H8" s="13" t="s">
        <v>214</v>
      </c>
      <c r="I8" s="27" t="s">
        <v>222</v>
      </c>
      <c r="J8" s="14" t="s">
        <v>223</v>
      </c>
      <c r="K8" s="32">
        <f>17972/16/92477*1000</f>
        <v>12.146263395222595</v>
      </c>
      <c r="L8" s="14"/>
      <c r="M8" s="14" t="s">
        <v>216</v>
      </c>
      <c r="N8" s="14" t="s">
        <v>227</v>
      </c>
      <c r="O8" s="14" t="s">
        <v>226</v>
      </c>
      <c r="P8" s="33">
        <f>6023/16/11519*1000</f>
        <v>32.679703099227368</v>
      </c>
    </row>
    <row r="9" spans="2:17" x14ac:dyDescent="0.35">
      <c r="B9" s="3"/>
      <c r="C9" s="8"/>
      <c r="D9" s="41"/>
      <c r="E9" s="41"/>
      <c r="F9" s="29"/>
      <c r="G9" s="7"/>
      <c r="H9" s="7"/>
      <c r="I9" s="13"/>
      <c r="J9" s="7"/>
      <c r="K9" s="29"/>
      <c r="L9" s="7"/>
      <c r="M9" s="7"/>
      <c r="N9" s="7"/>
      <c r="O9" s="7"/>
      <c r="P9" s="34"/>
    </row>
    <row r="10" spans="2:17" x14ac:dyDescent="0.35">
      <c r="B10" s="4" t="s">
        <v>1</v>
      </c>
      <c r="C10" s="15"/>
      <c r="D10" s="16"/>
      <c r="E10" s="13"/>
      <c r="F10" s="25"/>
      <c r="G10" s="13"/>
      <c r="H10" s="13"/>
      <c r="I10" s="27"/>
      <c r="J10" s="14"/>
      <c r="K10" s="32"/>
      <c r="L10" s="14"/>
      <c r="M10" s="14"/>
      <c r="N10" s="14"/>
      <c r="O10" s="14"/>
      <c r="P10" s="33"/>
    </row>
    <row r="11" spans="2:17" x14ac:dyDescent="0.35">
      <c r="B11" s="5" t="s">
        <v>6</v>
      </c>
      <c r="C11" s="15" t="s">
        <v>66</v>
      </c>
      <c r="D11" s="22" t="s">
        <v>61</v>
      </c>
      <c r="E11" s="16" t="s">
        <v>90</v>
      </c>
      <c r="F11" s="25">
        <f>7366/16/36770*1000</f>
        <v>12.520397062822955</v>
      </c>
      <c r="G11" s="13"/>
      <c r="H11" s="13" t="s">
        <v>71</v>
      </c>
      <c r="I11" s="28" t="s">
        <v>75</v>
      </c>
      <c r="J11" s="14" t="s">
        <v>125</v>
      </c>
      <c r="K11" s="32">
        <f>6096/16/34359*1000</f>
        <v>11.088797694927093</v>
      </c>
      <c r="L11" s="14"/>
      <c r="M11" s="14" t="s">
        <v>11</v>
      </c>
      <c r="N11" s="14" t="s">
        <v>81</v>
      </c>
      <c r="O11" s="13" t="s">
        <v>85</v>
      </c>
      <c r="P11" s="33">
        <f>1270/16/2411*1000</f>
        <v>32.922024056408127</v>
      </c>
    </row>
    <row r="12" spans="2:17" x14ac:dyDescent="0.35">
      <c r="B12" s="5" t="s">
        <v>4</v>
      </c>
      <c r="C12" s="12" t="s">
        <v>64</v>
      </c>
      <c r="D12" s="22" t="s">
        <v>59</v>
      </c>
      <c r="E12" s="16" t="s">
        <v>88</v>
      </c>
      <c r="F12" s="25">
        <f>10463/16/63069*1000</f>
        <v>10.368604227116332</v>
      </c>
      <c r="G12" s="13"/>
      <c r="H12" s="13" t="s">
        <v>69</v>
      </c>
      <c r="I12" s="28" t="s">
        <v>73</v>
      </c>
      <c r="J12" s="14" t="s">
        <v>123</v>
      </c>
      <c r="K12" s="32">
        <f>8120/16/58299*1000</f>
        <v>8.7051235870255059</v>
      </c>
      <c r="L12" s="14"/>
      <c r="M12" s="14" t="s">
        <v>9</v>
      </c>
      <c r="N12" s="14" t="s">
        <v>80</v>
      </c>
      <c r="O12" s="13" t="s">
        <v>84</v>
      </c>
      <c r="P12" s="33">
        <f>2343/16/4770*1000</f>
        <v>30.699685534591197</v>
      </c>
    </row>
    <row r="13" spans="2:17" x14ac:dyDescent="0.35">
      <c r="B13" s="5" t="s">
        <v>5</v>
      </c>
      <c r="C13" s="15" t="s">
        <v>65</v>
      </c>
      <c r="D13" s="22" t="s">
        <v>60</v>
      </c>
      <c r="E13" s="16" t="s">
        <v>89</v>
      </c>
      <c r="F13" s="25">
        <f>1817/16/9486*1000</f>
        <v>11.971589711153278</v>
      </c>
      <c r="G13" s="13"/>
      <c r="H13" s="13" t="s">
        <v>70</v>
      </c>
      <c r="I13" s="28" t="s">
        <v>74</v>
      </c>
      <c r="J13" s="14" t="s">
        <v>124</v>
      </c>
      <c r="K13" s="32">
        <f>1427/16/8667*1000</f>
        <v>10.290469597323181</v>
      </c>
      <c r="L13" s="14"/>
      <c r="M13" s="14" t="s">
        <v>10</v>
      </c>
      <c r="N13" s="14" t="s">
        <v>78</v>
      </c>
      <c r="O13" s="13" t="s">
        <v>83</v>
      </c>
      <c r="P13" s="33">
        <f>390/16/819*1000</f>
        <v>29.761904761904759</v>
      </c>
    </row>
    <row r="14" spans="2:17" x14ac:dyDescent="0.35">
      <c r="B14" s="5" t="s">
        <v>7</v>
      </c>
      <c r="C14" s="15" t="s">
        <v>67</v>
      </c>
      <c r="D14" s="22" t="s">
        <v>62</v>
      </c>
      <c r="E14" s="16" t="s">
        <v>91</v>
      </c>
      <c r="F14" s="25">
        <f>2182/16/11146*1000</f>
        <v>12.235331060470124</v>
      </c>
      <c r="G14" s="13"/>
      <c r="H14" s="13" t="s">
        <v>70</v>
      </c>
      <c r="I14" s="28" t="s">
        <v>76</v>
      </c>
      <c r="J14" s="14" t="s">
        <v>126</v>
      </c>
      <c r="K14" s="32">
        <f>1621/16/10023*1000</f>
        <v>10.108001596328446</v>
      </c>
      <c r="L14" s="14"/>
      <c r="M14" s="14" t="s">
        <v>12</v>
      </c>
      <c r="N14" s="14" t="s">
        <v>79</v>
      </c>
      <c r="O14" s="13" t="s">
        <v>86</v>
      </c>
      <c r="P14" s="33">
        <f>561/16/1123*1000</f>
        <v>31.222172751558325</v>
      </c>
    </row>
    <row r="15" spans="2:17" x14ac:dyDescent="0.35">
      <c r="B15" s="5" t="s">
        <v>8</v>
      </c>
      <c r="C15" s="15" t="s">
        <v>68</v>
      </c>
      <c r="D15" s="22" t="s">
        <v>63</v>
      </c>
      <c r="E15" s="16" t="s">
        <v>92</v>
      </c>
      <c r="F15" s="25">
        <f>16066/16/67050*1000</f>
        <v>14.975764354958987</v>
      </c>
      <c r="G15" s="13"/>
      <c r="H15" s="13" t="s">
        <v>72</v>
      </c>
      <c r="I15" s="23" t="s">
        <v>77</v>
      </c>
      <c r="J15" s="14" t="s">
        <v>127</v>
      </c>
      <c r="K15" s="32">
        <f>11790/16/58626*1000</f>
        <v>12.569081977279705</v>
      </c>
      <c r="L15" s="16"/>
      <c r="M15" s="16" t="s">
        <v>13</v>
      </c>
      <c r="N15" s="16" t="s">
        <v>82</v>
      </c>
      <c r="O15" s="13" t="s">
        <v>87</v>
      </c>
      <c r="P15" s="35">
        <f>4276/16/8423*1000</f>
        <v>31.728600261189602</v>
      </c>
      <c r="Q15" s="1"/>
    </row>
    <row r="16" spans="2:17" x14ac:dyDescent="0.35">
      <c r="B16" s="5"/>
      <c r="C16" s="15"/>
      <c r="D16" s="22"/>
      <c r="E16" s="13"/>
      <c r="F16" s="25"/>
      <c r="G16" s="13"/>
      <c r="H16" s="13"/>
      <c r="I16" s="23"/>
      <c r="J16" s="16"/>
      <c r="K16" s="30"/>
      <c r="L16" s="16"/>
      <c r="M16" s="16"/>
      <c r="N16" s="16"/>
      <c r="O16" s="16"/>
      <c r="P16" s="35"/>
      <c r="Q16" s="1"/>
    </row>
    <row r="17" spans="2:17" x14ac:dyDescent="0.35">
      <c r="B17" s="3" t="s">
        <v>2</v>
      </c>
      <c r="C17" s="15"/>
      <c r="D17" s="13"/>
      <c r="E17" s="13"/>
      <c r="F17" s="25"/>
      <c r="G17" s="13"/>
      <c r="H17" s="13"/>
      <c r="I17" s="26"/>
      <c r="J17" s="16"/>
      <c r="K17" s="30"/>
      <c r="L17" s="16"/>
      <c r="M17" s="16"/>
      <c r="N17" s="16"/>
      <c r="O17" s="16"/>
      <c r="P17" s="35"/>
      <c r="Q17" s="1"/>
    </row>
    <row r="18" spans="2:17" x14ac:dyDescent="0.35">
      <c r="B18" s="3" t="s">
        <v>98</v>
      </c>
      <c r="C18" s="15" t="s">
        <v>100</v>
      </c>
      <c r="D18" s="16" t="s">
        <v>128</v>
      </c>
      <c r="E18" s="13" t="s">
        <v>134</v>
      </c>
      <c r="F18" s="25">
        <v>13.5</v>
      </c>
      <c r="G18" s="13"/>
      <c r="H18" s="13" t="s">
        <v>106</v>
      </c>
      <c r="I18" s="16" t="s">
        <v>140</v>
      </c>
      <c r="J18" s="16" t="s">
        <v>146</v>
      </c>
      <c r="K18" s="30">
        <f>3186/16/20948*1000</f>
        <v>9.5056807332442226</v>
      </c>
      <c r="L18" s="16"/>
      <c r="M18" s="16" t="s">
        <v>111</v>
      </c>
      <c r="N18" s="16" t="s">
        <v>152</v>
      </c>
      <c r="O18" s="16" t="s">
        <v>157</v>
      </c>
      <c r="P18" s="35">
        <f>2227/16/4195*1000</f>
        <v>33.179380214541119</v>
      </c>
      <c r="Q18" s="1"/>
    </row>
    <row r="19" spans="2:17" x14ac:dyDescent="0.35">
      <c r="B19" s="3" t="s">
        <v>16</v>
      </c>
      <c r="C19" s="15" t="s">
        <v>94</v>
      </c>
      <c r="D19" s="16" t="s">
        <v>129</v>
      </c>
      <c r="E19" s="13" t="s">
        <v>135</v>
      </c>
      <c r="F19" s="25">
        <v>12.2</v>
      </c>
      <c r="G19" s="13"/>
      <c r="H19" s="13" t="s">
        <v>101</v>
      </c>
      <c r="I19" s="26" t="s">
        <v>141</v>
      </c>
      <c r="J19" s="16" t="s">
        <v>147</v>
      </c>
      <c r="K19" s="30">
        <f>3306/16/20249*1000</f>
        <v>10.204207615190874</v>
      </c>
      <c r="L19" s="16"/>
      <c r="M19" s="16" t="s">
        <v>107</v>
      </c>
      <c r="N19" s="16" t="s">
        <v>112</v>
      </c>
      <c r="O19" s="16" t="s">
        <v>158</v>
      </c>
      <c r="P19" s="35">
        <f>989/16/1778*1000</f>
        <v>34.765185601799772</v>
      </c>
      <c r="Q19" s="1"/>
    </row>
    <row r="20" spans="2:17" x14ac:dyDescent="0.35">
      <c r="B20" s="3" t="s">
        <v>17</v>
      </c>
      <c r="C20" s="15" t="s">
        <v>95</v>
      </c>
      <c r="D20" s="16" t="s">
        <v>130</v>
      </c>
      <c r="E20" s="13" t="s">
        <v>136</v>
      </c>
      <c r="F20" s="30">
        <f>5327/16/26755*1000</f>
        <v>12.44393571295085</v>
      </c>
      <c r="G20" s="13"/>
      <c r="H20" s="13" t="s">
        <v>102</v>
      </c>
      <c r="I20" s="26" t="s">
        <v>142</v>
      </c>
      <c r="J20" s="16" t="s">
        <v>148</v>
      </c>
      <c r="K20" s="30">
        <f>3980/16/24131*1000</f>
        <v>10.308317102482285</v>
      </c>
      <c r="L20" s="16"/>
      <c r="M20" s="16" t="s">
        <v>108</v>
      </c>
      <c r="N20" s="16" t="s">
        <v>153</v>
      </c>
      <c r="O20" s="16" t="s">
        <v>159</v>
      </c>
      <c r="P20" s="35">
        <f>1347/16/2624*1000</f>
        <v>32.083650914634141</v>
      </c>
      <c r="Q20" s="1"/>
    </row>
    <row r="21" spans="2:17" x14ac:dyDescent="0.35">
      <c r="B21" s="3" t="s">
        <v>18</v>
      </c>
      <c r="C21" s="15" t="s">
        <v>96</v>
      </c>
      <c r="D21" s="16" t="s">
        <v>131</v>
      </c>
      <c r="E21" s="13" t="s">
        <v>137</v>
      </c>
      <c r="F21" s="30">
        <f>8146/16/37418*1000</f>
        <v>13.606419370356512</v>
      </c>
      <c r="G21" s="13"/>
      <c r="H21" s="13" t="s">
        <v>103</v>
      </c>
      <c r="I21" s="26" t="s">
        <v>143</v>
      </c>
      <c r="J21" s="16" t="s">
        <v>149</v>
      </c>
      <c r="K21" s="30">
        <f>6579/16/34085*1000</f>
        <v>12.063591022443891</v>
      </c>
      <c r="L21" s="16"/>
      <c r="M21" s="16" t="s">
        <v>109</v>
      </c>
      <c r="N21" s="16" t="s">
        <v>154</v>
      </c>
      <c r="O21" s="16" t="s">
        <v>160</v>
      </c>
      <c r="P21" s="35">
        <f>1567/16/3332*1000</f>
        <v>29.393007202881151</v>
      </c>
      <c r="Q21" s="1"/>
    </row>
    <row r="22" spans="2:17" x14ac:dyDescent="0.35">
      <c r="B22" s="2" t="s">
        <v>19</v>
      </c>
      <c r="C22" s="18" t="s">
        <v>97</v>
      </c>
      <c r="D22" s="16" t="s">
        <v>132</v>
      </c>
      <c r="E22" s="13" t="s">
        <v>138</v>
      </c>
      <c r="F22" s="30">
        <f>6690/16/35407*1000</f>
        <v>11.809105544101449</v>
      </c>
      <c r="G22" s="16"/>
      <c r="H22" s="16" t="s">
        <v>104</v>
      </c>
      <c r="I22" s="26" t="s">
        <v>144</v>
      </c>
      <c r="J22" s="16" t="s">
        <v>150</v>
      </c>
      <c r="K22" s="30">
        <f>5510/16/32951*1000</f>
        <v>10.451124396831659</v>
      </c>
      <c r="L22" s="16"/>
      <c r="M22" s="16" t="s">
        <v>110</v>
      </c>
      <c r="N22" s="16" t="s">
        <v>155</v>
      </c>
      <c r="O22" s="16" t="s">
        <v>161</v>
      </c>
      <c r="P22" s="35">
        <f>1180/16/2456*1000</f>
        <v>30.028501628664493</v>
      </c>
      <c r="Q22" s="1"/>
    </row>
    <row r="23" spans="2:17" x14ac:dyDescent="0.35">
      <c r="B23" s="2" t="s">
        <v>20</v>
      </c>
      <c r="C23" s="18" t="s">
        <v>99</v>
      </c>
      <c r="D23" s="16" t="s">
        <v>133</v>
      </c>
      <c r="E23" s="13" t="s">
        <v>139</v>
      </c>
      <c r="F23" s="30">
        <f>8023/16/40768*1000</f>
        <v>12.299781691522764</v>
      </c>
      <c r="G23" s="16"/>
      <c r="H23" s="16" t="s">
        <v>105</v>
      </c>
      <c r="I23" s="26" t="s">
        <v>145</v>
      </c>
      <c r="J23" s="16" t="s">
        <v>151</v>
      </c>
      <c r="K23" s="30">
        <f>6493/16/37608*1000</f>
        <v>10.79058976813444</v>
      </c>
      <c r="L23" s="16"/>
      <c r="M23" s="16" t="s">
        <v>109</v>
      </c>
      <c r="N23" s="16" t="s">
        <v>156</v>
      </c>
      <c r="O23" s="16" t="s">
        <v>162</v>
      </c>
      <c r="P23" s="35">
        <f>1530/16/3160*1000</f>
        <v>30.26107594936709</v>
      </c>
      <c r="Q23" s="1"/>
    </row>
    <row r="24" spans="2:17" x14ac:dyDescent="0.35">
      <c r="C24" s="18"/>
      <c r="D24" s="16"/>
      <c r="E24" s="16"/>
      <c r="F24" s="30"/>
      <c r="G24" s="16"/>
      <c r="H24" s="16"/>
      <c r="I24" s="26"/>
      <c r="J24" s="16"/>
      <c r="K24" s="30"/>
      <c r="L24" s="16"/>
      <c r="M24" s="16"/>
      <c r="N24" s="16"/>
      <c r="O24" s="16"/>
      <c r="P24" s="35"/>
      <c r="Q24" s="1"/>
    </row>
    <row r="25" spans="2:17" x14ac:dyDescent="0.35">
      <c r="B25" s="2" t="s">
        <v>188</v>
      </c>
      <c r="C25" s="18"/>
      <c r="D25" s="16"/>
      <c r="E25" s="16"/>
      <c r="F25" s="30"/>
      <c r="G25" s="16"/>
      <c r="H25" s="16"/>
      <c r="I25" s="26"/>
      <c r="J25" s="16"/>
      <c r="K25" s="30"/>
      <c r="L25" s="16"/>
      <c r="M25" s="24"/>
      <c r="N25" s="24"/>
      <c r="O25" s="24"/>
      <c r="P25" s="36"/>
    </row>
    <row r="26" spans="2:17" x14ac:dyDescent="0.35">
      <c r="B26" s="2" t="s">
        <v>27</v>
      </c>
      <c r="C26" s="18" t="s">
        <v>116</v>
      </c>
      <c r="D26" s="16" t="s">
        <v>165</v>
      </c>
      <c r="E26" s="16" t="s">
        <v>168</v>
      </c>
      <c r="F26" s="30">
        <f>5454/16/31686*1000</f>
        <v>10.757905699678091</v>
      </c>
      <c r="G26" s="16"/>
      <c r="H26" s="16" t="s">
        <v>119</v>
      </c>
      <c r="I26" s="26" t="s">
        <v>171</v>
      </c>
      <c r="J26" s="16" t="s">
        <v>174</v>
      </c>
      <c r="K26" s="30">
        <f>3236/16/27363*1000</f>
        <v>7.3913679055659101</v>
      </c>
      <c r="L26" s="16"/>
      <c r="M26" s="16" t="s">
        <v>122</v>
      </c>
      <c r="N26" s="16" t="s">
        <v>177</v>
      </c>
      <c r="O26" s="16" t="s">
        <v>180</v>
      </c>
      <c r="P26" s="35">
        <f>2218/16/4322*1000</f>
        <v>32.07427117075428</v>
      </c>
    </row>
    <row r="27" spans="2:17" x14ac:dyDescent="0.35">
      <c r="B27" s="2" t="s">
        <v>26</v>
      </c>
      <c r="C27" s="18" t="s">
        <v>115</v>
      </c>
      <c r="D27" s="16" t="s">
        <v>164</v>
      </c>
      <c r="E27" s="16" t="s">
        <v>167</v>
      </c>
      <c r="F27" s="30">
        <f>12129/16/58046*1000</f>
        <v>13.059685421906764</v>
      </c>
      <c r="G27" s="16"/>
      <c r="H27" s="16" t="s">
        <v>118</v>
      </c>
      <c r="I27" s="26" t="s">
        <v>170</v>
      </c>
      <c r="J27" s="16" t="s">
        <v>173</v>
      </c>
      <c r="K27" s="30">
        <f>8568/16/51034*1000</f>
        <v>10.493004663557628</v>
      </c>
      <c r="L27" s="16"/>
      <c r="M27" s="16" t="s">
        <v>121</v>
      </c>
      <c r="N27" s="16" t="s">
        <v>176</v>
      </c>
      <c r="O27" s="16" t="s">
        <v>179</v>
      </c>
      <c r="P27" s="35">
        <f>3564/16/7012*1000</f>
        <v>31.766970907016542</v>
      </c>
    </row>
    <row r="28" spans="2:17" x14ac:dyDescent="0.35">
      <c r="B28" s="2" t="s">
        <v>25</v>
      </c>
      <c r="C28" s="18" t="s">
        <v>114</v>
      </c>
      <c r="D28" s="16" t="s">
        <v>163</v>
      </c>
      <c r="E28" s="16" t="s">
        <v>166</v>
      </c>
      <c r="F28" s="30">
        <f>20311/16/97790*1000</f>
        <v>12.981260865119133</v>
      </c>
      <c r="G28" s="16"/>
      <c r="H28" s="16" t="s">
        <v>117</v>
      </c>
      <c r="I28" s="26" t="s">
        <v>169</v>
      </c>
      <c r="J28" s="16" t="s">
        <v>172</v>
      </c>
      <c r="K28" s="30">
        <f>17253/16/91576*1000</f>
        <v>11.775055691447541</v>
      </c>
      <c r="L28" s="16"/>
      <c r="M28" s="16" t="s">
        <v>120</v>
      </c>
      <c r="N28" s="16" t="s">
        <v>175</v>
      </c>
      <c r="O28" s="16" t="s">
        <v>178</v>
      </c>
      <c r="P28" s="35">
        <f>3058/16/6213*1000</f>
        <v>30.762111701271529</v>
      </c>
    </row>
    <row r="29" spans="2:17" x14ac:dyDescent="0.35">
      <c r="C29" s="18"/>
      <c r="D29" s="16"/>
      <c r="E29" s="16"/>
      <c r="F29" s="30"/>
      <c r="G29" s="16"/>
      <c r="H29" s="16"/>
      <c r="I29" s="26"/>
      <c r="J29" s="16"/>
      <c r="K29" s="30"/>
      <c r="L29" s="16"/>
      <c r="M29" s="16"/>
      <c r="N29" s="16"/>
      <c r="O29" s="16"/>
      <c r="P29" s="35"/>
    </row>
    <row r="30" spans="2:17" x14ac:dyDescent="0.35">
      <c r="B30" s="2" t="s">
        <v>30</v>
      </c>
      <c r="C30" s="18"/>
      <c r="D30" s="16"/>
      <c r="E30" s="16"/>
      <c r="F30" s="30"/>
      <c r="G30" s="16"/>
      <c r="H30" s="16"/>
      <c r="I30" s="26"/>
      <c r="J30" s="16"/>
      <c r="K30" s="30"/>
      <c r="L30" s="16"/>
      <c r="M30" s="16"/>
      <c r="N30" s="16"/>
      <c r="O30" s="16"/>
      <c r="P30" s="35"/>
    </row>
    <row r="31" spans="2:17" x14ac:dyDescent="0.35">
      <c r="B31" s="2" t="s">
        <v>31</v>
      </c>
      <c r="C31" s="18" t="s">
        <v>191</v>
      </c>
      <c r="D31" s="16" t="s">
        <v>192</v>
      </c>
      <c r="E31" s="16" t="s">
        <v>200</v>
      </c>
      <c r="F31" s="30">
        <f>36155/16/176313*1000</f>
        <v>12.816340825690675</v>
      </c>
      <c r="G31" s="16"/>
      <c r="H31" s="16" t="s">
        <v>199</v>
      </c>
      <c r="I31" s="26" t="s">
        <v>198</v>
      </c>
      <c r="J31" s="39" t="s">
        <v>203</v>
      </c>
      <c r="K31" s="30">
        <f>27723/16/159667*1000</f>
        <v>10.851882355151661</v>
      </c>
      <c r="L31" s="16"/>
      <c r="M31" s="16" t="s">
        <v>185</v>
      </c>
      <c r="N31" s="16" t="s">
        <v>208</v>
      </c>
      <c r="O31" s="16" t="s">
        <v>209</v>
      </c>
      <c r="P31" s="35">
        <f>8432/16/16645*1000</f>
        <v>31.661159507359564</v>
      </c>
    </row>
    <row r="32" spans="2:17" x14ac:dyDescent="0.35">
      <c r="B32" s="2" t="s">
        <v>32</v>
      </c>
      <c r="C32" s="18" t="s">
        <v>181</v>
      </c>
      <c r="D32" s="16" t="s">
        <v>190</v>
      </c>
      <c r="E32" s="16" t="s">
        <v>194</v>
      </c>
      <c r="F32" s="30">
        <f>617/16/4053*1000</f>
        <v>9.5145571181840616</v>
      </c>
      <c r="G32" s="16"/>
      <c r="H32" s="16" t="s">
        <v>183</v>
      </c>
      <c r="I32" s="26" t="s">
        <v>196</v>
      </c>
      <c r="J32" s="16" t="s">
        <v>201</v>
      </c>
      <c r="K32" s="30">
        <f>404/16/3552*1000</f>
        <v>7.1086711711711716</v>
      </c>
      <c r="L32" s="16"/>
      <c r="M32" s="16" t="s">
        <v>186</v>
      </c>
      <c r="N32" s="16" t="s">
        <v>204</v>
      </c>
      <c r="O32" s="16" t="s">
        <v>206</v>
      </c>
      <c r="P32" s="35">
        <f>213/16/500*1000</f>
        <v>26.625</v>
      </c>
    </row>
    <row r="33" spans="1:16" ht="15" thickBot="1" x14ac:dyDescent="0.4">
      <c r="B33" s="2" t="s">
        <v>33</v>
      </c>
      <c r="C33" s="19" t="s">
        <v>182</v>
      </c>
      <c r="D33" s="20" t="s">
        <v>193</v>
      </c>
      <c r="E33" s="38" t="s">
        <v>195</v>
      </c>
      <c r="F33" s="31">
        <f>1122/16/7156*1000</f>
        <v>9.799468977082169</v>
      </c>
      <c r="G33" s="20"/>
      <c r="H33" s="20" t="s">
        <v>184</v>
      </c>
      <c r="I33" s="20" t="s">
        <v>197</v>
      </c>
      <c r="J33" s="31" t="s">
        <v>202</v>
      </c>
      <c r="K33" s="31">
        <f>927/16/6754*1000</f>
        <v>8.5782499259697946</v>
      </c>
      <c r="L33" s="20"/>
      <c r="M33" s="20" t="s">
        <v>187</v>
      </c>
      <c r="N33" s="20" t="s">
        <v>205</v>
      </c>
      <c r="O33" s="20" t="s">
        <v>207</v>
      </c>
      <c r="P33" s="37">
        <f>195/16/401*1000</f>
        <v>30.392768079800501</v>
      </c>
    </row>
    <row r="34" spans="1:16" ht="15" thickBot="1" x14ac:dyDescent="0.4">
      <c r="J34" s="40"/>
    </row>
    <row r="35" spans="1:16" x14ac:dyDescent="0.35">
      <c r="B35" s="3"/>
      <c r="C35" s="43" t="s">
        <v>3</v>
      </c>
      <c r="D35" s="44"/>
      <c r="E35" s="44"/>
      <c r="F35" s="44"/>
      <c r="G35" s="9"/>
      <c r="H35" s="44" t="s">
        <v>230</v>
      </c>
      <c r="I35" s="44"/>
      <c r="J35" s="44"/>
      <c r="K35" s="44"/>
      <c r="L35" s="9"/>
      <c r="M35" s="44" t="s">
        <v>231</v>
      </c>
      <c r="N35" s="44"/>
      <c r="O35" s="44"/>
      <c r="P35" s="45"/>
    </row>
    <row r="36" spans="1:16" ht="15" thickBot="1" x14ac:dyDescent="0.4">
      <c r="B36" s="3"/>
      <c r="C36" s="46" t="s">
        <v>28</v>
      </c>
      <c r="D36" s="47"/>
      <c r="E36" s="47"/>
      <c r="F36" s="47"/>
      <c r="G36" s="11"/>
      <c r="H36" s="48" t="s">
        <v>28</v>
      </c>
      <c r="I36" s="47"/>
      <c r="J36" s="47"/>
      <c r="K36" s="47"/>
      <c r="L36" s="11"/>
      <c r="M36" s="48" t="s">
        <v>28</v>
      </c>
      <c r="N36" s="47"/>
      <c r="O36" s="47"/>
      <c r="P36" s="49"/>
    </row>
    <row r="37" spans="1:16" x14ac:dyDescent="0.35">
      <c r="B37" s="3" t="s">
        <v>29</v>
      </c>
      <c r="C37" s="56" t="s">
        <v>54</v>
      </c>
      <c r="D37" s="57"/>
      <c r="E37" s="57"/>
      <c r="F37" s="57"/>
      <c r="G37" s="50"/>
      <c r="H37" s="58" t="s">
        <v>54</v>
      </c>
      <c r="I37" s="57"/>
      <c r="J37" s="57"/>
      <c r="K37" s="57"/>
      <c r="L37" s="50"/>
      <c r="M37" s="58" t="s">
        <v>55</v>
      </c>
      <c r="N37" s="57"/>
      <c r="O37" s="57"/>
      <c r="P37" s="59"/>
    </row>
    <row r="38" spans="1:16" x14ac:dyDescent="0.35">
      <c r="B38" s="3"/>
      <c r="C38" s="1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60"/>
    </row>
    <row r="39" spans="1:16" ht="15" thickBot="1" x14ac:dyDescent="0.4">
      <c r="B39" s="3" t="s">
        <v>21</v>
      </c>
      <c r="C39" s="61" t="s">
        <v>56</v>
      </c>
      <c r="D39" s="62"/>
      <c r="E39" s="62"/>
      <c r="F39" s="62"/>
      <c r="G39" s="63"/>
      <c r="H39" s="64" t="s">
        <v>57</v>
      </c>
      <c r="I39" s="62"/>
      <c r="J39" s="62"/>
      <c r="K39" s="62"/>
      <c r="L39" s="63"/>
      <c r="M39" s="64" t="s">
        <v>58</v>
      </c>
      <c r="N39" s="62"/>
      <c r="O39" s="62"/>
      <c r="P39" s="65"/>
    </row>
    <row r="42" spans="1:16" x14ac:dyDescent="0.35">
      <c r="B42" s="1" t="s">
        <v>93</v>
      </c>
    </row>
    <row r="43" spans="1:16" x14ac:dyDescent="0.35">
      <c r="A43" t="s">
        <v>189</v>
      </c>
    </row>
  </sheetData>
  <mergeCells count="15">
    <mergeCell ref="C39:F39"/>
    <mergeCell ref="H39:K39"/>
    <mergeCell ref="M39:P39"/>
    <mergeCell ref="C36:F36"/>
    <mergeCell ref="H36:K36"/>
    <mergeCell ref="M36:P36"/>
    <mergeCell ref="C37:F37"/>
    <mergeCell ref="H37:K37"/>
    <mergeCell ref="M37:P37"/>
    <mergeCell ref="C35:F35"/>
    <mergeCell ref="H35:K35"/>
    <mergeCell ref="M35:P35"/>
    <mergeCell ref="C2:F2"/>
    <mergeCell ref="H2:K2"/>
    <mergeCell ref="M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5E22-C503-4BCB-98AA-09E08F2EFF97}">
  <dimension ref="B2:C35"/>
  <sheetViews>
    <sheetView zoomScale="90" zoomScaleNormal="100" workbookViewId="0">
      <selection activeCell="G12" sqref="G12"/>
    </sheetView>
  </sheetViews>
  <sheetFormatPr defaultRowHeight="14.5" x14ac:dyDescent="0.35"/>
  <cols>
    <col min="1" max="1" width="5.1796875" customWidth="1"/>
    <col min="2" max="2" width="19.36328125" customWidth="1"/>
    <col min="3" max="3" width="32.1796875" style="1" customWidth="1"/>
    <col min="4" max="4" width="4.26953125" customWidth="1"/>
  </cols>
  <sheetData>
    <row r="2" spans="2:3" ht="29" x14ac:dyDescent="0.35">
      <c r="C2" s="21" t="s">
        <v>210</v>
      </c>
    </row>
    <row r="3" spans="2:3" x14ac:dyDescent="0.35">
      <c r="B3" s="3"/>
    </row>
    <row r="4" spans="2:3" x14ac:dyDescent="0.35">
      <c r="B4" s="4" t="s">
        <v>22</v>
      </c>
    </row>
    <row r="5" spans="2:3" x14ac:dyDescent="0.35">
      <c r="B5" s="5" t="s">
        <v>24</v>
      </c>
      <c r="C5" s="1" t="s">
        <v>34</v>
      </c>
    </row>
    <row r="6" spans="2:3" x14ac:dyDescent="0.35">
      <c r="B6" s="5" t="s">
        <v>23</v>
      </c>
      <c r="C6" s="1" t="s">
        <v>39</v>
      </c>
    </row>
    <row r="7" spans="2:3" x14ac:dyDescent="0.35">
      <c r="B7" s="3"/>
    </row>
    <row r="8" spans="2:3" x14ac:dyDescent="0.35">
      <c r="B8" s="4" t="s">
        <v>1</v>
      </c>
    </row>
    <row r="9" spans="2:3" x14ac:dyDescent="0.35">
      <c r="B9" s="5" t="s">
        <v>6</v>
      </c>
      <c r="C9" s="1" t="s">
        <v>34</v>
      </c>
    </row>
    <row r="10" spans="2:3" x14ac:dyDescent="0.35">
      <c r="B10" s="5" t="s">
        <v>5</v>
      </c>
      <c r="C10" s="1" t="s">
        <v>40</v>
      </c>
    </row>
    <row r="11" spans="2:3" x14ac:dyDescent="0.35">
      <c r="B11" s="5" t="s">
        <v>4</v>
      </c>
      <c r="C11" s="1" t="s">
        <v>41</v>
      </c>
    </row>
    <row r="12" spans="2:3" x14ac:dyDescent="0.35">
      <c r="B12" s="5" t="s">
        <v>7</v>
      </c>
      <c r="C12" s="1" t="s">
        <v>42</v>
      </c>
    </row>
    <row r="13" spans="2:3" x14ac:dyDescent="0.35">
      <c r="B13" s="5" t="s">
        <v>8</v>
      </c>
      <c r="C13" s="1" t="s">
        <v>43</v>
      </c>
    </row>
    <row r="14" spans="2:3" x14ac:dyDescent="0.35">
      <c r="B14" s="5"/>
    </row>
    <row r="15" spans="2:3" x14ac:dyDescent="0.35">
      <c r="B15" s="3" t="s">
        <v>2</v>
      </c>
    </row>
    <row r="16" spans="2:3" x14ac:dyDescent="0.35">
      <c r="B16" s="3" t="s">
        <v>36</v>
      </c>
      <c r="C16" s="1" t="s">
        <v>34</v>
      </c>
    </row>
    <row r="17" spans="2:3" x14ac:dyDescent="0.35">
      <c r="B17" s="3" t="s">
        <v>16</v>
      </c>
      <c r="C17" s="1" t="s">
        <v>44</v>
      </c>
    </row>
    <row r="18" spans="2:3" x14ac:dyDescent="0.35">
      <c r="B18" s="3" t="s">
        <v>17</v>
      </c>
      <c r="C18" s="1" t="s">
        <v>45</v>
      </c>
    </row>
    <row r="19" spans="2:3" x14ac:dyDescent="0.35">
      <c r="B19" s="3" t="s">
        <v>18</v>
      </c>
      <c r="C19" s="1" t="s">
        <v>46</v>
      </c>
    </row>
    <row r="20" spans="2:3" x14ac:dyDescent="0.35">
      <c r="B20" s="2" t="s">
        <v>19</v>
      </c>
      <c r="C20" s="1" t="s">
        <v>47</v>
      </c>
    </row>
    <row r="21" spans="2:3" x14ac:dyDescent="0.35">
      <c r="B21" s="2" t="s">
        <v>20</v>
      </c>
      <c r="C21" s="1" t="s">
        <v>48</v>
      </c>
    </row>
    <row r="22" spans="2:3" x14ac:dyDescent="0.35">
      <c r="B22" s="2"/>
    </row>
    <row r="23" spans="2:3" x14ac:dyDescent="0.35">
      <c r="B23" s="2" t="s">
        <v>53</v>
      </c>
    </row>
    <row r="24" spans="2:3" x14ac:dyDescent="0.35">
      <c r="B24" s="2" t="s">
        <v>27</v>
      </c>
      <c r="C24" s="1" t="s">
        <v>35</v>
      </c>
    </row>
    <row r="25" spans="2:3" x14ac:dyDescent="0.35">
      <c r="B25" s="2" t="s">
        <v>26</v>
      </c>
      <c r="C25" s="1" t="s">
        <v>49</v>
      </c>
    </row>
    <row r="26" spans="2:3" x14ac:dyDescent="0.35">
      <c r="B26" s="2" t="s">
        <v>25</v>
      </c>
      <c r="C26" s="1" t="s">
        <v>50</v>
      </c>
    </row>
    <row r="27" spans="2:3" x14ac:dyDescent="0.35">
      <c r="B27" s="2"/>
    </row>
    <row r="28" spans="2:3" x14ac:dyDescent="0.35">
      <c r="B28" s="2" t="s">
        <v>30</v>
      </c>
    </row>
    <row r="29" spans="2:3" x14ac:dyDescent="0.35">
      <c r="B29" s="2" t="s">
        <v>31</v>
      </c>
      <c r="C29" s="1" t="s">
        <v>35</v>
      </c>
    </row>
    <row r="30" spans="2:3" x14ac:dyDescent="0.35">
      <c r="B30" s="2" t="s">
        <v>32</v>
      </c>
      <c r="C30" s="1" t="s">
        <v>51</v>
      </c>
    </row>
    <row r="31" spans="2:3" x14ac:dyDescent="0.35">
      <c r="B31" s="2" t="s">
        <v>33</v>
      </c>
      <c r="C31" s="1" t="s">
        <v>52</v>
      </c>
    </row>
    <row r="33" spans="2:3" x14ac:dyDescent="0.35">
      <c r="B33" s="3" t="s">
        <v>29</v>
      </c>
      <c r="C33" s="1" t="s">
        <v>37</v>
      </c>
    </row>
    <row r="34" spans="2:3" x14ac:dyDescent="0.35">
      <c r="B34" s="3"/>
    </row>
    <row r="35" spans="2:3" x14ac:dyDescent="0.35">
      <c r="B35" s="3" t="s">
        <v>21</v>
      </c>
      <c r="C35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Massey, Jason (CDC/DDID/NCEZID/DHQP) (CTR)</dc:creator>
  <cp:lastModifiedBy>Massey, Jason (CDC/DDID/NCEZID/DHQP) (CTR)</cp:lastModifiedBy>
  <dcterms:created xsi:type="dcterms:W3CDTF">2023-08-25T12:41:21Z</dcterms:created>
  <dcterms:modified xsi:type="dcterms:W3CDTF">2023-09-07T11:55:13Z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2023-08-28T12:44:49Z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334a5224-307b-4f8d-a700-29a6d5b1b12e</vt:lpwstr>
  </property>
  <property fmtid="{D5CDD505-2E9C-101B-9397-08002B2CF9AE}" pid="8" name="MSIP_Label_8af03ff0-41c5-4c41-b55e-fabb8fae94be_ContentBits">
    <vt:lpwstr>0</vt:lpwstr>
  </property>
</Properties>
</file>