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dc.sharepoint.com/teams/NCEZID-MDB/Shared Documents/Data Science and Informatics (DSI)/Data Science/people/Massey-Jason/Data Support (MDB)/Kaitlin Benedict/lumbar survival/"/>
    </mc:Choice>
  </mc:AlternateContent>
  <xr:revisionPtr revIDLastSave="8" documentId="13_ncr:1_{689A6E41-9CEC-454E-90E7-67C0DE3F4EDD}" xr6:coauthVersionLast="47" xr6:coauthVersionMax="47" xr10:uidLastSave="{41ACD7A7-7650-4CF5-8074-18ABAE4C89C5}"/>
  <bookViews>
    <workbookView xWindow="-110" yWindow="-110" windowWidth="19420" windowHeight="10420" tabRatio="749" activeTab="4" xr2:uid="{B7ED1008-D0D9-4FA4-A192-1B5749834813}"/>
  </bookViews>
  <sheets>
    <sheet name="methods etc." sheetId="9" r:id="rId1"/>
    <sheet name="supp. table 1" sheetId="2" r:id="rId2"/>
    <sheet name="table 1" sheetId="6" r:id="rId3"/>
    <sheet name="table 2" sheetId="12" r:id="rId4"/>
    <sheet name="fig 1" sheetId="11" r:id="rId5"/>
  </sheets>
  <definedNames>
    <definedName name="test_freq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" i="12" l="1"/>
  <c r="E48" i="12"/>
  <c r="C48" i="12"/>
  <c r="G82" i="12"/>
  <c r="G83" i="12"/>
  <c r="G84" i="12"/>
  <c r="G85" i="12"/>
  <c r="G86" i="12"/>
  <c r="E83" i="12"/>
  <c r="E84" i="12"/>
  <c r="E85" i="12"/>
  <c r="E86" i="12"/>
  <c r="C83" i="12"/>
  <c r="C84" i="12"/>
  <c r="C85" i="12"/>
  <c r="C86" i="12"/>
  <c r="E82" i="12"/>
  <c r="C82" i="12"/>
  <c r="G80" i="12"/>
  <c r="E80" i="12"/>
  <c r="C80" i="12"/>
  <c r="G73" i="12"/>
  <c r="G74" i="12"/>
  <c r="G75" i="12"/>
  <c r="G76" i="12"/>
  <c r="G77" i="12"/>
  <c r="E73" i="12"/>
  <c r="E74" i="12"/>
  <c r="E75" i="12"/>
  <c r="E76" i="12"/>
  <c r="E77" i="12"/>
  <c r="C73" i="12"/>
  <c r="C74" i="12"/>
  <c r="C75" i="12"/>
  <c r="C76" i="12"/>
  <c r="C77" i="12"/>
  <c r="G72" i="12"/>
  <c r="E72" i="12"/>
  <c r="C72" i="12"/>
  <c r="G66" i="12"/>
  <c r="E66" i="12"/>
  <c r="C66" i="12"/>
  <c r="G65" i="12"/>
  <c r="E65" i="12"/>
  <c r="C65" i="12"/>
  <c r="G45" i="12"/>
  <c r="G46" i="12"/>
  <c r="G47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E45" i="12"/>
  <c r="E46" i="12"/>
  <c r="E47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C45" i="12"/>
  <c r="C46" i="12"/>
  <c r="C47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G43" i="12"/>
  <c r="E43" i="12"/>
  <c r="C43" i="12"/>
  <c r="G40" i="12"/>
  <c r="G41" i="12"/>
  <c r="G42" i="12"/>
  <c r="E40" i="12"/>
  <c r="E41" i="12"/>
  <c r="E42" i="12"/>
  <c r="C40" i="12"/>
  <c r="C41" i="12"/>
  <c r="C42" i="12"/>
  <c r="G37" i="12"/>
  <c r="G38" i="12"/>
  <c r="E37" i="12"/>
  <c r="E38" i="12"/>
  <c r="C37" i="12"/>
  <c r="C38" i="12"/>
  <c r="G33" i="12"/>
  <c r="G34" i="12"/>
  <c r="G35" i="12"/>
  <c r="G32" i="12"/>
  <c r="E33" i="12"/>
  <c r="E34" i="12"/>
  <c r="E35" i="12"/>
  <c r="E32" i="12"/>
  <c r="C33" i="12"/>
  <c r="C34" i="12"/>
  <c r="C35" i="12"/>
  <c r="C32" i="12"/>
  <c r="G29" i="12"/>
  <c r="G28" i="12"/>
  <c r="E29" i="12"/>
  <c r="E28" i="12"/>
  <c r="C29" i="12"/>
  <c r="C28" i="12"/>
  <c r="G24" i="12"/>
  <c r="G25" i="12"/>
  <c r="G26" i="12"/>
  <c r="G23" i="12"/>
  <c r="E24" i="12"/>
  <c r="E25" i="12"/>
  <c r="E26" i="12"/>
  <c r="E23" i="12"/>
  <c r="C24" i="12"/>
  <c r="C25" i="12"/>
  <c r="C26" i="12"/>
  <c r="C23" i="12"/>
  <c r="G19" i="12"/>
  <c r="G20" i="12"/>
  <c r="G21" i="12"/>
  <c r="G18" i="12"/>
  <c r="E19" i="12"/>
  <c r="E20" i="12"/>
  <c r="E21" i="12"/>
  <c r="E18" i="12"/>
  <c r="C19" i="12"/>
  <c r="C20" i="12"/>
  <c r="C21" i="12"/>
  <c r="C18" i="12"/>
  <c r="G15" i="12"/>
  <c r="G16" i="12"/>
  <c r="E16" i="12"/>
  <c r="E15" i="12"/>
  <c r="C16" i="12"/>
  <c r="C15" i="12"/>
  <c r="G9" i="12"/>
  <c r="G10" i="12"/>
  <c r="G11" i="12"/>
  <c r="G12" i="12"/>
  <c r="G13" i="12"/>
  <c r="G8" i="12"/>
  <c r="E9" i="12"/>
  <c r="E10" i="12"/>
  <c r="E11" i="12"/>
  <c r="E12" i="12"/>
  <c r="E13" i="12"/>
  <c r="E8" i="12"/>
  <c r="C9" i="12"/>
  <c r="C10" i="12"/>
  <c r="C11" i="12"/>
  <c r="C12" i="12"/>
  <c r="C13" i="12"/>
  <c r="C8" i="12"/>
  <c r="H81" i="6"/>
  <c r="I81" i="6" s="1"/>
  <c r="G81" i="6"/>
  <c r="B81" i="6"/>
  <c r="C81" i="6" s="1"/>
  <c r="I48" i="6"/>
  <c r="G48" i="6"/>
  <c r="E48" i="6"/>
  <c r="C48" i="6"/>
  <c r="C64" i="6"/>
  <c r="I45" i="6"/>
  <c r="I46" i="6"/>
  <c r="I47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3" i="6"/>
  <c r="I64" i="6"/>
  <c r="I65" i="6"/>
  <c r="I71" i="6"/>
  <c r="I72" i="6"/>
  <c r="I73" i="6"/>
  <c r="I74" i="6"/>
  <c r="I75" i="6"/>
  <c r="I76" i="6"/>
  <c r="I79" i="6"/>
  <c r="I82" i="6"/>
  <c r="I83" i="6"/>
  <c r="I84" i="6"/>
  <c r="I85" i="6"/>
  <c r="G45" i="6"/>
  <c r="G46" i="6"/>
  <c r="G47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3" i="6"/>
  <c r="G64" i="6"/>
  <c r="G65" i="6"/>
  <c r="G71" i="6"/>
  <c r="G72" i="6"/>
  <c r="G73" i="6"/>
  <c r="G74" i="6"/>
  <c r="G75" i="6"/>
  <c r="G76" i="6"/>
  <c r="G79" i="6"/>
  <c r="G82" i="6"/>
  <c r="G83" i="6"/>
  <c r="G84" i="6"/>
  <c r="G85" i="6"/>
  <c r="E45" i="6"/>
  <c r="E46" i="6"/>
  <c r="E47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3" i="6"/>
  <c r="E64" i="6"/>
  <c r="E65" i="6"/>
  <c r="E71" i="6"/>
  <c r="E72" i="6"/>
  <c r="E73" i="6"/>
  <c r="E74" i="6"/>
  <c r="E75" i="6"/>
  <c r="E76" i="6"/>
  <c r="E79" i="6"/>
  <c r="E81" i="6"/>
  <c r="E82" i="6"/>
  <c r="E83" i="6"/>
  <c r="E84" i="6"/>
  <c r="E85" i="6"/>
  <c r="C45" i="6"/>
  <c r="C46" i="6"/>
  <c r="C47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3" i="6"/>
  <c r="C65" i="6"/>
  <c r="C71" i="6"/>
  <c r="C72" i="6"/>
  <c r="C73" i="6"/>
  <c r="C74" i="6"/>
  <c r="C75" i="6"/>
  <c r="C76" i="6"/>
  <c r="C79" i="6"/>
  <c r="C82" i="6"/>
  <c r="C83" i="6"/>
  <c r="C84" i="6"/>
  <c r="C85" i="6"/>
  <c r="I43" i="6"/>
  <c r="G43" i="6"/>
  <c r="E43" i="6"/>
  <c r="C43" i="6"/>
  <c r="I40" i="6"/>
  <c r="I41" i="6"/>
  <c r="I42" i="6"/>
  <c r="G40" i="6"/>
  <c r="G41" i="6"/>
  <c r="G42" i="6"/>
  <c r="E40" i="6"/>
  <c r="E41" i="6"/>
  <c r="E42" i="6"/>
  <c r="C40" i="6"/>
  <c r="C41" i="6"/>
  <c r="C42" i="6"/>
  <c r="I37" i="6"/>
  <c r="I38" i="6"/>
  <c r="G37" i="6"/>
  <c r="G38" i="6"/>
  <c r="E37" i="6"/>
  <c r="E38" i="6"/>
  <c r="C37" i="6"/>
  <c r="C38" i="6"/>
  <c r="I35" i="6"/>
  <c r="I34" i="6"/>
  <c r="I33" i="6"/>
  <c r="I32" i="6"/>
  <c r="G35" i="6"/>
  <c r="G34" i="6"/>
  <c r="G33" i="6"/>
  <c r="G32" i="6"/>
  <c r="E35" i="6"/>
  <c r="E34" i="6"/>
  <c r="E33" i="6"/>
  <c r="E32" i="6"/>
  <c r="C35" i="6"/>
  <c r="C34" i="6"/>
  <c r="C33" i="6"/>
  <c r="C32" i="6"/>
  <c r="E29" i="6"/>
  <c r="G29" i="6"/>
  <c r="I29" i="6"/>
  <c r="I28" i="6"/>
  <c r="G28" i="6"/>
  <c r="E28" i="6"/>
  <c r="C29" i="6"/>
  <c r="C28" i="6"/>
  <c r="I24" i="6"/>
  <c r="I25" i="6"/>
  <c r="I26" i="6"/>
  <c r="I23" i="6"/>
  <c r="G24" i="6"/>
  <c r="G25" i="6"/>
  <c r="G26" i="6"/>
  <c r="G23" i="6"/>
  <c r="E24" i="6"/>
  <c r="E25" i="6"/>
  <c r="E26" i="6"/>
  <c r="E23" i="6"/>
  <c r="C24" i="6"/>
  <c r="C25" i="6"/>
  <c r="C26" i="6"/>
  <c r="C23" i="6"/>
  <c r="I19" i="6"/>
  <c r="I20" i="6"/>
  <c r="I21" i="6"/>
  <c r="I18" i="6"/>
  <c r="G19" i="6"/>
  <c r="G20" i="6"/>
  <c r="G21" i="6"/>
  <c r="G18" i="6"/>
  <c r="E19" i="6"/>
  <c r="E20" i="6"/>
  <c r="E21" i="6"/>
  <c r="E18" i="6"/>
  <c r="C19" i="6"/>
  <c r="C20" i="6"/>
  <c r="C21" i="6"/>
  <c r="C18" i="6"/>
  <c r="G15" i="6"/>
  <c r="G16" i="6"/>
  <c r="I15" i="6"/>
  <c r="I16" i="6"/>
  <c r="E16" i="6"/>
  <c r="E15" i="6"/>
  <c r="C15" i="6"/>
  <c r="C16" i="6"/>
  <c r="I9" i="6"/>
  <c r="I10" i="6"/>
  <c r="I11" i="6"/>
  <c r="I12" i="6"/>
  <c r="I13" i="6"/>
  <c r="I8" i="6"/>
  <c r="G9" i="6"/>
  <c r="G10" i="6"/>
  <c r="G11" i="6"/>
  <c r="G12" i="6"/>
  <c r="G13" i="6"/>
  <c r="G8" i="6"/>
  <c r="E9" i="6"/>
  <c r="E10" i="6"/>
  <c r="E11" i="6"/>
  <c r="E12" i="6"/>
  <c r="E13" i="6"/>
  <c r="E8" i="6"/>
  <c r="C9" i="6"/>
  <c r="C10" i="6"/>
  <c r="C11" i="6"/>
  <c r="C12" i="6"/>
  <c r="C13" i="6"/>
  <c r="C8" i="6"/>
</calcChain>
</file>

<file path=xl/sharedStrings.xml><?xml version="1.0" encoding="utf-8"?>
<sst xmlns="http://schemas.openxmlformats.org/spreadsheetml/2006/main" count="348" uniqueCount="226">
  <si>
    <t>Description</t>
  </si>
  <si>
    <t>ICD-10-CM code(s)</t>
  </si>
  <si>
    <t>Autoimmune/inflammatory diseases (multiple sclerosis, myasthenia gravis, inflammatory bowel disease, psoriasis, lupus, rheumatoid arthritis, ankylosing spondylitis)</t>
  </si>
  <si>
    <t xml:space="preserve">G35, G70, K50, K51, L40, L93, M02.3, M05, M06, M08, M33, M35.2, M45 </t>
  </si>
  <si>
    <t>COVID-19</t>
  </si>
  <si>
    <t>U07.1, B97.29</t>
  </si>
  <si>
    <t>Diabetes</t>
  </si>
  <si>
    <t>E08–E13</t>
  </si>
  <si>
    <t>Hematologic malignancy</t>
  </si>
  <si>
    <t>C81–C86, C88, C90–C96</t>
  </si>
  <si>
    <t>HIV</t>
  </si>
  <si>
    <t>B20, Z21</t>
  </si>
  <si>
    <t>Immunosuppressive disorders besides HIV</t>
  </si>
  <si>
    <t>D80–D89 </t>
  </si>
  <si>
    <t>Liver disease</t>
  </si>
  <si>
    <t>K70-K77</t>
  </si>
  <si>
    <t>Malnutrition</t>
  </si>
  <si>
    <t>Neutropenia</t>
  </si>
  <si>
    <t>D70</t>
  </si>
  <si>
    <t>Sepsis</t>
  </si>
  <si>
    <t>A40, A41</t>
  </si>
  <si>
    <t>Smoking or tobacco use</t>
  </si>
  <si>
    <t>F17, Z72.0, Z87.891</t>
  </si>
  <si>
    <t>Solid organ malignancy</t>
  </si>
  <si>
    <t>C00–C80 (excluding C44)</t>
  </si>
  <si>
    <t>Transplant and complications</t>
  </si>
  <si>
    <t>T86, Z94 (excluding Z94.7), Z95.2, Z95.3</t>
  </si>
  <si>
    <t>Total</t>
  </si>
  <si>
    <t>%</t>
  </si>
  <si>
    <t>Kaitlin's notes</t>
  </si>
  <si>
    <t>Demographic characteristics</t>
  </si>
  <si>
    <t>Age category</t>
  </si>
  <si>
    <t xml:space="preserve">   ≥65 years</t>
  </si>
  <si>
    <t xml:space="preserve">   Male</t>
  </si>
  <si>
    <t xml:space="preserve">   Female</t>
  </si>
  <si>
    <t>Hispanic or Latino</t>
  </si>
  <si>
    <t>Non-Hispanic Black</t>
  </si>
  <si>
    <t>Non-Hispanic White</t>
  </si>
  <si>
    <t>Payer</t>
  </si>
  <si>
    <t xml:space="preserve">   Medicare</t>
  </si>
  <si>
    <t xml:space="preserve">   Medicaid</t>
  </si>
  <si>
    <t xml:space="preserve">   Private health insurance</t>
  </si>
  <si>
    <t xml:space="preserve">   Other</t>
  </si>
  <si>
    <t xml:space="preserve">Hospital characteristics </t>
  </si>
  <si>
    <t>Hospital region</t>
  </si>
  <si>
    <t xml:space="preserve">   Midwest</t>
  </si>
  <si>
    <t xml:space="preserve">   Northeast</t>
  </si>
  <si>
    <t xml:space="preserve">   South</t>
  </si>
  <si>
    <t xml:space="preserve">   West</t>
  </si>
  <si>
    <t>Hospital urban/rural status</t>
  </si>
  <si>
    <t>Urban</t>
  </si>
  <si>
    <t>Rural</t>
  </si>
  <si>
    <t>Hospital size by number of beds</t>
  </si>
  <si>
    <t> 0–199</t>
  </si>
  <si>
    <t> 200–399</t>
  </si>
  <si>
    <t xml:space="preserve">   400+</t>
  </si>
  <si>
    <t>Teaching hospital</t>
  </si>
  <si>
    <t>Other diagnoses  </t>
  </si>
  <si>
    <t>Autoimmune/inflammatory disease</t>
  </si>
  <si>
    <t>Outcomes</t>
  </si>
  <si>
    <t>Intensive care unit (ICU) stay</t>
  </si>
  <si>
    <t>Discharge status</t>
  </si>
  <si>
    <t>Discharged home</t>
  </si>
  <si>
    <t>Transferred to another healthcare facility</t>
  </si>
  <si>
    <t>Left against medical advice</t>
  </si>
  <si>
    <t xml:space="preserve">   0–17 years</t>
  </si>
  <si>
    <t xml:space="preserve">   18–34 years</t>
  </si>
  <si>
    <t xml:space="preserve">   35–44 years</t>
  </si>
  <si>
    <t xml:space="preserve">   45–54 years</t>
  </si>
  <si>
    <t xml:space="preserve">   55–64 years</t>
  </si>
  <si>
    <t>Seizure</t>
  </si>
  <si>
    <t>Non-Hispanic other race</t>
  </si>
  <si>
    <t>Amphotericin B</t>
  </si>
  <si>
    <t>Fluconazole</t>
  </si>
  <si>
    <t>Flucytosine</t>
  </si>
  <si>
    <t xml:space="preserve">Antifungal treatment </t>
  </si>
  <si>
    <t>Procedures and testing</t>
  </si>
  <si>
    <t>Received &gt;1 lumbar puncture</t>
  </si>
  <si>
    <t xml:space="preserve">Abbreviations: IQR=interquartile range; CSF=cerebrospinal fluid </t>
  </si>
  <si>
    <t>Hypokalemia</t>
  </si>
  <si>
    <t>Unknown type</t>
  </si>
  <si>
    <t>Lipsomal amphotericin B</t>
  </si>
  <si>
    <t>Amphotericin B lipid complex</t>
  </si>
  <si>
    <t>ICD-10-PCS code(s)</t>
  </si>
  <si>
    <t xml:space="preserve">Lumbar puncture </t>
  </si>
  <si>
    <t>Limitations</t>
  </si>
  <si>
    <t>Acute kidney failure</t>
  </si>
  <si>
    <t>N17</t>
  </si>
  <si>
    <t>Hyponatremia</t>
  </si>
  <si>
    <t>E87.1</t>
  </si>
  <si>
    <t>E87.6</t>
  </si>
  <si>
    <t>Data represent a convenience sample</t>
  </si>
  <si>
    <t>Anemia</t>
  </si>
  <si>
    <t>Presence of cerebrospinal fluid drainage device</t>
  </si>
  <si>
    <t>Z98.2</t>
  </si>
  <si>
    <t>G40, R56</t>
  </si>
  <si>
    <t>E40–E46</t>
  </si>
  <si>
    <t>Transplant</t>
  </si>
  <si>
    <t>Overweight and obesity</t>
  </si>
  <si>
    <t>E66</t>
  </si>
  <si>
    <t>Also no information about GCS, CSF opening pressure, amount CSF removed, or quantitative CSF culture</t>
  </si>
  <si>
    <t>Healthcare facility</t>
  </si>
  <si>
    <t>D50-D53, D55-D59, D60-D64</t>
  </si>
  <si>
    <t>Lumbar drain/shunt</t>
  </si>
  <si>
    <t>Extraventricular drain or ventriculoperitoneal shunt</t>
  </si>
  <si>
    <t>*Suppressed; n&lt;10 or n that would enable calculation of n&lt;10</t>
  </si>
  <si>
    <t>009600Z, 00960ZX, 00960ZZ, 009630Z, 00963ZX, 00963ZZ, 009640Z, 00964ZX, 00964ZZ</t>
  </si>
  <si>
    <t>Non-HIV, non-transplant</t>
  </si>
  <si>
    <t>009Y3ZZ, 009Y40Z, 009U3ZX, 009U0ZX</t>
  </si>
  <si>
    <t>009Y00Z, 009Y30Z, 009Y40Z, 0016076, 00160J6, 00160K6, 0016376, 00163J6, 00163K6, 0016476, 00164J6, 00164K6</t>
  </si>
  <si>
    <r>
      <t xml:space="preserve">We can only see if a person was re-hospitalized at the same hospital. And we can see </t>
    </r>
    <r>
      <rPr>
        <b/>
        <sz val="11"/>
        <color theme="1"/>
        <rFont val="Calibri"/>
        <family val="2"/>
        <scheme val="minor"/>
      </rPr>
      <t>whether</t>
    </r>
    <r>
      <rPr>
        <sz val="11"/>
        <color theme="1"/>
        <rFont val="Calibri"/>
        <family val="2"/>
        <scheme val="minor"/>
      </rPr>
      <t xml:space="preserve"> a person was transferred in or out (vs. like admitted from home/discharged home), but we don’t have any info about what happened at the hospitalization that came before or after</t>
    </r>
  </si>
  <si>
    <t>Numbers that might be useful for text</t>
  </si>
  <si>
    <t>Methods</t>
  </si>
  <si>
    <t xml:space="preserve">https://offers.premierinc.com/rs/381-NBB-525/images/PINC_AI_Healthcare_Data_White_Paper.pdf </t>
  </si>
  <si>
    <t>The PINC-AI Healthcare Database (PHD) contains deidentified hospital-based information from &gt;1,400 diverse hospitals throughout the United States.</t>
  </si>
  <si>
    <t>Supplemental Table 1. International Classification of Diseases, Tenth Revision, Clinical Modification (ICD-10-CM) and ICD-10 Procedure Coding System (ICD-10-PCS) codes used to identify conditions and procedures of interest</t>
  </si>
  <si>
    <t>number of hospitalizations with any CM diagnosis code</t>
  </si>
  <si>
    <t>among those, CM hospitalizations with at least 1 lumbar puncture</t>
  </si>
  <si>
    <t>number of unique CM patients</t>
  </si>
  <si>
    <t>Antiretroviral therapy (ART) on admission was defined as receipt within 1 day of admission date.</t>
  </si>
  <si>
    <t>Limited analysis to patients' first hospitalization in the study window</t>
  </si>
  <si>
    <t>We used International Classification of Diseases, Tenth Revision, Clinical Modification (ICD-10-CM) discharge diagnosis codes to identify hospitalizations with cryptococcal meningitis (CM) and other selected conditions, and we used billing data and ICD-10 Procedure Coding System (ICD-10-PCS) codes to identify lumbar punctures (LP) and cerebrospinal fluid (CSF) drainage devices (Supplemental Table) during January 2019 to August 2023 (latest available data at the time of analysis).</t>
  </si>
  <si>
    <r>
      <t xml:space="preserve">Limited analysis to hospitalizations where 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 xml:space="preserve"> 1 LP was performed</t>
    </r>
  </si>
  <si>
    <t>total number of hospitals these unique patients were from</t>
  </si>
  <si>
    <t>For this table, the n=5 patients who had diagnosis codes for both HIV and transplant were removed</t>
  </si>
  <si>
    <t>n=1,845</t>
  </si>
  <si>
    <t>n=926</t>
  </si>
  <si>
    <t>n=182</t>
  </si>
  <si>
    <t>n=737</t>
  </si>
  <si>
    <t>No pre-admission information, so underlying conditions might not be comprehensive. For example, we might not be capturing people with transplant if not recorded on their current admission; we can't really tell whether HIV diagnoses are new or existing; can't identify immunosuppression due to long-term or high-dose steroid use</t>
  </si>
  <si>
    <t>Sex (n=1,844)</t>
  </si>
  <si>
    <t>these codes became effective on 10/1/2020</t>
  </si>
  <si>
    <t>Re-hospitalized at the same hospital within 30 days</t>
  </si>
  <si>
    <t>Race/ethnicity (n=1,602)</t>
  </si>
  <si>
    <t>Pre-admission location (n=1,824)</t>
  </si>
  <si>
    <t>Non-healthcare setting</t>
  </si>
  <si>
    <t>Cerebrospinal fluid drainage device</t>
  </si>
  <si>
    <t>Median length of hospitalization, days (IQR)</t>
  </si>
  <si>
    <t>Median age, years (IQR)</t>
  </si>
  <si>
    <t>(39-62)</t>
  </si>
  <si>
    <t>(11-28)</t>
  </si>
  <si>
    <t>Median CSF white blood cell count (n=179)</t>
  </si>
  <si>
    <t>Median CSF glucose, mg/dL (n=273)</t>
  </si>
  <si>
    <t>Median CSF protein, mg/dL (n=273)</t>
  </si>
  <si>
    <t>(5-109)</t>
  </si>
  <si>
    <t>(22-54)</t>
  </si>
  <si>
    <t>(53-151)</t>
  </si>
  <si>
    <t>(35-52)</t>
  </si>
  <si>
    <t>(52-68)</t>
  </si>
  <si>
    <t>(47-68)</t>
  </si>
  <si>
    <t>(10-25)</t>
  </si>
  <si>
    <t>(10-29)</t>
  </si>
  <si>
    <t>(12-31)</t>
  </si>
  <si>
    <t>(3-77)</t>
  </si>
  <si>
    <t>(7-85)</t>
  </si>
  <si>
    <t>(19-158)</t>
  </si>
  <si>
    <t>(28-51)</t>
  </si>
  <si>
    <t>(18-56)</t>
  </si>
  <si>
    <t>(21-56)</t>
  </si>
  <si>
    <t>(44.5-127)</t>
  </si>
  <si>
    <t>(63-204.9)</t>
  </si>
  <si>
    <t>(61-120)</t>
  </si>
  <si>
    <t>n/a</t>
  </si>
  <si>
    <r>
      <rPr>
        <vertAlign val="superscript"/>
        <sz val="9"/>
        <rFont val="Calibri"/>
        <family val="2"/>
        <scheme val="minor"/>
      </rPr>
      <t>b</t>
    </r>
    <r>
      <rPr>
        <sz val="9"/>
        <rFont val="Calibri"/>
        <family val="2"/>
        <scheme val="minor"/>
      </rPr>
      <t xml:space="preserve"> Patient's first measurement during hospitalization. Laboratory data were available from n=127 hospitals.</t>
    </r>
  </si>
  <si>
    <r>
      <t>HIV</t>
    </r>
    <r>
      <rPr>
        <b/>
        <vertAlign val="superscript"/>
        <sz val="11"/>
        <rFont val="Calibri"/>
        <family val="2"/>
        <scheme val="minor"/>
      </rPr>
      <t>a</t>
    </r>
  </si>
  <si>
    <r>
      <t>Laboratory data available</t>
    </r>
    <r>
      <rPr>
        <vertAlign val="superscript"/>
        <sz val="11"/>
        <rFont val="Calibri"/>
        <family val="2"/>
        <scheme val="minor"/>
      </rPr>
      <t>b</t>
    </r>
  </si>
  <si>
    <r>
      <t>Median CD4 cell count/mm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(n=70)</t>
    </r>
  </si>
  <si>
    <t>CSF drainage device</t>
  </si>
  <si>
    <t>(12-58)</t>
  </si>
  <si>
    <r>
      <rPr>
        <vertAlign val="superscript"/>
        <sz val="9"/>
        <rFont val="Calibri"/>
        <family val="2"/>
        <scheme val="minor"/>
      </rPr>
      <t>a</t>
    </r>
    <r>
      <rPr>
        <sz val="9"/>
        <rFont val="Calibri"/>
        <family val="2"/>
        <scheme val="minor"/>
      </rPr>
      <t xml:space="preserve"> Among n=349 patients with ART timing data available, 178 (51.0%) received ART within 1 day of hospital admission.</t>
    </r>
  </si>
  <si>
    <t>Note, we'll have to suppress any cells with n&lt;10 in the final manuscript table</t>
  </si>
  <si>
    <t>not significantly different by group</t>
  </si>
  <si>
    <t>Seems to support previous literature about worse outcomes in non-HIV patients</t>
  </si>
  <si>
    <t>Literature</t>
  </si>
  <si>
    <t xml:space="preserve">https://pubmed.ncbi.nlm.nih.gov/25057102/ </t>
  </si>
  <si>
    <t xml:space="preserve">https://pubmed.ncbi.nlm.nih.gov/36092828/ </t>
  </si>
  <si>
    <t>I didn’t record statistical testing for this table because most comparisons were significant</t>
  </si>
  <si>
    <t>In-hospital death or discharged to hospice</t>
  </si>
  <si>
    <t>Among the n=189 who did not get AmB, 21 died or were discharged to hospice, 115 were discharged home, 7 left AMA, and 46 were transferred to another HCF</t>
  </si>
  <si>
    <t>1 LP</t>
  </si>
  <si>
    <t>&gt;1 LP</t>
  </si>
  <si>
    <t>1 lumbar puncture</t>
  </si>
  <si>
    <t>&gt;1 lumbar puncture</t>
  </si>
  <si>
    <t>n=1,850</t>
  </si>
  <si>
    <t>Table 1. Features of patients hospitalized with cryptococcal meningitis, by HIV and transplant status</t>
  </si>
  <si>
    <t>Table 2. Features of patients hospitalized with cryptococcal meningitis, by number of lumbar punctures received</t>
  </si>
  <si>
    <t>n=968</t>
  </si>
  <si>
    <t>n=882</t>
  </si>
  <si>
    <t>p-value</t>
  </si>
  <si>
    <t>Sex (n=1,849)</t>
  </si>
  <si>
    <t>Race/ethnicity (n=1,605)</t>
  </si>
  <si>
    <t>Pre-admission location (n=1,829)</t>
  </si>
  <si>
    <t>&lt;0.001</t>
  </si>
  <si>
    <t>I thought this might be related to differences in underlying condition (HIV vs. no) but it seems like it's probably not</t>
  </si>
  <si>
    <t>patients from larger hospitals more likely to receive &gt;1 LP</t>
  </si>
  <si>
    <r>
      <t>COVID-19</t>
    </r>
    <r>
      <rPr>
        <vertAlign val="superscript"/>
        <sz val="11"/>
        <rFont val="Calibri"/>
        <family val="2"/>
        <scheme val="minor"/>
      </rPr>
      <t>b</t>
    </r>
    <r>
      <rPr>
        <sz val="11"/>
        <rFont val="Calibri"/>
        <family val="2"/>
        <scheme val="minor"/>
      </rPr>
      <t xml:space="preserve"> (n=1,051)</t>
    </r>
  </si>
  <si>
    <r>
      <t>Laboratory data available</t>
    </r>
    <r>
      <rPr>
        <vertAlign val="superscript"/>
        <sz val="11"/>
        <rFont val="Calibri"/>
        <family val="2"/>
        <scheme val="minor"/>
      </rPr>
      <t>c</t>
    </r>
  </si>
  <si>
    <r>
      <rPr>
        <vertAlign val="superscript"/>
        <sz val="9"/>
        <rFont val="Calibri"/>
        <family val="2"/>
        <scheme val="minor"/>
      </rPr>
      <t xml:space="preserve">b </t>
    </r>
    <r>
      <rPr>
        <sz val="9"/>
        <rFont val="Calibri"/>
        <family val="2"/>
        <scheme val="minor"/>
      </rPr>
      <t>Limited to hospitalizations after October 1 2020, when the COVID-19 ICD-10-CM code became effective.</t>
    </r>
  </si>
  <si>
    <r>
      <rPr>
        <vertAlign val="superscript"/>
        <sz val="9"/>
        <rFont val="Calibri"/>
        <family val="2"/>
        <scheme val="minor"/>
      </rPr>
      <t>c</t>
    </r>
    <r>
      <rPr>
        <sz val="9"/>
        <rFont val="Calibri"/>
        <family val="2"/>
        <scheme val="minor"/>
      </rPr>
      <t xml:space="preserve"> Patient's first measurement during hospitalization. Laboratory data were available from n=127 hospitals.</t>
    </r>
  </si>
  <si>
    <r>
      <rPr>
        <vertAlign val="superscript"/>
        <sz val="9"/>
        <rFont val="Calibri"/>
        <family val="2"/>
        <scheme val="minor"/>
      </rPr>
      <t>a</t>
    </r>
    <r>
      <rPr>
        <sz val="9"/>
        <rFont val="Calibri"/>
        <family val="2"/>
        <scheme val="minor"/>
      </rPr>
      <t xml:space="preserve"> Limited to hospitalizations after October 1 2020, when the COVID-19 ICD-10-CM code became effective.</t>
    </r>
  </si>
  <si>
    <r>
      <t>COVID-19</t>
    </r>
    <r>
      <rPr>
        <vertAlign val="superscript"/>
        <sz val="11"/>
        <rFont val="Calibri"/>
        <family val="2"/>
        <scheme val="minor"/>
      </rPr>
      <t>a</t>
    </r>
    <r>
      <rPr>
        <sz val="11"/>
        <rFont val="Calibri"/>
        <family val="2"/>
        <scheme val="minor"/>
      </rPr>
      <t xml:space="preserve"> (n=1,054)</t>
    </r>
  </si>
  <si>
    <t>(40-62)</t>
  </si>
  <si>
    <t>(7-21)</t>
  </si>
  <si>
    <t>(16-34)</t>
  </si>
  <si>
    <t>(10-131)</t>
  </si>
  <si>
    <t>(20-50)</t>
  </si>
  <si>
    <t>(54-147)</t>
  </si>
  <si>
    <t>(51-154)</t>
  </si>
  <si>
    <t>(25-57)</t>
  </si>
  <si>
    <t>(4-103)</t>
  </si>
  <si>
    <r>
      <t>Median CD4 cell count/mm</t>
    </r>
    <r>
      <rPr>
        <vertAlign val="superscript"/>
        <sz val="11"/>
        <rFont val="Calibri"/>
        <family val="2"/>
        <scheme val="minor"/>
      </rPr>
      <t>3</t>
    </r>
    <r>
      <rPr>
        <sz val="11"/>
        <rFont val="Calibri"/>
        <family val="2"/>
        <scheme val="minor"/>
      </rPr>
      <t xml:space="preserve"> (n=70)</t>
    </r>
    <r>
      <rPr>
        <vertAlign val="superscript"/>
        <sz val="11"/>
        <rFont val="Calibri"/>
        <family val="2"/>
        <scheme val="minor"/>
      </rPr>
      <t>c</t>
    </r>
  </si>
  <si>
    <r>
      <rPr>
        <vertAlign val="superscript"/>
        <sz val="9"/>
        <rFont val="Calibri"/>
        <family val="2"/>
        <scheme val="minor"/>
      </rPr>
      <t>b</t>
    </r>
    <r>
      <rPr>
        <sz val="9"/>
        <rFont val="Calibri"/>
        <family val="2"/>
        <scheme val="minor"/>
      </rPr>
      <t xml:space="preserve"> Among n=70 patients with HIV</t>
    </r>
  </si>
  <si>
    <t>(12-65)</t>
  </si>
  <si>
    <t>(12-56)</t>
  </si>
  <si>
    <t>p-values are from chi-square and Wilcoxin rank-sum tests</t>
  </si>
  <si>
    <t>Figure 1. Survival at hospital discharge among patients hospitalized with cryptococcal meningitis, by number of lumbar punctures received</t>
  </si>
  <si>
    <t>In this table, the n=5 patients who had diagnosis codes for both HIV and transplant are included</t>
  </si>
  <si>
    <t>key:</t>
  </si>
  <si>
    <t>either adjusted Cox proportional hazards model?</t>
  </si>
  <si>
    <t>Or IPTW</t>
  </si>
  <si>
    <t>This output is from a super simple unadjusted "proc lifetest" in SAS, but I think we need a more sophisticated method that adjusts for covariates</t>
  </si>
  <si>
    <t>TIME</t>
  </si>
  <si>
    <t>length of stay (LOS)</t>
  </si>
  <si>
    <t>EXP</t>
  </si>
  <si>
    <t xml:space="preserve">lumbar puncture (1 or more than 1) 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</si>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</sst>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"/>
    <numFmt numFmtId="166" formatCode="#,##0.0"/>
  </numFmts>
  <fonts count="22" x14ac:knownFonts="1"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9"/>
      <name val="Calibri"/>
      <family val="2"/>
      <scheme val="minor"/>
    </font>
    <font>
      <vertAlign val="superscript"/>
      <sz val="9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9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4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3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8" fillId="0" borderId="0" xfId="0" applyFont="1" applyFill="1" applyAlignment="1"/>
    <xf numFmtId="0" fontId="8" fillId="0" borderId="0" xfId="0" applyFont="1" applyFill="1"/>
    <xf numFmtId="0" fontId="1" fillId="0" borderId="0" xfId="0" applyFont="1" applyAlignment="1">
      <alignment horizontal="left" indent="1"/>
    </xf>
    <xf numFmtId="3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0" xfId="0" applyFont="1" applyBorder="1"/>
    <xf numFmtId="3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  <xf numFmtId="0" fontId="11" fillId="0" borderId="1" xfId="0" applyFont="1" applyBorder="1"/>
    <xf numFmtId="0" fontId="2" fillId="0" borderId="0" xfId="0" applyFont="1" applyFill="1" applyAlignment="1">
      <alignment horizontal="left" indent="1"/>
    </xf>
    <xf numFmtId="3" fontId="1" fillId="0" borderId="0" xfId="0" applyNumberFormat="1" applyFont="1" applyFill="1" applyAlignment="1">
      <alignment horizontal="left"/>
    </xf>
    <xf numFmtId="164" fontId="1" fillId="0" borderId="0" xfId="0" applyNumberFormat="1" applyFont="1" applyFill="1" applyAlignment="1">
      <alignment horizontal="left"/>
    </xf>
    <xf numFmtId="0" fontId="5" fillId="0" borderId="0" xfId="0" applyFont="1" applyFill="1"/>
    <xf numFmtId="0" fontId="10" fillId="0" borderId="0" xfId="0" applyFont="1" applyFill="1"/>
    <xf numFmtId="0" fontId="2" fillId="0" borderId="0" xfId="0" applyFont="1" applyFill="1" applyBorder="1"/>
    <xf numFmtId="0" fontId="2" fillId="0" borderId="1" xfId="0" applyFont="1" applyFill="1" applyBorder="1"/>
    <xf numFmtId="0" fontId="11" fillId="0" borderId="0" xfId="0" applyFont="1" applyFill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0" fillId="0" borderId="0" xfId="0" applyFill="1" applyAlignment="1">
      <alignment horizontal="left" indent="1"/>
    </xf>
    <xf numFmtId="0" fontId="4" fillId="0" borderId="0" xfId="0" applyFont="1" applyFill="1"/>
    <xf numFmtId="49" fontId="1" fillId="0" borderId="0" xfId="0" applyNumberFormat="1" applyFont="1" applyAlignment="1">
      <alignment horizontal="left"/>
    </xf>
    <xf numFmtId="0" fontId="1" fillId="0" borderId="0" xfId="0" applyFont="1" applyAlignment="1"/>
    <xf numFmtId="0" fontId="15" fillId="0" borderId="0" xfId="0" applyFont="1"/>
    <xf numFmtId="0" fontId="16" fillId="0" borderId="0" xfId="2"/>
    <xf numFmtId="0" fontId="0" fillId="0" borderId="0" xfId="0" applyAlignment="1">
      <alignment horizontal="left"/>
    </xf>
    <xf numFmtId="3" fontId="0" fillId="0" borderId="0" xfId="0" applyNumberFormat="1"/>
    <xf numFmtId="3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 applyFill="1" applyAlignment="1"/>
    <xf numFmtId="164" fontId="0" fillId="0" borderId="0" xfId="0" applyNumberFormat="1" applyFill="1" applyAlignment="1">
      <alignment horizontal="left"/>
    </xf>
    <xf numFmtId="164" fontId="2" fillId="0" borderId="0" xfId="1" applyNumberFormat="1" applyFont="1" applyFill="1" applyAlignment="1">
      <alignment horizontal="left"/>
    </xf>
    <xf numFmtId="3" fontId="11" fillId="0" borderId="1" xfId="0" applyNumberFormat="1" applyFont="1" applyFill="1" applyBorder="1" applyAlignment="1">
      <alignment horizontal="left"/>
    </xf>
    <xf numFmtId="164" fontId="11" fillId="0" borderId="1" xfId="0" applyNumberFormat="1" applyFont="1" applyFill="1" applyBorder="1" applyAlignment="1">
      <alignment horizontal="left"/>
    </xf>
    <xf numFmtId="0" fontId="13" fillId="0" borderId="0" xfId="0" applyFont="1"/>
    <xf numFmtId="0" fontId="1" fillId="0" borderId="0" xfId="0" applyFont="1" applyFill="1" applyBorder="1"/>
    <xf numFmtId="0" fontId="1" fillId="0" borderId="1" xfId="0" applyFont="1" applyFill="1" applyBorder="1"/>
    <xf numFmtId="0" fontId="19" fillId="0" borderId="0" xfId="0" applyFont="1" applyFill="1"/>
    <xf numFmtId="165" fontId="1" fillId="0" borderId="0" xfId="0" applyNumberFormat="1" applyFont="1" applyAlignment="1">
      <alignment horizontal="left"/>
    </xf>
    <xf numFmtId="165" fontId="11" fillId="0" borderId="0" xfId="0" applyNumberFormat="1" applyFont="1" applyFill="1" applyBorder="1" applyAlignment="1">
      <alignment horizontal="center"/>
    </xf>
    <xf numFmtId="165" fontId="11" fillId="0" borderId="1" xfId="0" applyNumberFormat="1" applyFont="1" applyFill="1" applyBorder="1" applyAlignment="1">
      <alignment horizontal="left"/>
    </xf>
    <xf numFmtId="165" fontId="2" fillId="0" borderId="0" xfId="0" applyNumberFormat="1" applyFont="1" applyFill="1" applyAlignment="1">
      <alignment horizontal="left"/>
    </xf>
    <xf numFmtId="165" fontId="1" fillId="0" borderId="0" xfId="0" applyNumberFormat="1" applyFont="1" applyFill="1" applyAlignment="1">
      <alignment horizontal="left"/>
    </xf>
    <xf numFmtId="166" fontId="2" fillId="0" borderId="0" xfId="0" applyNumberFormat="1" applyFont="1" applyFill="1" applyAlignment="1">
      <alignment horizontal="left"/>
    </xf>
    <xf numFmtId="0" fontId="20" fillId="0" borderId="0" xfId="0" applyFont="1"/>
    <xf numFmtId="0" fontId="21" fillId="0" borderId="0" xfId="0" applyFont="1"/>
    <xf numFmtId="0" fontId="0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1" fillId="0" borderId="0" xfId="0" applyFont="1" applyFill="1" applyBorder="1" applyAlignment="1">
      <alignment horizontal="center"/>
    </xf>
    <xf numFmtId="3" fontId="11" fillId="0" borderId="0" xfId="0" applyNumberFormat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6351</xdr:colOff>
      <xdr:row>1</xdr:row>
      <xdr:rowOff>107950</xdr:rowOff>
    </xdr:from>
    <xdr:to>
      <xdr:col>7</xdr:col>
      <xdr:colOff>570571</xdr:colOff>
      <xdr:row>19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E6B757-E6CD-19BF-7D29-481C385CE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1" y="304800"/>
          <a:ext cx="4831420" cy="338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ubmed.ncbi.nlm.nih.gov/36092828/" TargetMode="External"/><Relationship Id="rId2" Type="http://schemas.openxmlformats.org/officeDocument/2006/relationships/hyperlink" Target="https://pubmed.ncbi.nlm.nih.gov/25057102/" TargetMode="External"/><Relationship Id="rId1" Type="http://schemas.openxmlformats.org/officeDocument/2006/relationships/hyperlink" Target="https://offers.premierinc.com/rs/381-NBB-525/images/PINC_AI_Healthcare_Data_White_Paper.pdf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B2084-9D92-4DD5-AA7D-DE190A04D832}">
  <dimension ref="A1:O23"/>
  <sheetViews>
    <sheetView topLeftCell="A2" zoomScale="160" workbookViewId="0">
      <selection activeCell="A7" sqref="A7"/>
    </sheetView>
  </sheetViews>
  <sheetFormatPr defaultRowHeight="14.5" x14ac:dyDescent="0.35"/>
  <sheetData>
    <row r="1" spans="1:15" ht="15.5" x14ac:dyDescent="0.35">
      <c r="A1" s="35" t="s">
        <v>112</v>
      </c>
    </row>
    <row r="2" spans="1:15" x14ac:dyDescent="0.35">
      <c r="A2" s="58" t="s">
        <v>114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5" x14ac:dyDescent="0.35">
      <c r="A3" s="36" t="s">
        <v>113</v>
      </c>
    </row>
    <row r="4" spans="1:15" ht="59.5" customHeight="1" x14ac:dyDescent="0.35">
      <c r="A4" s="59" t="s">
        <v>121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</row>
    <row r="5" spans="1:15" x14ac:dyDescent="0.35">
      <c r="A5" t="s">
        <v>122</v>
      </c>
    </row>
    <row r="6" spans="1:15" x14ac:dyDescent="0.35">
      <c r="A6" t="s">
        <v>120</v>
      </c>
    </row>
    <row r="7" spans="1:15" x14ac:dyDescent="0.35">
      <c r="A7" s="8" t="s">
        <v>119</v>
      </c>
    </row>
    <row r="8" spans="1:15" x14ac:dyDescent="0.35">
      <c r="A8" s="8"/>
    </row>
    <row r="9" spans="1:15" ht="15.5" x14ac:dyDescent="0.35">
      <c r="A9" s="23" t="s">
        <v>111</v>
      </c>
    </row>
    <row r="10" spans="1:15" x14ac:dyDescent="0.35">
      <c r="A10" s="9">
        <v>3193</v>
      </c>
      <c r="B10" s="5" t="s">
        <v>116</v>
      </c>
    </row>
    <row r="11" spans="1:15" x14ac:dyDescent="0.35">
      <c r="A11" s="9">
        <v>2263</v>
      </c>
      <c r="B11" t="s">
        <v>117</v>
      </c>
      <c r="G11" s="5"/>
    </row>
    <row r="12" spans="1:15" x14ac:dyDescent="0.35">
      <c r="A12" s="17">
        <v>1850</v>
      </c>
      <c r="B12" t="s">
        <v>118</v>
      </c>
      <c r="G12" s="7"/>
    </row>
    <row r="13" spans="1:15" x14ac:dyDescent="0.35">
      <c r="A13" s="39">
        <v>492</v>
      </c>
      <c r="B13" t="s">
        <v>123</v>
      </c>
      <c r="G13" s="1"/>
    </row>
    <row r="14" spans="1:15" x14ac:dyDescent="0.35">
      <c r="A14" s="38"/>
      <c r="G14" s="1"/>
    </row>
    <row r="15" spans="1:15" ht="15.5" x14ac:dyDescent="0.35">
      <c r="A15" s="35" t="s">
        <v>85</v>
      </c>
    </row>
    <row r="16" spans="1:15" x14ac:dyDescent="0.35">
      <c r="A16" t="s">
        <v>91</v>
      </c>
    </row>
    <row r="17" spans="1:1" x14ac:dyDescent="0.35">
      <c r="A17" t="s">
        <v>129</v>
      </c>
    </row>
    <row r="18" spans="1:1" x14ac:dyDescent="0.35">
      <c r="A18" t="s">
        <v>100</v>
      </c>
    </row>
    <row r="19" spans="1:1" x14ac:dyDescent="0.35">
      <c r="A19" t="s">
        <v>110</v>
      </c>
    </row>
    <row r="21" spans="1:1" x14ac:dyDescent="0.35">
      <c r="A21" s="46" t="s">
        <v>173</v>
      </c>
    </row>
    <row r="22" spans="1:1" x14ac:dyDescent="0.35">
      <c r="A22" s="36" t="s">
        <v>174</v>
      </c>
    </row>
    <row r="23" spans="1:1" x14ac:dyDescent="0.35">
      <c r="A23" s="36" t="s">
        <v>175</v>
      </c>
    </row>
  </sheetData>
  <mergeCells count="2">
    <mergeCell ref="A2:O2"/>
    <mergeCell ref="A4:O4"/>
  </mergeCells>
  <phoneticPr fontId="6" type="noConversion"/>
  <hyperlinks>
    <hyperlink ref="A3" r:id="rId1" xr:uid="{D87552A9-7EB6-4F39-ADDD-5082337D7955}"/>
    <hyperlink ref="A22" r:id="rId2" xr:uid="{27B539FA-F5FE-46EB-958C-0730FDB3AF51}"/>
    <hyperlink ref="A23" r:id="rId3" xr:uid="{99B82EAB-1FE3-4346-B36A-EA3D346F24EA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E9B8A-CA7D-47D0-B91C-E1C258A2896B}">
  <dimension ref="A1:D43"/>
  <sheetViews>
    <sheetView workbookViewId="0"/>
  </sheetViews>
  <sheetFormatPr defaultRowHeight="14.5" x14ac:dyDescent="0.35"/>
  <cols>
    <col min="1" max="1" width="42" customWidth="1"/>
    <col min="2" max="2" width="32.81640625" customWidth="1"/>
    <col min="3" max="3" width="8.7265625" style="1"/>
  </cols>
  <sheetData>
    <row r="1" spans="1:4" ht="15.5" x14ac:dyDescent="0.35">
      <c r="A1" s="35" t="s">
        <v>115</v>
      </c>
    </row>
    <row r="3" spans="1:4" x14ac:dyDescent="0.35">
      <c r="A3" s="19" t="s">
        <v>0</v>
      </c>
      <c r="B3" s="19" t="s">
        <v>1</v>
      </c>
    </row>
    <row r="4" spans="1:4" x14ac:dyDescent="0.35">
      <c r="A4" s="16" t="s">
        <v>86</v>
      </c>
      <c r="B4" s="16" t="s">
        <v>87</v>
      </c>
    </row>
    <row r="5" spans="1:4" x14ac:dyDescent="0.35">
      <c r="A5" s="25" t="s">
        <v>92</v>
      </c>
      <c r="B5" s="25" t="s">
        <v>102</v>
      </c>
    </row>
    <row r="6" spans="1:4" ht="58" x14ac:dyDescent="0.35">
      <c r="A6" s="2" t="s">
        <v>2</v>
      </c>
      <c r="B6" s="2" t="s">
        <v>3</v>
      </c>
    </row>
    <row r="7" spans="1:4" x14ac:dyDescent="0.35">
      <c r="A7" s="2" t="s">
        <v>4</v>
      </c>
      <c r="B7" s="2" t="s">
        <v>5</v>
      </c>
      <c r="C7" s="1" t="s">
        <v>131</v>
      </c>
    </row>
    <row r="8" spans="1:4" x14ac:dyDescent="0.35">
      <c r="A8" s="2" t="s">
        <v>6</v>
      </c>
      <c r="B8" s="2" t="s">
        <v>7</v>
      </c>
    </row>
    <row r="9" spans="1:4" x14ac:dyDescent="0.35">
      <c r="A9" s="5" t="s">
        <v>8</v>
      </c>
      <c r="B9" s="5" t="s">
        <v>9</v>
      </c>
    </row>
    <row r="10" spans="1:4" x14ac:dyDescent="0.35">
      <c r="A10" s="5" t="s">
        <v>10</v>
      </c>
      <c r="B10" s="5" t="s">
        <v>11</v>
      </c>
    </row>
    <row r="11" spans="1:4" x14ac:dyDescent="0.35">
      <c r="A11" s="5" t="s">
        <v>79</v>
      </c>
      <c r="B11" s="5" t="s">
        <v>90</v>
      </c>
    </row>
    <row r="12" spans="1:4" x14ac:dyDescent="0.35">
      <c r="A12" s="5" t="s">
        <v>88</v>
      </c>
      <c r="B12" s="5" t="s">
        <v>89</v>
      </c>
    </row>
    <row r="13" spans="1:4" x14ac:dyDescent="0.35">
      <c r="A13" s="2" t="s">
        <v>12</v>
      </c>
      <c r="B13" s="2" t="s">
        <v>13</v>
      </c>
    </row>
    <row r="14" spans="1:4" ht="14.5" customHeight="1" x14ac:dyDescent="0.35">
      <c r="A14" s="2" t="s">
        <v>14</v>
      </c>
      <c r="B14" s="2" t="s">
        <v>15</v>
      </c>
    </row>
    <row r="15" spans="1:4" x14ac:dyDescent="0.35">
      <c r="A15" s="29" t="s">
        <v>16</v>
      </c>
      <c r="B15" s="29" t="s">
        <v>96</v>
      </c>
      <c r="D15" s="7"/>
    </row>
    <row r="16" spans="1:4" x14ac:dyDescent="0.35">
      <c r="A16" s="3" t="s">
        <v>17</v>
      </c>
      <c r="B16" s="3" t="s">
        <v>18</v>
      </c>
    </row>
    <row r="17" spans="1:4" x14ac:dyDescent="0.35">
      <c r="A17" s="29" t="s">
        <v>98</v>
      </c>
      <c r="B17" s="29" t="s">
        <v>99</v>
      </c>
    </row>
    <row r="18" spans="1:4" x14ac:dyDescent="0.35">
      <c r="A18" s="29" t="s">
        <v>93</v>
      </c>
      <c r="B18" s="6" t="s">
        <v>94</v>
      </c>
    </row>
    <row r="19" spans="1:4" s="6" customFormat="1" x14ac:dyDescent="0.35">
      <c r="A19" s="29" t="s">
        <v>70</v>
      </c>
      <c r="B19" s="29" t="s">
        <v>95</v>
      </c>
      <c r="C19" s="7"/>
    </row>
    <row r="20" spans="1:4" x14ac:dyDescent="0.35">
      <c r="A20" s="3" t="s">
        <v>19</v>
      </c>
      <c r="B20" s="3" t="s">
        <v>20</v>
      </c>
    </row>
    <row r="21" spans="1:4" x14ac:dyDescent="0.35">
      <c r="A21" s="3" t="s">
        <v>21</v>
      </c>
      <c r="B21" s="3" t="s">
        <v>22</v>
      </c>
    </row>
    <row r="22" spans="1:4" x14ac:dyDescent="0.35">
      <c r="A22" s="5" t="s">
        <v>23</v>
      </c>
      <c r="B22" s="5" t="s">
        <v>24</v>
      </c>
    </row>
    <row r="23" spans="1:4" x14ac:dyDescent="0.35">
      <c r="A23" s="8" t="s">
        <v>25</v>
      </c>
      <c r="B23" s="8" t="s">
        <v>26</v>
      </c>
      <c r="D23" s="7"/>
    </row>
    <row r="24" spans="1:4" x14ac:dyDescent="0.35">
      <c r="A24" s="19" t="s">
        <v>0</v>
      </c>
      <c r="B24" s="19" t="s">
        <v>83</v>
      </c>
    </row>
    <row r="25" spans="1:4" x14ac:dyDescent="0.35">
      <c r="A25" s="6" t="s">
        <v>84</v>
      </c>
      <c r="B25" s="6" t="s">
        <v>108</v>
      </c>
    </row>
    <row r="26" spans="1:4" x14ac:dyDescent="0.35">
      <c r="A26" s="6" t="s">
        <v>136</v>
      </c>
      <c r="B26" s="6"/>
    </row>
    <row r="27" spans="1:4" x14ac:dyDescent="0.35">
      <c r="A27" s="20" t="s">
        <v>103</v>
      </c>
      <c r="B27" s="6" t="s">
        <v>109</v>
      </c>
    </row>
    <row r="28" spans="1:4" x14ac:dyDescent="0.35">
      <c r="A28" s="20" t="s">
        <v>104</v>
      </c>
      <c r="B28" s="6" t="s">
        <v>106</v>
      </c>
    </row>
    <row r="31" spans="1:4" x14ac:dyDescent="0.35">
      <c r="A31" s="34"/>
      <c r="B31" s="1"/>
    </row>
    <row r="32" spans="1:4" x14ac:dyDescent="0.35">
      <c r="A32" s="13"/>
      <c r="B32" s="1"/>
      <c r="D32" s="1"/>
    </row>
    <row r="33" spans="1:3" x14ac:dyDescent="0.35">
      <c r="A33" s="13"/>
      <c r="B33" s="1"/>
    </row>
    <row r="34" spans="1:3" x14ac:dyDescent="0.35">
      <c r="A34" s="13"/>
      <c r="B34" s="1"/>
    </row>
    <row r="35" spans="1:3" x14ac:dyDescent="0.35">
      <c r="A35" s="13"/>
      <c r="B35" s="1"/>
      <c r="C35" s="33"/>
    </row>
    <row r="36" spans="1:3" x14ac:dyDescent="0.35">
      <c r="A36" s="13"/>
      <c r="B36" s="1"/>
      <c r="C36" s="33"/>
    </row>
    <row r="37" spans="1:3" x14ac:dyDescent="0.35">
      <c r="A37" s="13"/>
      <c r="B37" s="1"/>
      <c r="C37" s="33"/>
    </row>
    <row r="38" spans="1:3" x14ac:dyDescent="0.35">
      <c r="A38" s="13"/>
      <c r="B38" s="1"/>
      <c r="C38" s="33"/>
    </row>
    <row r="39" spans="1:3" x14ac:dyDescent="0.35">
      <c r="A39" s="13"/>
      <c r="B39" s="1"/>
      <c r="C39" s="33"/>
    </row>
    <row r="40" spans="1:3" x14ac:dyDescent="0.35">
      <c r="A40" s="13"/>
      <c r="B40" s="1"/>
      <c r="C40" s="33"/>
    </row>
    <row r="41" spans="1:3" x14ac:dyDescent="0.35">
      <c r="C41" s="33"/>
    </row>
    <row r="42" spans="1:3" x14ac:dyDescent="0.35">
      <c r="C42" s="33"/>
    </row>
    <row r="43" spans="1:3" x14ac:dyDescent="0.35">
      <c r="C43" s="33"/>
    </row>
  </sheetData>
  <sortState xmlns:xlrd2="http://schemas.microsoft.com/office/spreadsheetml/2017/richdata2" ref="B32:B40">
    <sortCondition ref="B32:B40"/>
  </sortState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36489-5BB8-4004-B5CC-437780994F8C}">
  <dimension ref="A1:K94"/>
  <sheetViews>
    <sheetView workbookViewId="0">
      <pane ySplit="4" topLeftCell="A5" activePane="bottomLeft" state="frozen"/>
      <selection pane="bottomLeft" activeCell="D69" sqref="D69:E69"/>
    </sheetView>
  </sheetViews>
  <sheetFormatPr defaultRowHeight="14.5" x14ac:dyDescent="0.35"/>
  <cols>
    <col min="1" max="1" width="46.453125" style="6" customWidth="1"/>
    <col min="2" max="2" width="8.54296875" style="9" customWidth="1"/>
    <col min="3" max="3" width="8.54296875" style="10" customWidth="1"/>
    <col min="4" max="4" width="8.54296875" style="9" customWidth="1"/>
    <col min="5" max="5" width="8.54296875" style="10" customWidth="1"/>
    <col min="6" max="6" width="8.54296875" style="9" customWidth="1"/>
    <col min="7" max="7" width="8.54296875" style="10" customWidth="1"/>
    <col min="8" max="8" width="8.7265625" style="37"/>
    <col min="9" max="9" width="12.6328125" customWidth="1"/>
    <col min="10" max="10" width="8.7265625" style="1"/>
  </cols>
  <sheetData>
    <row r="1" spans="1:11" ht="15.5" x14ac:dyDescent="0.35">
      <c r="A1" s="23" t="s">
        <v>184</v>
      </c>
      <c r="B1" s="14"/>
      <c r="C1" s="15"/>
      <c r="D1" s="14"/>
      <c r="E1" s="15"/>
      <c r="F1" s="14"/>
      <c r="G1" s="15"/>
    </row>
    <row r="2" spans="1:11" ht="15.5" x14ac:dyDescent="0.35">
      <c r="A2" s="24"/>
      <c r="B2" s="14"/>
      <c r="C2" s="15"/>
      <c r="D2" s="14"/>
      <c r="E2" s="15"/>
      <c r="F2" s="14"/>
      <c r="G2" s="15"/>
    </row>
    <row r="3" spans="1:11" ht="16.5" x14ac:dyDescent="0.35">
      <c r="A3" s="25"/>
      <c r="B3" s="61" t="s">
        <v>27</v>
      </c>
      <c r="C3" s="61"/>
      <c r="D3" s="60" t="s">
        <v>164</v>
      </c>
      <c r="E3" s="60"/>
      <c r="F3" s="60" t="s">
        <v>97</v>
      </c>
      <c r="G3" s="60"/>
      <c r="H3" s="60" t="s">
        <v>107</v>
      </c>
      <c r="I3" s="60"/>
      <c r="J3" s="4" t="s">
        <v>29</v>
      </c>
    </row>
    <row r="4" spans="1:11" s="6" customFormat="1" x14ac:dyDescent="0.35">
      <c r="A4" s="26"/>
      <c r="B4" s="44" t="s">
        <v>125</v>
      </c>
      <c r="C4" s="45" t="s">
        <v>28</v>
      </c>
      <c r="D4" s="44" t="s">
        <v>126</v>
      </c>
      <c r="E4" s="45" t="s">
        <v>28</v>
      </c>
      <c r="F4" s="44" t="s">
        <v>127</v>
      </c>
      <c r="G4" s="45" t="s">
        <v>28</v>
      </c>
      <c r="H4" s="44" t="s">
        <v>128</v>
      </c>
      <c r="I4" s="45" t="s">
        <v>28</v>
      </c>
      <c r="J4" s="7" t="s">
        <v>124</v>
      </c>
    </row>
    <row r="5" spans="1:11" s="6" customFormat="1" x14ac:dyDescent="0.35">
      <c r="A5" s="27" t="s">
        <v>30</v>
      </c>
      <c r="B5" s="17"/>
      <c r="C5" s="18"/>
      <c r="D5" s="17"/>
      <c r="E5" s="18"/>
      <c r="F5" s="17"/>
      <c r="G5" s="18"/>
      <c r="H5" s="29"/>
      <c r="I5" s="8"/>
      <c r="J5" s="7" t="s">
        <v>176</v>
      </c>
    </row>
    <row r="6" spans="1:11" s="6" customFormat="1" x14ac:dyDescent="0.35">
      <c r="A6" s="8" t="s">
        <v>138</v>
      </c>
      <c r="B6" s="17">
        <v>50</v>
      </c>
      <c r="C6" s="18" t="s">
        <v>139</v>
      </c>
      <c r="D6" s="17">
        <v>43</v>
      </c>
      <c r="E6" s="18" t="s">
        <v>147</v>
      </c>
      <c r="F6" s="17">
        <v>61</v>
      </c>
      <c r="G6" s="18" t="s">
        <v>148</v>
      </c>
      <c r="H6" s="29">
        <v>59</v>
      </c>
      <c r="I6" s="8" t="s">
        <v>149</v>
      </c>
      <c r="J6" s="7"/>
      <c r="K6" s="7"/>
    </row>
    <row r="7" spans="1:11" s="6" customFormat="1" x14ac:dyDescent="0.35">
      <c r="A7" s="8" t="s">
        <v>31</v>
      </c>
      <c r="B7" s="39"/>
      <c r="C7" s="42"/>
      <c r="D7" s="39"/>
      <c r="E7" s="42"/>
      <c r="F7" s="39"/>
      <c r="G7" s="42"/>
      <c r="H7" s="40"/>
      <c r="J7" s="7"/>
    </row>
    <row r="8" spans="1:11" s="6" customFormat="1" x14ac:dyDescent="0.35">
      <c r="A8" s="8" t="s">
        <v>65</v>
      </c>
      <c r="B8" s="17">
        <v>7</v>
      </c>
      <c r="C8" s="18">
        <f>B8/1845</f>
        <v>3.7940379403794038E-3</v>
      </c>
      <c r="D8" s="17">
        <v>0</v>
      </c>
      <c r="E8" s="18">
        <f>D8/926</f>
        <v>0</v>
      </c>
      <c r="F8" s="17">
        <v>2</v>
      </c>
      <c r="G8" s="18">
        <f>F8/182</f>
        <v>1.098901098901099E-2</v>
      </c>
      <c r="H8" s="29">
        <v>5</v>
      </c>
      <c r="I8" s="43">
        <f>H8/737</f>
        <v>6.7842605156037995E-3</v>
      </c>
      <c r="J8" s="7"/>
    </row>
    <row r="9" spans="1:11" s="6" customFormat="1" x14ac:dyDescent="0.35">
      <c r="A9" s="8" t="s">
        <v>66</v>
      </c>
      <c r="B9" s="17">
        <v>288</v>
      </c>
      <c r="C9" s="18">
        <f t="shared" ref="C9:C16" si="0">B9/1845</f>
        <v>0.15609756097560976</v>
      </c>
      <c r="D9" s="17">
        <v>217</v>
      </c>
      <c r="E9" s="18">
        <f t="shared" ref="E9:E13" si="1">D9/926</f>
        <v>0.23434125269978401</v>
      </c>
      <c r="F9" s="17">
        <v>4</v>
      </c>
      <c r="G9" s="18">
        <f t="shared" ref="G9:G16" si="2">F9/182</f>
        <v>2.197802197802198E-2</v>
      </c>
      <c r="H9" s="29">
        <v>67</v>
      </c>
      <c r="I9" s="43">
        <f t="shared" ref="I9:I16" si="3">H9/737</f>
        <v>9.0909090909090912E-2</v>
      </c>
      <c r="J9" s="7"/>
    </row>
    <row r="10" spans="1:11" s="6" customFormat="1" x14ac:dyDescent="0.35">
      <c r="A10" s="8" t="s">
        <v>67</v>
      </c>
      <c r="B10" s="17">
        <v>389</v>
      </c>
      <c r="C10" s="18">
        <f t="shared" si="0"/>
        <v>0.210840108401084</v>
      </c>
      <c r="D10" s="17">
        <v>290</v>
      </c>
      <c r="E10" s="18">
        <f t="shared" si="1"/>
        <v>0.31317494600431967</v>
      </c>
      <c r="F10" s="17">
        <v>16</v>
      </c>
      <c r="G10" s="18">
        <f t="shared" si="2"/>
        <v>8.7912087912087919E-2</v>
      </c>
      <c r="H10" s="29">
        <v>83</v>
      </c>
      <c r="I10" s="43">
        <f t="shared" si="3"/>
        <v>0.11261872455902307</v>
      </c>
      <c r="J10" s="7"/>
    </row>
    <row r="11" spans="1:11" s="6" customFormat="1" x14ac:dyDescent="0.35">
      <c r="A11" s="8" t="s">
        <v>68</v>
      </c>
      <c r="B11" s="17">
        <v>412</v>
      </c>
      <c r="C11" s="18">
        <f t="shared" si="0"/>
        <v>0.22330623306233063</v>
      </c>
      <c r="D11" s="17">
        <v>245</v>
      </c>
      <c r="E11" s="18">
        <f t="shared" si="1"/>
        <v>0.26457883369330454</v>
      </c>
      <c r="F11" s="17">
        <v>32</v>
      </c>
      <c r="G11" s="18">
        <f t="shared" si="2"/>
        <v>0.17582417582417584</v>
      </c>
      <c r="H11" s="29">
        <v>135</v>
      </c>
      <c r="I11" s="43">
        <f t="shared" si="3"/>
        <v>0.18317503392130258</v>
      </c>
      <c r="J11" s="7"/>
    </row>
    <row r="12" spans="1:11" s="6" customFormat="1" x14ac:dyDescent="0.35">
      <c r="A12" s="8" t="s">
        <v>69</v>
      </c>
      <c r="B12" s="17">
        <v>381</v>
      </c>
      <c r="C12" s="18">
        <f t="shared" si="0"/>
        <v>0.20650406504065041</v>
      </c>
      <c r="D12" s="17">
        <v>140</v>
      </c>
      <c r="E12" s="18">
        <f t="shared" si="1"/>
        <v>0.15118790496760259</v>
      </c>
      <c r="F12" s="17">
        <v>55</v>
      </c>
      <c r="G12" s="18">
        <f t="shared" si="2"/>
        <v>0.30219780219780218</v>
      </c>
      <c r="H12" s="29">
        <v>186</v>
      </c>
      <c r="I12" s="43">
        <f t="shared" si="3"/>
        <v>0.25237449118046135</v>
      </c>
      <c r="J12" s="7"/>
    </row>
    <row r="13" spans="1:11" s="6" customFormat="1" x14ac:dyDescent="0.35">
      <c r="A13" s="8" t="s">
        <v>32</v>
      </c>
      <c r="B13" s="17">
        <v>368</v>
      </c>
      <c r="C13" s="18">
        <f t="shared" si="0"/>
        <v>0.19945799457994581</v>
      </c>
      <c r="D13" s="17">
        <v>34</v>
      </c>
      <c r="E13" s="18">
        <f t="shared" si="1"/>
        <v>3.6717062634989202E-2</v>
      </c>
      <c r="F13" s="17">
        <v>73</v>
      </c>
      <c r="G13" s="18">
        <f t="shared" si="2"/>
        <v>0.40109890109890112</v>
      </c>
      <c r="H13" s="29">
        <v>261</v>
      </c>
      <c r="I13" s="43">
        <f t="shared" si="3"/>
        <v>0.35413839891451832</v>
      </c>
      <c r="J13" s="7"/>
    </row>
    <row r="14" spans="1:11" s="6" customFormat="1" x14ac:dyDescent="0.35">
      <c r="A14" s="8" t="s">
        <v>130</v>
      </c>
      <c r="B14" s="17"/>
      <c r="C14" s="18"/>
      <c r="D14" s="17"/>
      <c r="E14" s="18"/>
      <c r="F14" s="17"/>
      <c r="G14" s="18"/>
      <c r="H14" s="29"/>
      <c r="I14" s="43"/>
      <c r="J14" s="7"/>
    </row>
    <row r="15" spans="1:11" s="6" customFormat="1" x14ac:dyDescent="0.35">
      <c r="A15" s="8" t="s">
        <v>33</v>
      </c>
      <c r="B15" s="17">
        <v>1377</v>
      </c>
      <c r="C15" s="18">
        <f t="shared" si="0"/>
        <v>0.74634146341463414</v>
      </c>
      <c r="D15" s="17">
        <v>748</v>
      </c>
      <c r="E15" s="18">
        <f>D15/925</f>
        <v>0.8086486486486486</v>
      </c>
      <c r="F15" s="17">
        <v>116</v>
      </c>
      <c r="G15" s="18">
        <f t="shared" si="2"/>
        <v>0.63736263736263732</v>
      </c>
      <c r="H15" s="29">
        <v>513</v>
      </c>
      <c r="I15" s="43">
        <f t="shared" si="3"/>
        <v>0.69606512890094985</v>
      </c>
      <c r="J15" s="7"/>
    </row>
    <row r="16" spans="1:11" s="6" customFormat="1" x14ac:dyDescent="0.35">
      <c r="A16" s="8" t="s">
        <v>34</v>
      </c>
      <c r="B16" s="17">
        <v>467</v>
      </c>
      <c r="C16" s="18">
        <f t="shared" si="0"/>
        <v>0.25311653116531163</v>
      </c>
      <c r="D16" s="17">
        <v>177</v>
      </c>
      <c r="E16" s="18">
        <f>D16/925</f>
        <v>0.19135135135135134</v>
      </c>
      <c r="F16" s="17">
        <v>66</v>
      </c>
      <c r="G16" s="18">
        <f t="shared" si="2"/>
        <v>0.36263736263736263</v>
      </c>
      <c r="H16" s="29">
        <v>224</v>
      </c>
      <c r="I16" s="43">
        <f t="shared" si="3"/>
        <v>0.30393487109905021</v>
      </c>
      <c r="J16" s="7"/>
    </row>
    <row r="17" spans="1:10" x14ac:dyDescent="0.35">
      <c r="A17" s="8" t="s">
        <v>133</v>
      </c>
      <c r="B17" s="17"/>
      <c r="C17" s="18"/>
      <c r="D17" s="17"/>
      <c r="E17" s="18"/>
      <c r="F17" s="17"/>
      <c r="G17" s="18"/>
      <c r="H17" s="29"/>
      <c r="I17" s="43"/>
    </row>
    <row r="18" spans="1:10" x14ac:dyDescent="0.35">
      <c r="A18" s="20" t="s">
        <v>35</v>
      </c>
      <c r="B18" s="17">
        <v>389</v>
      </c>
      <c r="C18" s="18">
        <f>B18/1602</f>
        <v>0.24282147315855182</v>
      </c>
      <c r="D18" s="17">
        <v>219</v>
      </c>
      <c r="E18" s="18">
        <f>D18/786</f>
        <v>0.2786259541984733</v>
      </c>
      <c r="F18" s="17">
        <v>42</v>
      </c>
      <c r="G18" s="18">
        <f>F18/164</f>
        <v>0.25609756097560976</v>
      </c>
      <c r="H18" s="29">
        <v>128</v>
      </c>
      <c r="I18" s="43">
        <f>H18/652</f>
        <v>0.19631901840490798</v>
      </c>
    </row>
    <row r="19" spans="1:10" x14ac:dyDescent="0.35">
      <c r="A19" s="20" t="s">
        <v>36</v>
      </c>
      <c r="B19" s="17">
        <v>470</v>
      </c>
      <c r="C19" s="18">
        <f t="shared" ref="C19:C21" si="4">B19/1602</f>
        <v>0.29338327091136079</v>
      </c>
      <c r="D19" s="17">
        <v>333</v>
      </c>
      <c r="E19" s="18">
        <f t="shared" ref="E19:E21" si="5">D19/786</f>
        <v>0.42366412213740456</v>
      </c>
      <c r="F19" s="17">
        <v>40</v>
      </c>
      <c r="G19" s="18">
        <f t="shared" ref="G19:G21" si="6">F19/164</f>
        <v>0.24390243902439024</v>
      </c>
      <c r="H19" s="29">
        <v>97</v>
      </c>
      <c r="I19" s="43">
        <f t="shared" ref="I19:I21" si="7">H19/652</f>
        <v>0.14877300613496933</v>
      </c>
    </row>
    <row r="20" spans="1:10" x14ac:dyDescent="0.35">
      <c r="A20" s="20" t="s">
        <v>71</v>
      </c>
      <c r="B20" s="17">
        <v>109</v>
      </c>
      <c r="C20" s="18">
        <f t="shared" si="4"/>
        <v>6.8039950062421972E-2</v>
      </c>
      <c r="D20" s="17">
        <v>45</v>
      </c>
      <c r="E20" s="18">
        <f t="shared" si="5"/>
        <v>5.7251908396946563E-2</v>
      </c>
      <c r="F20" s="17">
        <v>12</v>
      </c>
      <c r="G20" s="18">
        <f t="shared" si="6"/>
        <v>7.3170731707317069E-2</v>
      </c>
      <c r="H20" s="29">
        <v>52</v>
      </c>
      <c r="I20" s="43">
        <f t="shared" si="7"/>
        <v>7.9754601226993863E-2</v>
      </c>
    </row>
    <row r="21" spans="1:10" x14ac:dyDescent="0.35">
      <c r="A21" s="20" t="s">
        <v>37</v>
      </c>
      <c r="B21" s="17">
        <v>634</v>
      </c>
      <c r="C21" s="18">
        <f t="shared" si="4"/>
        <v>0.39575530586766544</v>
      </c>
      <c r="D21" s="17">
        <v>189</v>
      </c>
      <c r="E21" s="18">
        <f t="shared" si="5"/>
        <v>0.24045801526717558</v>
      </c>
      <c r="F21" s="17">
        <v>70</v>
      </c>
      <c r="G21" s="18">
        <f t="shared" si="6"/>
        <v>0.42682926829268292</v>
      </c>
      <c r="H21" s="29">
        <v>375</v>
      </c>
      <c r="I21" s="43">
        <f t="shared" si="7"/>
        <v>0.57515337423312884</v>
      </c>
    </row>
    <row r="22" spans="1:10" s="6" customFormat="1" x14ac:dyDescent="0.35">
      <c r="A22" s="8" t="s">
        <v>38</v>
      </c>
      <c r="B22" s="17"/>
      <c r="C22" s="18"/>
      <c r="D22" s="17"/>
      <c r="E22" s="18"/>
      <c r="F22" s="17"/>
      <c r="G22" s="18"/>
      <c r="H22" s="29"/>
      <c r="I22" s="8"/>
      <c r="J22" s="7"/>
    </row>
    <row r="23" spans="1:10" x14ac:dyDescent="0.35">
      <c r="A23" s="8" t="s">
        <v>39</v>
      </c>
      <c r="B23" s="17">
        <v>586</v>
      </c>
      <c r="C23" s="18">
        <f>B23/1845</f>
        <v>0.31761517615176149</v>
      </c>
      <c r="D23" s="17">
        <v>153</v>
      </c>
      <c r="E23" s="18">
        <f>D23/926</f>
        <v>0.1652267818574514</v>
      </c>
      <c r="F23" s="17">
        <v>135</v>
      </c>
      <c r="G23" s="18">
        <f>F23/182</f>
        <v>0.74175824175824179</v>
      </c>
      <c r="H23" s="29">
        <v>298</v>
      </c>
      <c r="I23" s="43">
        <f>H23/737</f>
        <v>0.40434192672998642</v>
      </c>
    </row>
    <row r="24" spans="1:10" x14ac:dyDescent="0.35">
      <c r="A24" s="8" t="s">
        <v>40</v>
      </c>
      <c r="B24" s="17">
        <v>703</v>
      </c>
      <c r="C24" s="18">
        <f t="shared" ref="C24:C26" si="8">B24/1845</f>
        <v>0.38102981029810296</v>
      </c>
      <c r="D24" s="17">
        <v>505</v>
      </c>
      <c r="E24" s="18">
        <f t="shared" ref="E24:E26" si="9">D24/926</f>
        <v>0.54535637149028082</v>
      </c>
      <c r="F24" s="17">
        <v>16</v>
      </c>
      <c r="G24" s="18">
        <f t="shared" ref="G24:G26" si="10">F24/182</f>
        <v>8.7912087912087919E-2</v>
      </c>
      <c r="H24" s="29">
        <v>182</v>
      </c>
      <c r="I24" s="43">
        <f t="shared" ref="I24:I26" si="11">H24/737</f>
        <v>0.24694708276797828</v>
      </c>
    </row>
    <row r="25" spans="1:10" x14ac:dyDescent="0.35">
      <c r="A25" s="8" t="s">
        <v>41</v>
      </c>
      <c r="B25" s="17">
        <v>357</v>
      </c>
      <c r="C25" s="18">
        <f t="shared" si="8"/>
        <v>0.19349593495934958</v>
      </c>
      <c r="D25" s="17">
        <v>135</v>
      </c>
      <c r="E25" s="18">
        <f t="shared" si="9"/>
        <v>0.14578833693304535</v>
      </c>
      <c r="F25" s="17">
        <v>29</v>
      </c>
      <c r="G25" s="18">
        <f t="shared" si="10"/>
        <v>0.15934065934065933</v>
      </c>
      <c r="H25" s="29">
        <v>193</v>
      </c>
      <c r="I25" s="43">
        <f t="shared" si="11"/>
        <v>0.26187245590230662</v>
      </c>
    </row>
    <row r="26" spans="1:10" x14ac:dyDescent="0.35">
      <c r="A26" s="8" t="s">
        <v>42</v>
      </c>
      <c r="B26" s="17">
        <v>199</v>
      </c>
      <c r="C26" s="18">
        <f t="shared" si="8"/>
        <v>0.1078590785907859</v>
      </c>
      <c r="D26" s="17">
        <v>133</v>
      </c>
      <c r="E26" s="18">
        <f t="shared" si="9"/>
        <v>0.14362850971922247</v>
      </c>
      <c r="F26" s="17">
        <v>2</v>
      </c>
      <c r="G26" s="18">
        <f t="shared" si="10"/>
        <v>1.098901098901099E-2</v>
      </c>
      <c r="H26" s="29">
        <v>64</v>
      </c>
      <c r="I26" s="43">
        <f t="shared" si="11"/>
        <v>8.6838534599728623E-2</v>
      </c>
    </row>
    <row r="27" spans="1:10" s="6" customFormat="1" x14ac:dyDescent="0.35">
      <c r="A27" s="27" t="s">
        <v>134</v>
      </c>
      <c r="B27" s="17"/>
      <c r="C27" s="18"/>
      <c r="D27" s="17"/>
      <c r="E27" s="18"/>
      <c r="F27" s="17"/>
      <c r="G27" s="18"/>
      <c r="H27" s="29"/>
      <c r="I27" s="43"/>
      <c r="J27" s="7"/>
    </row>
    <row r="28" spans="1:10" x14ac:dyDescent="0.35">
      <c r="A28" s="8" t="s">
        <v>135</v>
      </c>
      <c r="B28" s="17">
        <v>1351</v>
      </c>
      <c r="C28" s="18">
        <f>B28/1824</f>
        <v>0.74067982456140347</v>
      </c>
      <c r="D28" s="17">
        <v>734</v>
      </c>
      <c r="E28" s="18">
        <f>D28/914</f>
        <v>0.80306345733041573</v>
      </c>
      <c r="F28" s="17">
        <v>113</v>
      </c>
      <c r="G28" s="18">
        <f>F28/179</f>
        <v>0.63128491620111726</v>
      </c>
      <c r="H28" s="29">
        <v>504</v>
      </c>
      <c r="I28" s="43">
        <f>H28/731</f>
        <v>0.68946648426812585</v>
      </c>
    </row>
    <row r="29" spans="1:10" x14ac:dyDescent="0.35">
      <c r="A29" s="8" t="s">
        <v>101</v>
      </c>
      <c r="B29" s="17">
        <v>473</v>
      </c>
      <c r="C29" s="18">
        <f>B29/1824</f>
        <v>0.25932017543859648</v>
      </c>
      <c r="D29" s="17">
        <v>180</v>
      </c>
      <c r="E29" s="18">
        <f>D29/914</f>
        <v>0.19693654266958424</v>
      </c>
      <c r="F29" s="17">
        <v>66</v>
      </c>
      <c r="G29" s="18">
        <f>F29/179</f>
        <v>0.36871508379888268</v>
      </c>
      <c r="H29" s="29">
        <v>227</v>
      </c>
      <c r="I29" s="43">
        <f>H29/731</f>
        <v>0.31053351573187415</v>
      </c>
    </row>
    <row r="30" spans="1:10" s="6" customFormat="1" x14ac:dyDescent="0.35">
      <c r="A30" s="27" t="s">
        <v>43</v>
      </c>
      <c r="B30" s="17"/>
      <c r="C30" s="18"/>
      <c r="D30" s="17"/>
      <c r="E30" s="18"/>
      <c r="F30" s="17"/>
      <c r="G30" s="18"/>
      <c r="H30" s="29"/>
      <c r="I30" s="8"/>
      <c r="J30" s="7"/>
    </row>
    <row r="31" spans="1:10" s="6" customFormat="1" x14ac:dyDescent="0.35">
      <c r="A31" s="8" t="s">
        <v>44</v>
      </c>
      <c r="B31" s="17"/>
      <c r="C31" s="18"/>
      <c r="D31" s="17"/>
      <c r="E31" s="18"/>
      <c r="F31" s="17"/>
      <c r="G31" s="18"/>
      <c r="H31" s="29"/>
      <c r="I31" s="8"/>
      <c r="J31" s="7"/>
    </row>
    <row r="32" spans="1:10" x14ac:dyDescent="0.35">
      <c r="A32" s="8" t="s">
        <v>45</v>
      </c>
      <c r="B32" s="17">
        <v>198</v>
      </c>
      <c r="C32" s="18">
        <f t="shared" ref="C32:C85" si="12">B32/1845</f>
        <v>0.10731707317073171</v>
      </c>
      <c r="D32" s="17">
        <v>75</v>
      </c>
      <c r="E32" s="18">
        <f t="shared" ref="E32:E85" si="13">D32/926</f>
        <v>8.0993520518358536E-2</v>
      </c>
      <c r="F32" s="17">
        <v>22</v>
      </c>
      <c r="G32" s="18">
        <f t="shared" ref="G32:G85" si="14">F32/182</f>
        <v>0.12087912087912088</v>
      </c>
      <c r="H32" s="29">
        <v>101</v>
      </c>
      <c r="I32" s="43">
        <f t="shared" ref="I32:I85" si="15">H32/737</f>
        <v>0.13704206241519673</v>
      </c>
    </row>
    <row r="33" spans="1:10" x14ac:dyDescent="0.35">
      <c r="A33" s="8" t="s">
        <v>46</v>
      </c>
      <c r="B33" s="17">
        <v>296</v>
      </c>
      <c r="C33" s="18">
        <f t="shared" si="12"/>
        <v>0.16043360433604337</v>
      </c>
      <c r="D33" s="17">
        <v>162</v>
      </c>
      <c r="E33" s="18">
        <f t="shared" si="13"/>
        <v>0.17494600431965443</v>
      </c>
      <c r="F33" s="17">
        <v>27</v>
      </c>
      <c r="G33" s="18">
        <f t="shared" si="14"/>
        <v>0.14835164835164835</v>
      </c>
      <c r="H33" s="29">
        <v>107</v>
      </c>
      <c r="I33" s="43">
        <f t="shared" si="15"/>
        <v>0.14518317503392131</v>
      </c>
    </row>
    <row r="34" spans="1:10" x14ac:dyDescent="0.35">
      <c r="A34" s="8" t="s">
        <v>47</v>
      </c>
      <c r="B34" s="17">
        <v>991</v>
      </c>
      <c r="C34" s="18">
        <f t="shared" si="12"/>
        <v>0.53712737127371268</v>
      </c>
      <c r="D34" s="17">
        <v>478</v>
      </c>
      <c r="E34" s="18">
        <f t="shared" si="13"/>
        <v>0.51619870410367175</v>
      </c>
      <c r="F34" s="17">
        <v>114</v>
      </c>
      <c r="G34" s="18">
        <f t="shared" si="14"/>
        <v>0.62637362637362637</v>
      </c>
      <c r="H34" s="29">
        <v>399</v>
      </c>
      <c r="I34" s="43">
        <f t="shared" si="15"/>
        <v>0.54138398914518315</v>
      </c>
    </row>
    <row r="35" spans="1:10" x14ac:dyDescent="0.35">
      <c r="A35" s="8" t="s">
        <v>48</v>
      </c>
      <c r="B35" s="17">
        <v>360</v>
      </c>
      <c r="C35" s="18">
        <f t="shared" si="12"/>
        <v>0.1951219512195122</v>
      </c>
      <c r="D35" s="17">
        <v>211</v>
      </c>
      <c r="E35" s="18">
        <f t="shared" si="13"/>
        <v>0.22786177105831534</v>
      </c>
      <c r="F35" s="17">
        <v>19</v>
      </c>
      <c r="G35" s="18">
        <f t="shared" si="14"/>
        <v>0.1043956043956044</v>
      </c>
      <c r="H35" s="29">
        <v>130</v>
      </c>
      <c r="I35" s="43">
        <f t="shared" si="15"/>
        <v>0.17639077340569878</v>
      </c>
    </row>
    <row r="36" spans="1:10" s="6" customFormat="1" x14ac:dyDescent="0.35">
      <c r="A36" s="8" t="s">
        <v>49</v>
      </c>
      <c r="B36" s="17"/>
      <c r="C36" s="18"/>
      <c r="D36" s="17"/>
      <c r="E36" s="18"/>
      <c r="F36" s="17"/>
      <c r="G36" s="18"/>
      <c r="H36" s="29"/>
      <c r="I36" s="43"/>
      <c r="J36" s="7"/>
    </row>
    <row r="37" spans="1:10" x14ac:dyDescent="0.35">
      <c r="A37" s="20" t="s">
        <v>50</v>
      </c>
      <c r="B37" s="17">
        <v>1710</v>
      </c>
      <c r="C37" s="18">
        <f t="shared" si="12"/>
        <v>0.92682926829268297</v>
      </c>
      <c r="D37" s="17">
        <v>862</v>
      </c>
      <c r="E37" s="18">
        <f t="shared" si="13"/>
        <v>0.93088552915766742</v>
      </c>
      <c r="F37" s="17">
        <v>173</v>
      </c>
      <c r="G37" s="18">
        <f t="shared" si="14"/>
        <v>0.9505494505494505</v>
      </c>
      <c r="H37" s="29">
        <v>675</v>
      </c>
      <c r="I37" s="43">
        <f t="shared" si="15"/>
        <v>0.91587516960651294</v>
      </c>
    </row>
    <row r="38" spans="1:10" x14ac:dyDescent="0.35">
      <c r="A38" s="20" t="s">
        <v>51</v>
      </c>
      <c r="B38" s="17">
        <v>135</v>
      </c>
      <c r="C38" s="18">
        <f t="shared" si="12"/>
        <v>7.3170731707317069E-2</v>
      </c>
      <c r="D38" s="17">
        <v>64</v>
      </c>
      <c r="E38" s="18">
        <f t="shared" si="13"/>
        <v>6.9114470842332618E-2</v>
      </c>
      <c r="F38" s="17">
        <v>9</v>
      </c>
      <c r="G38" s="18">
        <f t="shared" si="14"/>
        <v>4.9450549450549448E-2</v>
      </c>
      <c r="H38" s="29">
        <v>62</v>
      </c>
      <c r="I38" s="43">
        <f t="shared" si="15"/>
        <v>8.4124830393487116E-2</v>
      </c>
    </row>
    <row r="39" spans="1:10" x14ac:dyDescent="0.35">
      <c r="A39" s="8" t="s">
        <v>52</v>
      </c>
      <c r="B39" s="17"/>
      <c r="C39" s="18"/>
      <c r="D39" s="17"/>
      <c r="E39" s="18"/>
      <c r="F39" s="17"/>
      <c r="G39" s="18"/>
      <c r="H39" s="29"/>
      <c r="I39" s="43"/>
    </row>
    <row r="40" spans="1:10" x14ac:dyDescent="0.35">
      <c r="A40" s="8" t="s">
        <v>53</v>
      </c>
      <c r="B40" s="17">
        <v>217</v>
      </c>
      <c r="C40" s="18">
        <f t="shared" si="12"/>
        <v>0.11761517615176152</v>
      </c>
      <c r="D40" s="17">
        <v>110</v>
      </c>
      <c r="E40" s="18">
        <f t="shared" si="13"/>
        <v>0.11879049676025918</v>
      </c>
      <c r="F40" s="17">
        <v>10</v>
      </c>
      <c r="G40" s="18">
        <f t="shared" si="14"/>
        <v>5.4945054945054944E-2</v>
      </c>
      <c r="H40" s="29">
        <v>97</v>
      </c>
      <c r="I40" s="43">
        <f t="shared" si="15"/>
        <v>0.13161465400271372</v>
      </c>
    </row>
    <row r="41" spans="1:10" x14ac:dyDescent="0.35">
      <c r="A41" s="8" t="s">
        <v>54</v>
      </c>
      <c r="B41" s="17">
        <v>555</v>
      </c>
      <c r="C41" s="18">
        <f t="shared" si="12"/>
        <v>0.30081300813008133</v>
      </c>
      <c r="D41" s="17">
        <v>313</v>
      </c>
      <c r="E41" s="18">
        <f t="shared" si="13"/>
        <v>0.33801295896328293</v>
      </c>
      <c r="F41" s="17">
        <v>37</v>
      </c>
      <c r="G41" s="18">
        <f t="shared" si="14"/>
        <v>0.2032967032967033</v>
      </c>
      <c r="H41" s="29">
        <v>205</v>
      </c>
      <c r="I41" s="43">
        <f t="shared" si="15"/>
        <v>0.27815468113975578</v>
      </c>
    </row>
    <row r="42" spans="1:10" x14ac:dyDescent="0.35">
      <c r="A42" s="8" t="s">
        <v>55</v>
      </c>
      <c r="B42" s="17">
        <v>1073</v>
      </c>
      <c r="C42" s="18">
        <f t="shared" si="12"/>
        <v>0.58157181571815719</v>
      </c>
      <c r="D42" s="17">
        <v>503</v>
      </c>
      <c r="E42" s="18">
        <f t="shared" si="13"/>
        <v>0.54319654427645792</v>
      </c>
      <c r="F42" s="17">
        <v>135</v>
      </c>
      <c r="G42" s="18">
        <f t="shared" si="14"/>
        <v>0.74175824175824179</v>
      </c>
      <c r="H42" s="29">
        <v>435</v>
      </c>
      <c r="I42" s="43">
        <f t="shared" si="15"/>
        <v>0.59023066485753051</v>
      </c>
    </row>
    <row r="43" spans="1:10" s="6" customFormat="1" x14ac:dyDescent="0.35">
      <c r="A43" s="8" t="s">
        <v>56</v>
      </c>
      <c r="B43" s="17">
        <v>1188</v>
      </c>
      <c r="C43" s="18">
        <f t="shared" si="12"/>
        <v>0.64390243902439026</v>
      </c>
      <c r="D43" s="17">
        <v>595</v>
      </c>
      <c r="E43" s="18">
        <f t="shared" si="13"/>
        <v>0.64254859611231097</v>
      </c>
      <c r="F43" s="17">
        <v>139</v>
      </c>
      <c r="G43" s="18">
        <f t="shared" si="14"/>
        <v>0.76373626373626369</v>
      </c>
      <c r="H43" s="29">
        <v>454</v>
      </c>
      <c r="I43" s="43">
        <f t="shared" si="15"/>
        <v>0.61601085481682494</v>
      </c>
      <c r="J43" s="7"/>
    </row>
    <row r="44" spans="1:10" s="6" customFormat="1" x14ac:dyDescent="0.35">
      <c r="A44" s="27" t="s">
        <v>57</v>
      </c>
      <c r="B44" s="17"/>
      <c r="C44" s="18"/>
      <c r="D44" s="17"/>
      <c r="E44" s="18"/>
      <c r="F44" s="17"/>
      <c r="G44" s="18"/>
      <c r="H44" s="29"/>
      <c r="I44" s="43"/>
      <c r="J44" s="8"/>
    </row>
    <row r="45" spans="1:10" s="6" customFormat="1" x14ac:dyDescent="0.35">
      <c r="A45" s="8" t="s">
        <v>86</v>
      </c>
      <c r="B45" s="17">
        <v>981</v>
      </c>
      <c r="C45" s="18">
        <f t="shared" si="12"/>
        <v>0.53170731707317076</v>
      </c>
      <c r="D45" s="17">
        <v>474</v>
      </c>
      <c r="E45" s="18">
        <f t="shared" si="13"/>
        <v>0.51187904967602593</v>
      </c>
      <c r="F45" s="17">
        <v>119</v>
      </c>
      <c r="G45" s="18">
        <f t="shared" si="14"/>
        <v>0.65384615384615385</v>
      </c>
      <c r="H45" s="29">
        <v>388</v>
      </c>
      <c r="I45" s="43">
        <f t="shared" si="15"/>
        <v>0.52645861601085486</v>
      </c>
      <c r="J45" s="8"/>
    </row>
    <row r="46" spans="1:10" s="6" customFormat="1" x14ac:dyDescent="0.35">
      <c r="A46" s="8" t="s">
        <v>92</v>
      </c>
      <c r="B46" s="17">
        <v>105</v>
      </c>
      <c r="C46" s="18">
        <f t="shared" si="12"/>
        <v>5.6910569105691054E-2</v>
      </c>
      <c r="D46" s="17">
        <v>14</v>
      </c>
      <c r="E46" s="18">
        <f t="shared" si="13"/>
        <v>1.511879049676026E-2</v>
      </c>
      <c r="F46" s="17">
        <v>6</v>
      </c>
      <c r="G46" s="18">
        <f t="shared" si="14"/>
        <v>3.2967032967032968E-2</v>
      </c>
      <c r="H46" s="29">
        <v>85</v>
      </c>
      <c r="I46" s="43">
        <f t="shared" si="15"/>
        <v>0.11533242876526459</v>
      </c>
      <c r="J46" s="8"/>
    </row>
    <row r="47" spans="1:10" s="6" customFormat="1" x14ac:dyDescent="0.35">
      <c r="A47" s="28" t="s">
        <v>58</v>
      </c>
      <c r="B47" s="17">
        <v>948</v>
      </c>
      <c r="C47" s="18">
        <f t="shared" si="12"/>
        <v>0.51382113821138209</v>
      </c>
      <c r="D47" s="17">
        <v>450</v>
      </c>
      <c r="E47" s="18">
        <f t="shared" si="13"/>
        <v>0.48596112311015116</v>
      </c>
      <c r="F47" s="17">
        <v>114</v>
      </c>
      <c r="G47" s="18">
        <f t="shared" si="14"/>
        <v>0.62637362637362637</v>
      </c>
      <c r="H47" s="29">
        <v>384</v>
      </c>
      <c r="I47" s="43">
        <f t="shared" si="15"/>
        <v>0.52103120759837174</v>
      </c>
      <c r="J47" s="7"/>
    </row>
    <row r="48" spans="1:10" s="6" customFormat="1" ht="15" customHeight="1" x14ac:dyDescent="0.35">
      <c r="A48" s="28" t="s">
        <v>195</v>
      </c>
      <c r="B48" s="17">
        <v>85</v>
      </c>
      <c r="C48" s="18">
        <f>B48/1051</f>
        <v>8.0875356803044723E-2</v>
      </c>
      <c r="D48" s="17">
        <v>38</v>
      </c>
      <c r="E48" s="18">
        <f>D48/513</f>
        <v>7.407407407407407E-2</v>
      </c>
      <c r="F48" s="17">
        <v>10</v>
      </c>
      <c r="G48" s="18">
        <f>F48/106</f>
        <v>9.4339622641509441E-2</v>
      </c>
      <c r="H48" s="29">
        <v>37</v>
      </c>
      <c r="I48" s="43">
        <f>H48/432</f>
        <v>8.5648148148148154E-2</v>
      </c>
      <c r="J48" s="7"/>
    </row>
    <row r="49" spans="1:10" s="6" customFormat="1" x14ac:dyDescent="0.35">
      <c r="A49" s="28" t="s">
        <v>6</v>
      </c>
      <c r="B49" s="17">
        <v>433</v>
      </c>
      <c r="C49" s="18">
        <f t="shared" si="12"/>
        <v>0.23468834688346885</v>
      </c>
      <c r="D49" s="17">
        <v>84</v>
      </c>
      <c r="E49" s="18">
        <f t="shared" si="13"/>
        <v>9.0712742980561561E-2</v>
      </c>
      <c r="F49" s="17">
        <v>116</v>
      </c>
      <c r="G49" s="18">
        <f t="shared" si="14"/>
        <v>0.63736263736263732</v>
      </c>
      <c r="H49" s="29">
        <v>233</v>
      </c>
      <c r="I49" s="43">
        <f t="shared" si="15"/>
        <v>0.31614654002713705</v>
      </c>
      <c r="J49" s="7"/>
    </row>
    <row r="50" spans="1:10" s="6" customFormat="1" x14ac:dyDescent="0.35">
      <c r="A50" s="8" t="s">
        <v>8</v>
      </c>
      <c r="B50" s="17">
        <v>141</v>
      </c>
      <c r="C50" s="18">
        <f t="shared" si="12"/>
        <v>7.642276422764227E-2</v>
      </c>
      <c r="D50" s="17">
        <v>20</v>
      </c>
      <c r="E50" s="18">
        <f t="shared" si="13"/>
        <v>2.159827213822894E-2</v>
      </c>
      <c r="F50" s="17">
        <v>12</v>
      </c>
      <c r="G50" s="18">
        <f t="shared" si="14"/>
        <v>6.5934065934065936E-2</v>
      </c>
      <c r="H50" s="29">
        <v>109</v>
      </c>
      <c r="I50" s="43">
        <f t="shared" si="15"/>
        <v>0.14789687924016282</v>
      </c>
      <c r="J50" s="7"/>
    </row>
    <row r="51" spans="1:10" s="6" customFormat="1" x14ac:dyDescent="0.35">
      <c r="A51" s="8" t="s">
        <v>79</v>
      </c>
      <c r="B51" s="17">
        <v>960</v>
      </c>
      <c r="C51" s="18">
        <f t="shared" si="12"/>
        <v>0.52032520325203258</v>
      </c>
      <c r="D51" s="17">
        <v>467</v>
      </c>
      <c r="E51" s="18">
        <f t="shared" si="13"/>
        <v>0.50431965442764581</v>
      </c>
      <c r="F51" s="17">
        <v>59</v>
      </c>
      <c r="G51" s="18">
        <f t="shared" si="14"/>
        <v>0.32417582417582419</v>
      </c>
      <c r="H51" s="29">
        <v>434</v>
      </c>
      <c r="I51" s="43">
        <f t="shared" si="15"/>
        <v>0.58887381275440975</v>
      </c>
      <c r="J51" s="7"/>
    </row>
    <row r="52" spans="1:10" s="6" customFormat="1" x14ac:dyDescent="0.35">
      <c r="A52" s="8" t="s">
        <v>88</v>
      </c>
      <c r="B52" s="17">
        <v>616</v>
      </c>
      <c r="C52" s="18">
        <f t="shared" si="12"/>
        <v>0.33387533875338754</v>
      </c>
      <c r="D52" s="17">
        <v>305</v>
      </c>
      <c r="E52" s="18">
        <f t="shared" si="13"/>
        <v>0.32937365010799136</v>
      </c>
      <c r="F52" s="17">
        <v>62</v>
      </c>
      <c r="G52" s="18">
        <f t="shared" si="14"/>
        <v>0.34065934065934067</v>
      </c>
      <c r="H52" s="29">
        <v>249</v>
      </c>
      <c r="I52" s="43">
        <f t="shared" si="15"/>
        <v>0.33785617367706922</v>
      </c>
      <c r="J52" s="7"/>
    </row>
    <row r="53" spans="1:10" s="6" customFormat="1" x14ac:dyDescent="0.35">
      <c r="A53" s="28" t="s">
        <v>12</v>
      </c>
      <c r="B53" s="17">
        <v>242</v>
      </c>
      <c r="C53" s="18">
        <f t="shared" si="12"/>
        <v>0.13116531165311654</v>
      </c>
      <c r="D53" s="17">
        <v>10</v>
      </c>
      <c r="E53" s="18">
        <f t="shared" si="13"/>
        <v>1.079913606911447E-2</v>
      </c>
      <c r="F53" s="17">
        <v>80</v>
      </c>
      <c r="G53" s="18">
        <f t="shared" si="14"/>
        <v>0.43956043956043955</v>
      </c>
      <c r="H53" s="29">
        <v>152</v>
      </c>
      <c r="I53" s="43">
        <f t="shared" si="15"/>
        <v>0.2062415196743555</v>
      </c>
      <c r="J53" s="7"/>
    </row>
    <row r="54" spans="1:10" s="6" customFormat="1" x14ac:dyDescent="0.35">
      <c r="A54" s="28" t="s">
        <v>14</v>
      </c>
      <c r="B54" s="17">
        <v>230</v>
      </c>
      <c r="C54" s="18">
        <f t="shared" si="12"/>
        <v>0.12466124661246612</v>
      </c>
      <c r="D54" s="17">
        <v>84</v>
      </c>
      <c r="E54" s="18">
        <f t="shared" si="13"/>
        <v>9.0712742980561561E-2</v>
      </c>
      <c r="F54" s="17">
        <v>9</v>
      </c>
      <c r="G54" s="18">
        <f t="shared" si="14"/>
        <v>4.9450549450549448E-2</v>
      </c>
      <c r="H54" s="29">
        <v>137</v>
      </c>
      <c r="I54" s="43">
        <f t="shared" si="15"/>
        <v>0.18588873812754408</v>
      </c>
      <c r="J54" s="7"/>
    </row>
    <row r="55" spans="1:10" s="6" customFormat="1" x14ac:dyDescent="0.35">
      <c r="A55" s="29" t="s">
        <v>16</v>
      </c>
      <c r="B55" s="17">
        <v>569</v>
      </c>
      <c r="C55" s="18">
        <f t="shared" si="12"/>
        <v>0.3084010840108401</v>
      </c>
      <c r="D55" s="17">
        <v>325</v>
      </c>
      <c r="E55" s="18">
        <f t="shared" si="13"/>
        <v>0.35097192224622031</v>
      </c>
      <c r="F55" s="17">
        <v>50</v>
      </c>
      <c r="G55" s="18">
        <f t="shared" si="14"/>
        <v>0.27472527472527475</v>
      </c>
      <c r="H55" s="29">
        <v>194</v>
      </c>
      <c r="I55" s="43">
        <f t="shared" si="15"/>
        <v>0.26322930800542743</v>
      </c>
      <c r="J55" s="7"/>
    </row>
    <row r="56" spans="1:10" s="6" customFormat="1" x14ac:dyDescent="0.35">
      <c r="A56" s="29" t="s">
        <v>17</v>
      </c>
      <c r="B56" s="17">
        <v>110</v>
      </c>
      <c r="C56" s="18">
        <f t="shared" si="12"/>
        <v>5.9620596205962058E-2</v>
      </c>
      <c r="D56" s="17">
        <v>85</v>
      </c>
      <c r="E56" s="18">
        <f t="shared" si="13"/>
        <v>9.1792656587473001E-2</v>
      </c>
      <c r="F56" s="17">
        <v>9</v>
      </c>
      <c r="G56" s="18">
        <f t="shared" si="14"/>
        <v>4.9450549450549448E-2</v>
      </c>
      <c r="H56" s="29">
        <v>16</v>
      </c>
      <c r="I56" s="43">
        <f t="shared" si="15"/>
        <v>2.1709633649932156E-2</v>
      </c>
      <c r="J56" s="7"/>
    </row>
    <row r="57" spans="1:10" s="6" customFormat="1" x14ac:dyDescent="0.35">
      <c r="A57" s="29" t="s">
        <v>98</v>
      </c>
      <c r="B57" s="17">
        <v>162</v>
      </c>
      <c r="C57" s="18">
        <f t="shared" si="12"/>
        <v>8.7804878048780483E-2</v>
      </c>
      <c r="D57" s="17">
        <v>47</v>
      </c>
      <c r="E57" s="18">
        <f t="shared" si="13"/>
        <v>5.0755939524838013E-2</v>
      </c>
      <c r="F57" s="17">
        <v>21</v>
      </c>
      <c r="G57" s="18">
        <f t="shared" si="14"/>
        <v>0.11538461538461539</v>
      </c>
      <c r="H57" s="29">
        <v>94</v>
      </c>
      <c r="I57" s="43">
        <f t="shared" si="15"/>
        <v>0.12754409769335143</v>
      </c>
      <c r="J57" s="7"/>
    </row>
    <row r="58" spans="1:10" s="6" customFormat="1" x14ac:dyDescent="0.35">
      <c r="A58" s="29" t="s">
        <v>70</v>
      </c>
      <c r="B58" s="17">
        <v>338</v>
      </c>
      <c r="C58" s="18">
        <f t="shared" si="12"/>
        <v>0.18319783197831979</v>
      </c>
      <c r="D58" s="17">
        <v>182</v>
      </c>
      <c r="E58" s="18">
        <f t="shared" si="13"/>
        <v>0.19654427645788336</v>
      </c>
      <c r="F58" s="17">
        <v>19</v>
      </c>
      <c r="G58" s="18">
        <f t="shared" si="14"/>
        <v>0.1043956043956044</v>
      </c>
      <c r="H58" s="29">
        <v>137</v>
      </c>
      <c r="I58" s="43">
        <f t="shared" si="15"/>
        <v>0.18588873812754408</v>
      </c>
      <c r="J58" s="7"/>
    </row>
    <row r="59" spans="1:10" s="6" customFormat="1" x14ac:dyDescent="0.35">
      <c r="A59" s="29" t="s">
        <v>19</v>
      </c>
      <c r="B59" s="17">
        <v>550</v>
      </c>
      <c r="C59" s="18">
        <f t="shared" si="12"/>
        <v>0.29810298102981031</v>
      </c>
      <c r="D59" s="17">
        <v>252</v>
      </c>
      <c r="E59" s="18">
        <f t="shared" si="13"/>
        <v>0.27213822894168466</v>
      </c>
      <c r="F59" s="17">
        <v>59</v>
      </c>
      <c r="G59" s="18">
        <f t="shared" si="14"/>
        <v>0.32417582417582419</v>
      </c>
      <c r="H59" s="29">
        <v>239</v>
      </c>
      <c r="I59" s="43">
        <f t="shared" si="15"/>
        <v>0.32428765264586162</v>
      </c>
      <c r="J59" s="7"/>
    </row>
    <row r="60" spans="1:10" s="6" customFormat="1" x14ac:dyDescent="0.35">
      <c r="A60" s="29" t="s">
        <v>21</v>
      </c>
      <c r="B60" s="17">
        <v>835</v>
      </c>
      <c r="C60" s="18">
        <f t="shared" si="12"/>
        <v>0.45257452574525747</v>
      </c>
      <c r="D60" s="17">
        <v>466</v>
      </c>
      <c r="E60" s="18">
        <f t="shared" si="13"/>
        <v>0.5032397408207343</v>
      </c>
      <c r="F60" s="17">
        <v>59</v>
      </c>
      <c r="G60" s="18">
        <f t="shared" si="14"/>
        <v>0.32417582417582419</v>
      </c>
      <c r="H60" s="29">
        <v>310</v>
      </c>
      <c r="I60" s="43">
        <f t="shared" si="15"/>
        <v>0.42062415196743552</v>
      </c>
      <c r="J60" s="7"/>
    </row>
    <row r="61" spans="1:10" s="6" customFormat="1" x14ac:dyDescent="0.35">
      <c r="A61" s="8" t="s">
        <v>23</v>
      </c>
      <c r="B61" s="17">
        <v>73</v>
      </c>
      <c r="C61" s="18">
        <f t="shared" si="12"/>
        <v>3.9566395663956637E-2</v>
      </c>
      <c r="D61" s="17">
        <v>28</v>
      </c>
      <c r="E61" s="18">
        <f t="shared" si="13"/>
        <v>3.0237580993520519E-2</v>
      </c>
      <c r="F61" s="17">
        <v>6</v>
      </c>
      <c r="G61" s="18">
        <f t="shared" si="14"/>
        <v>3.2967032967032968E-2</v>
      </c>
      <c r="H61" s="29">
        <v>39</v>
      </c>
      <c r="I61" s="43">
        <f t="shared" si="15"/>
        <v>5.2917232021709636E-2</v>
      </c>
      <c r="J61" s="7"/>
    </row>
    <row r="62" spans="1:10" s="6" customFormat="1" x14ac:dyDescent="0.35">
      <c r="A62" s="30" t="s">
        <v>76</v>
      </c>
      <c r="B62" s="17"/>
      <c r="C62" s="18"/>
      <c r="D62" s="17"/>
      <c r="E62" s="18"/>
      <c r="F62" s="17"/>
      <c r="G62" s="18"/>
      <c r="H62" s="29"/>
      <c r="I62" s="43"/>
      <c r="J62" s="7"/>
    </row>
    <row r="63" spans="1:10" x14ac:dyDescent="0.35">
      <c r="A63" s="29" t="s">
        <v>77</v>
      </c>
      <c r="B63" s="17">
        <v>878</v>
      </c>
      <c r="C63" s="18">
        <f t="shared" si="12"/>
        <v>0.47588075880758807</v>
      </c>
      <c r="D63" s="17">
        <v>432</v>
      </c>
      <c r="E63" s="18">
        <f t="shared" si="13"/>
        <v>0.46652267818574517</v>
      </c>
      <c r="F63" s="17">
        <v>93</v>
      </c>
      <c r="G63" s="18">
        <f t="shared" si="14"/>
        <v>0.51098901098901095</v>
      </c>
      <c r="H63" s="29">
        <v>353</v>
      </c>
      <c r="I63" s="43">
        <f t="shared" si="15"/>
        <v>0.47896879240162821</v>
      </c>
      <c r="J63" s="1" t="s">
        <v>171</v>
      </c>
    </row>
    <row r="64" spans="1:10" s="6" customFormat="1" x14ac:dyDescent="0.35">
      <c r="A64" s="29" t="s">
        <v>167</v>
      </c>
      <c r="B64" s="17">
        <v>147</v>
      </c>
      <c r="C64" s="18">
        <f t="shared" si="12"/>
        <v>7.9674796747967486E-2</v>
      </c>
      <c r="D64" s="17">
        <v>61</v>
      </c>
      <c r="E64" s="18">
        <f t="shared" si="13"/>
        <v>6.5874730021598271E-2</v>
      </c>
      <c r="F64" s="17">
        <v>12</v>
      </c>
      <c r="G64" s="18">
        <f t="shared" si="14"/>
        <v>6.5934065934065936E-2</v>
      </c>
      <c r="H64" s="29">
        <v>74</v>
      </c>
      <c r="I64" s="43">
        <f t="shared" si="15"/>
        <v>0.10040705563093623</v>
      </c>
      <c r="J64" s="7"/>
    </row>
    <row r="65" spans="1:10" s="6" customFormat="1" ht="16.5" x14ac:dyDescent="0.35">
      <c r="A65" s="29" t="s">
        <v>196</v>
      </c>
      <c r="B65" s="17">
        <v>452</v>
      </c>
      <c r="C65" s="18">
        <f t="shared" si="12"/>
        <v>0.24498644986449863</v>
      </c>
      <c r="D65" s="17">
        <v>193</v>
      </c>
      <c r="E65" s="18">
        <f t="shared" si="13"/>
        <v>0.20842332613390929</v>
      </c>
      <c r="F65" s="17">
        <v>48</v>
      </c>
      <c r="G65" s="18">
        <f t="shared" si="14"/>
        <v>0.26373626373626374</v>
      </c>
      <c r="H65" s="29">
        <v>211</v>
      </c>
      <c r="I65" s="43">
        <f t="shared" si="15"/>
        <v>0.2862957937584803</v>
      </c>
      <c r="J65" s="7"/>
    </row>
    <row r="66" spans="1:10" x14ac:dyDescent="0.35">
      <c r="A66" s="31" t="s">
        <v>141</v>
      </c>
      <c r="B66" s="17">
        <v>36</v>
      </c>
      <c r="C66" s="18" t="s">
        <v>144</v>
      </c>
      <c r="D66" s="17">
        <v>10</v>
      </c>
      <c r="E66" s="18" t="s">
        <v>153</v>
      </c>
      <c r="F66" s="17">
        <v>36</v>
      </c>
      <c r="G66" s="18" t="s">
        <v>154</v>
      </c>
      <c r="H66" s="29">
        <v>70</v>
      </c>
      <c r="I66" s="43" t="s">
        <v>155</v>
      </c>
    </row>
    <row r="67" spans="1:10" x14ac:dyDescent="0.35">
      <c r="A67" s="31" t="s">
        <v>142</v>
      </c>
      <c r="B67" s="17">
        <v>40</v>
      </c>
      <c r="C67" s="18" t="s">
        <v>145</v>
      </c>
      <c r="D67" s="17">
        <v>42</v>
      </c>
      <c r="E67" s="18" t="s">
        <v>156</v>
      </c>
      <c r="F67" s="17">
        <v>41</v>
      </c>
      <c r="G67" s="18" t="s">
        <v>158</v>
      </c>
      <c r="H67" s="29">
        <v>33</v>
      </c>
      <c r="I67" s="43" t="s">
        <v>157</v>
      </c>
    </row>
    <row r="68" spans="1:10" x14ac:dyDescent="0.35">
      <c r="A68" s="31" t="s">
        <v>143</v>
      </c>
      <c r="B68" s="17">
        <v>88</v>
      </c>
      <c r="C68" s="18" t="s">
        <v>146</v>
      </c>
      <c r="D68" s="17">
        <v>72</v>
      </c>
      <c r="E68" s="18" t="s">
        <v>159</v>
      </c>
      <c r="F68" s="17">
        <v>92</v>
      </c>
      <c r="G68" s="18" t="s">
        <v>161</v>
      </c>
      <c r="H68" s="29">
        <v>100.5</v>
      </c>
      <c r="I68" s="43" t="s">
        <v>160</v>
      </c>
    </row>
    <row r="69" spans="1:10" ht="16.5" x14ac:dyDescent="0.35">
      <c r="A69" s="31" t="s">
        <v>166</v>
      </c>
      <c r="B69" s="17" t="s">
        <v>162</v>
      </c>
      <c r="C69" s="17" t="s">
        <v>162</v>
      </c>
      <c r="D69" s="17">
        <v>29.5</v>
      </c>
      <c r="E69" s="18" t="s">
        <v>168</v>
      </c>
      <c r="F69" s="17" t="s">
        <v>162</v>
      </c>
      <c r="G69" s="17" t="s">
        <v>162</v>
      </c>
      <c r="H69" s="17" t="s">
        <v>162</v>
      </c>
      <c r="I69" s="17" t="s">
        <v>162</v>
      </c>
    </row>
    <row r="70" spans="1:10" s="6" customFormat="1" x14ac:dyDescent="0.35">
      <c r="A70" s="27" t="s">
        <v>75</v>
      </c>
      <c r="B70" s="17"/>
      <c r="C70" s="18"/>
      <c r="D70" s="17"/>
      <c r="E70" s="18"/>
      <c r="F70" s="17"/>
      <c r="G70" s="18"/>
      <c r="H70" s="29"/>
      <c r="I70" s="43"/>
      <c r="J70" s="7"/>
    </row>
    <row r="71" spans="1:10" s="6" customFormat="1" x14ac:dyDescent="0.35">
      <c r="A71" s="8" t="s">
        <v>72</v>
      </c>
      <c r="B71" s="17">
        <v>1656</v>
      </c>
      <c r="C71" s="18">
        <f t="shared" si="12"/>
        <v>0.89756097560975612</v>
      </c>
      <c r="D71" s="17">
        <v>827</v>
      </c>
      <c r="E71" s="18">
        <f t="shared" si="13"/>
        <v>0.89308855291576672</v>
      </c>
      <c r="F71" s="17">
        <v>172</v>
      </c>
      <c r="G71" s="18">
        <f t="shared" si="14"/>
        <v>0.94505494505494503</v>
      </c>
      <c r="H71" s="29">
        <v>657</v>
      </c>
      <c r="I71" s="43">
        <f t="shared" si="15"/>
        <v>0.89145183175033926</v>
      </c>
      <c r="J71" s="7" t="s">
        <v>178</v>
      </c>
    </row>
    <row r="72" spans="1:10" s="6" customFormat="1" x14ac:dyDescent="0.35">
      <c r="A72" s="20" t="s">
        <v>82</v>
      </c>
      <c r="B72" s="17">
        <v>284</v>
      </c>
      <c r="C72" s="18">
        <f t="shared" si="12"/>
        <v>0.15392953929539296</v>
      </c>
      <c r="D72" s="17">
        <v>170</v>
      </c>
      <c r="E72" s="18">
        <f t="shared" si="13"/>
        <v>0.183585313174946</v>
      </c>
      <c r="F72" s="17">
        <v>16</v>
      </c>
      <c r="G72" s="18">
        <f t="shared" si="14"/>
        <v>8.7912087912087919E-2</v>
      </c>
      <c r="H72" s="29">
        <v>98</v>
      </c>
      <c r="I72" s="43">
        <f t="shared" si="15"/>
        <v>0.13297150610583447</v>
      </c>
      <c r="J72" s="7"/>
    </row>
    <row r="73" spans="1:10" s="6" customFormat="1" x14ac:dyDescent="0.35">
      <c r="A73" s="20" t="s">
        <v>81</v>
      </c>
      <c r="B73" s="17">
        <v>1269</v>
      </c>
      <c r="C73" s="18">
        <f t="shared" si="12"/>
        <v>0.68780487804878043</v>
      </c>
      <c r="D73" s="17">
        <v>591</v>
      </c>
      <c r="E73" s="18">
        <f t="shared" si="13"/>
        <v>0.63822894168466526</v>
      </c>
      <c r="F73" s="17">
        <v>152</v>
      </c>
      <c r="G73" s="18">
        <f t="shared" si="14"/>
        <v>0.8351648351648352</v>
      </c>
      <c r="H73" s="29">
        <v>526</v>
      </c>
      <c r="I73" s="43">
        <f t="shared" si="15"/>
        <v>0.71370420624151965</v>
      </c>
      <c r="J73" s="7"/>
    </row>
    <row r="74" spans="1:10" s="6" customFormat="1" x14ac:dyDescent="0.35">
      <c r="A74" s="20" t="s">
        <v>80</v>
      </c>
      <c r="B74" s="17">
        <v>113</v>
      </c>
      <c r="C74" s="18">
        <f t="shared" si="12"/>
        <v>6.1246612466124659E-2</v>
      </c>
      <c r="D74" s="17">
        <v>79</v>
      </c>
      <c r="E74" s="18">
        <f t="shared" si="13"/>
        <v>8.5313174946004322E-2</v>
      </c>
      <c r="F74" s="17">
        <v>6</v>
      </c>
      <c r="G74" s="18">
        <f t="shared" si="14"/>
        <v>3.2967032967032968E-2</v>
      </c>
      <c r="H74" s="29">
        <v>28</v>
      </c>
      <c r="I74" s="43">
        <f t="shared" si="15"/>
        <v>3.7991858887381276E-2</v>
      </c>
      <c r="J74" s="7"/>
    </row>
    <row r="75" spans="1:10" s="6" customFormat="1" x14ac:dyDescent="0.35">
      <c r="A75" s="8" t="s">
        <v>73</v>
      </c>
      <c r="B75" s="17">
        <v>1277</v>
      </c>
      <c r="C75" s="18">
        <f t="shared" si="12"/>
        <v>0.69214092140921413</v>
      </c>
      <c r="D75" s="17">
        <v>679</v>
      </c>
      <c r="E75" s="18">
        <f t="shared" si="13"/>
        <v>0.73326133909287261</v>
      </c>
      <c r="F75" s="17">
        <v>124</v>
      </c>
      <c r="G75" s="18">
        <f t="shared" si="14"/>
        <v>0.68131868131868134</v>
      </c>
      <c r="H75" s="29">
        <v>474</v>
      </c>
      <c r="I75" s="43">
        <f t="shared" si="15"/>
        <v>0.64314789687924012</v>
      </c>
      <c r="J75" s="7"/>
    </row>
    <row r="76" spans="1:10" s="6" customFormat="1" x14ac:dyDescent="0.35">
      <c r="A76" s="8" t="s">
        <v>74</v>
      </c>
      <c r="B76" s="17">
        <v>1461</v>
      </c>
      <c r="C76" s="18">
        <f t="shared" si="12"/>
        <v>0.79186991869918699</v>
      </c>
      <c r="D76" s="17">
        <v>732</v>
      </c>
      <c r="E76" s="18">
        <f t="shared" si="13"/>
        <v>0.79049676025917925</v>
      </c>
      <c r="F76" s="17">
        <v>154</v>
      </c>
      <c r="G76" s="18">
        <f t="shared" si="14"/>
        <v>0.84615384615384615</v>
      </c>
      <c r="H76" s="29">
        <v>575</v>
      </c>
      <c r="I76" s="43">
        <f t="shared" si="15"/>
        <v>0.78018995929443691</v>
      </c>
      <c r="J76" s="7"/>
    </row>
    <row r="77" spans="1:10" s="6" customFormat="1" x14ac:dyDescent="0.35">
      <c r="A77" s="27" t="s">
        <v>59</v>
      </c>
      <c r="B77" s="17"/>
      <c r="C77" s="18"/>
      <c r="D77" s="17"/>
      <c r="E77" s="18"/>
      <c r="F77" s="17"/>
      <c r="G77" s="18"/>
      <c r="H77" s="29"/>
      <c r="I77" s="43"/>
      <c r="J77" s="8"/>
    </row>
    <row r="78" spans="1:10" s="6" customFormat="1" x14ac:dyDescent="0.35">
      <c r="A78" s="8" t="s">
        <v>137</v>
      </c>
      <c r="B78" s="17">
        <v>17</v>
      </c>
      <c r="C78" s="18" t="s">
        <v>140</v>
      </c>
      <c r="D78" s="17">
        <v>17</v>
      </c>
      <c r="E78" s="18" t="s">
        <v>150</v>
      </c>
      <c r="F78" s="17">
        <v>19</v>
      </c>
      <c r="G78" s="18" t="s">
        <v>151</v>
      </c>
      <c r="H78" s="29">
        <v>18</v>
      </c>
      <c r="I78" s="43" t="s">
        <v>152</v>
      </c>
      <c r="J78" s="8"/>
    </row>
    <row r="79" spans="1:10" s="6" customFormat="1" x14ac:dyDescent="0.35">
      <c r="A79" s="8" t="s">
        <v>60</v>
      </c>
      <c r="B79" s="17">
        <v>1027</v>
      </c>
      <c r="C79" s="18">
        <f t="shared" si="12"/>
        <v>0.55663956639566392</v>
      </c>
      <c r="D79" s="17">
        <v>468</v>
      </c>
      <c r="E79" s="18">
        <f t="shared" si="13"/>
        <v>0.50539956803455721</v>
      </c>
      <c r="F79" s="17">
        <v>109</v>
      </c>
      <c r="G79" s="18">
        <f t="shared" si="14"/>
        <v>0.59890109890109888</v>
      </c>
      <c r="H79" s="29">
        <v>450</v>
      </c>
      <c r="I79" s="43">
        <f t="shared" si="15"/>
        <v>0.61058344640434192</v>
      </c>
      <c r="J79" s="8"/>
    </row>
    <row r="80" spans="1:10" s="6" customFormat="1" x14ac:dyDescent="0.35">
      <c r="A80" s="8" t="s">
        <v>61</v>
      </c>
      <c r="B80" s="17"/>
      <c r="C80" s="18"/>
      <c r="D80" s="17"/>
      <c r="E80" s="18"/>
      <c r="F80" s="17"/>
      <c r="G80" s="18"/>
      <c r="H80" s="29"/>
      <c r="I80" s="43"/>
      <c r="J80" s="7" t="s">
        <v>172</v>
      </c>
    </row>
    <row r="81" spans="1:10" s="6" customFormat="1" x14ac:dyDescent="0.35">
      <c r="A81" s="20" t="s">
        <v>177</v>
      </c>
      <c r="B81" s="17">
        <f>252+76</f>
        <v>328</v>
      </c>
      <c r="C81" s="18">
        <f t="shared" si="12"/>
        <v>0.17777777777777778</v>
      </c>
      <c r="D81" s="17">
        <v>126</v>
      </c>
      <c r="E81" s="18">
        <f t="shared" si="13"/>
        <v>0.13606911447084233</v>
      </c>
      <c r="F81" s="17">
        <v>34</v>
      </c>
      <c r="G81" s="18">
        <f t="shared" si="14"/>
        <v>0.18681318681318682</v>
      </c>
      <c r="H81" s="29">
        <f>126+42</f>
        <v>168</v>
      </c>
      <c r="I81" s="43">
        <f t="shared" si="15"/>
        <v>0.22795115332428764</v>
      </c>
      <c r="J81" s="7"/>
    </row>
    <row r="82" spans="1:10" s="6" customFormat="1" x14ac:dyDescent="0.35">
      <c r="A82" s="20" t="s">
        <v>62</v>
      </c>
      <c r="B82" s="17">
        <v>966</v>
      </c>
      <c r="C82" s="18">
        <f t="shared" si="12"/>
        <v>0.52357723577235771</v>
      </c>
      <c r="D82" s="17">
        <v>556</v>
      </c>
      <c r="E82" s="18">
        <f t="shared" si="13"/>
        <v>0.60043196544276456</v>
      </c>
      <c r="F82" s="17">
        <v>82</v>
      </c>
      <c r="G82" s="18">
        <f t="shared" si="14"/>
        <v>0.45054945054945056</v>
      </c>
      <c r="H82" s="29">
        <v>328</v>
      </c>
      <c r="I82" s="43">
        <f t="shared" si="15"/>
        <v>0.4450474898236092</v>
      </c>
      <c r="J82" s="7"/>
    </row>
    <row r="83" spans="1:10" s="6" customFormat="1" x14ac:dyDescent="0.35">
      <c r="A83" s="20" t="s">
        <v>63</v>
      </c>
      <c r="B83" s="17">
        <v>466</v>
      </c>
      <c r="C83" s="18">
        <f t="shared" si="12"/>
        <v>0.25257452574525746</v>
      </c>
      <c r="D83" s="17">
        <v>169</v>
      </c>
      <c r="E83" s="18">
        <f t="shared" si="13"/>
        <v>0.18250539956803455</v>
      </c>
      <c r="F83" s="17">
        <v>66</v>
      </c>
      <c r="G83" s="18">
        <f t="shared" si="14"/>
        <v>0.36263736263736263</v>
      </c>
      <c r="H83" s="29">
        <v>231</v>
      </c>
      <c r="I83" s="43">
        <f t="shared" si="15"/>
        <v>0.31343283582089554</v>
      </c>
      <c r="J83" s="7"/>
    </row>
    <row r="84" spans="1:10" s="6" customFormat="1" x14ac:dyDescent="0.35">
      <c r="A84" s="20" t="s">
        <v>64</v>
      </c>
      <c r="B84" s="17">
        <v>85</v>
      </c>
      <c r="C84" s="18">
        <f t="shared" si="12"/>
        <v>4.6070460704607047E-2</v>
      </c>
      <c r="D84" s="17">
        <v>75</v>
      </c>
      <c r="E84" s="18">
        <f t="shared" si="13"/>
        <v>8.0993520518358536E-2</v>
      </c>
      <c r="F84" s="17">
        <v>0</v>
      </c>
      <c r="G84" s="18">
        <f t="shared" si="14"/>
        <v>0</v>
      </c>
      <c r="H84" s="29">
        <v>10</v>
      </c>
      <c r="I84" s="43">
        <f t="shared" si="15"/>
        <v>1.3568521031207599E-2</v>
      </c>
      <c r="J84" s="7"/>
    </row>
    <row r="85" spans="1:10" s="6" customFormat="1" x14ac:dyDescent="0.35">
      <c r="A85" s="41" t="s">
        <v>132</v>
      </c>
      <c r="B85" s="17">
        <v>136</v>
      </c>
      <c r="C85" s="18">
        <f t="shared" si="12"/>
        <v>7.3712737127371281E-2</v>
      </c>
      <c r="D85" s="17">
        <v>74</v>
      </c>
      <c r="E85" s="18">
        <f t="shared" si="13"/>
        <v>7.9913606911447083E-2</v>
      </c>
      <c r="F85" s="17">
        <v>10</v>
      </c>
      <c r="G85" s="18">
        <f t="shared" si="14"/>
        <v>5.4945054945054944E-2</v>
      </c>
      <c r="H85" s="29">
        <v>52</v>
      </c>
      <c r="I85" s="43">
        <f t="shared" si="15"/>
        <v>7.055630936227951E-2</v>
      </c>
    </row>
    <row r="86" spans="1:10" x14ac:dyDescent="0.35">
      <c r="B86" s="17"/>
      <c r="C86" s="18"/>
      <c r="D86" s="17"/>
      <c r="E86" s="18"/>
      <c r="F86" s="17"/>
      <c r="G86" s="18"/>
      <c r="H86" s="29"/>
      <c r="I86" s="8"/>
    </row>
    <row r="87" spans="1:10" x14ac:dyDescent="0.35">
      <c r="A87" s="12" t="s">
        <v>78</v>
      </c>
      <c r="B87" s="21"/>
      <c r="C87" s="22"/>
      <c r="D87" s="21"/>
      <c r="E87" s="22"/>
      <c r="F87" s="21"/>
      <c r="G87" s="22"/>
      <c r="H87" s="40"/>
      <c r="I87" s="6"/>
    </row>
    <row r="88" spans="1:10" x14ac:dyDescent="0.35">
      <c r="A88" s="12" t="s">
        <v>105</v>
      </c>
      <c r="C88" s="15"/>
      <c r="D88" s="14"/>
      <c r="E88" s="15"/>
      <c r="F88" s="14"/>
      <c r="G88" s="15"/>
      <c r="J88" s="1" t="s">
        <v>170</v>
      </c>
    </row>
    <row r="89" spans="1:10" x14ac:dyDescent="0.35">
      <c r="A89" s="11" t="s">
        <v>169</v>
      </c>
      <c r="C89" s="15"/>
      <c r="D89" s="14"/>
      <c r="E89" s="15"/>
      <c r="F89" s="14"/>
      <c r="G89" s="15"/>
      <c r="J89" s="14"/>
    </row>
    <row r="90" spans="1:10" x14ac:dyDescent="0.35">
      <c r="A90" s="11" t="s">
        <v>197</v>
      </c>
    </row>
    <row r="91" spans="1:10" x14ac:dyDescent="0.35">
      <c r="A91" s="11" t="s">
        <v>198</v>
      </c>
    </row>
    <row r="92" spans="1:10" x14ac:dyDescent="0.35">
      <c r="A92" s="32"/>
    </row>
    <row r="93" spans="1:10" x14ac:dyDescent="0.35">
      <c r="A93" s="32"/>
    </row>
    <row r="94" spans="1:10" x14ac:dyDescent="0.35">
      <c r="A94" s="32"/>
    </row>
  </sheetData>
  <mergeCells count="4">
    <mergeCell ref="D3:E3"/>
    <mergeCell ref="F3:G3"/>
    <mergeCell ref="B3:C3"/>
    <mergeCell ref="H3:I3"/>
  </mergeCells>
  <phoneticPr fontId="6" type="noConversion"/>
  <pageMargins left="0.7" right="0.7" top="0.75" bottom="0.75" header="0.3" footer="0.3"/>
  <pageSetup orientation="portrait" r:id="rId1"/>
  <ignoredErrors>
    <ignoredError sqref="C48 E48:I48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F24AC-9236-4327-8D00-806A7DE45B6C}">
  <dimension ref="A1:J96"/>
  <sheetViews>
    <sheetView workbookViewId="0">
      <pane ySplit="4" topLeftCell="A5" activePane="bottomLeft" state="frozen"/>
      <selection pane="bottomLeft" activeCell="A10" sqref="A10"/>
    </sheetView>
  </sheetViews>
  <sheetFormatPr defaultRowHeight="14.5" x14ac:dyDescent="0.35"/>
  <cols>
    <col min="1" max="1" width="46.453125" style="7" customWidth="1"/>
    <col min="2" max="2" width="8.54296875" style="14" customWidth="1"/>
    <col min="3" max="3" width="8.54296875" style="15" customWidth="1"/>
    <col min="4" max="4" width="8.54296875" style="14" customWidth="1"/>
    <col min="5" max="5" width="8.54296875" style="15" customWidth="1"/>
    <col min="6" max="6" width="8.54296875" style="14" customWidth="1"/>
    <col min="7" max="7" width="9.54296875" style="15" customWidth="1"/>
    <col min="8" max="8" width="9.54296875" style="50" customWidth="1"/>
    <col min="9" max="9" width="8.7265625" style="1"/>
  </cols>
  <sheetData>
    <row r="1" spans="1:10" ht="15.5" x14ac:dyDescent="0.35">
      <c r="A1" s="23" t="s">
        <v>185</v>
      </c>
    </row>
    <row r="2" spans="1:10" ht="15.5" x14ac:dyDescent="0.35">
      <c r="A2" s="24"/>
    </row>
    <row r="3" spans="1:10" x14ac:dyDescent="0.35">
      <c r="A3" s="47"/>
      <c r="B3" s="61" t="s">
        <v>27</v>
      </c>
      <c r="C3" s="61"/>
      <c r="D3" s="60" t="s">
        <v>181</v>
      </c>
      <c r="E3" s="60"/>
      <c r="F3" s="60" t="s">
        <v>182</v>
      </c>
      <c r="G3" s="60"/>
      <c r="H3" s="51"/>
      <c r="I3" s="4" t="s">
        <v>29</v>
      </c>
    </row>
    <row r="4" spans="1:10" s="6" customFormat="1" x14ac:dyDescent="0.35">
      <c r="A4" s="48"/>
      <c r="B4" s="44" t="s">
        <v>183</v>
      </c>
      <c r="C4" s="45" t="s">
        <v>28</v>
      </c>
      <c r="D4" s="44" t="s">
        <v>186</v>
      </c>
      <c r="E4" s="45" t="s">
        <v>28</v>
      </c>
      <c r="F4" s="44" t="s">
        <v>187</v>
      </c>
      <c r="G4" s="45" t="s">
        <v>28</v>
      </c>
      <c r="H4" s="52" t="s">
        <v>188</v>
      </c>
      <c r="I4" s="7" t="s">
        <v>216</v>
      </c>
    </row>
    <row r="5" spans="1:10" s="6" customFormat="1" x14ac:dyDescent="0.35">
      <c r="A5" s="27" t="s">
        <v>30</v>
      </c>
      <c r="B5" s="17"/>
      <c r="H5" s="53"/>
      <c r="I5" s="7" t="s">
        <v>214</v>
      </c>
    </row>
    <row r="6" spans="1:10" s="6" customFormat="1" x14ac:dyDescent="0.35">
      <c r="A6" s="8" t="s">
        <v>138</v>
      </c>
      <c r="B6" s="17">
        <v>50</v>
      </c>
      <c r="C6" s="18" t="s">
        <v>139</v>
      </c>
      <c r="D6" s="17">
        <v>52</v>
      </c>
      <c r="E6" s="18" t="s">
        <v>201</v>
      </c>
      <c r="F6" s="17">
        <v>49</v>
      </c>
      <c r="G6" s="18" t="s">
        <v>139</v>
      </c>
      <c r="H6" s="53">
        <v>3.39E-2</v>
      </c>
      <c r="I6" s="7"/>
      <c r="J6" s="7"/>
    </row>
    <row r="7" spans="1:10" s="6" customFormat="1" x14ac:dyDescent="0.35">
      <c r="A7" s="8" t="s">
        <v>31</v>
      </c>
      <c r="B7" s="17"/>
      <c r="C7" s="18"/>
      <c r="D7" s="17"/>
      <c r="E7" s="18"/>
      <c r="F7" s="17"/>
      <c r="G7" s="18"/>
      <c r="H7" s="53">
        <v>0.13969999999999999</v>
      </c>
      <c r="I7" s="7"/>
    </row>
    <row r="8" spans="1:10" s="6" customFormat="1" x14ac:dyDescent="0.35">
      <c r="A8" s="8" t="s">
        <v>65</v>
      </c>
      <c r="B8" s="17">
        <v>7</v>
      </c>
      <c r="C8" s="18">
        <f>B8/1850</f>
        <v>3.7837837837837837E-3</v>
      </c>
      <c r="D8" s="17">
        <v>5</v>
      </c>
      <c r="E8" s="18">
        <f>D8/968</f>
        <v>5.1652892561983473E-3</v>
      </c>
      <c r="F8" s="17">
        <v>2</v>
      </c>
      <c r="G8" s="18">
        <f>F8/882</f>
        <v>2.2675736961451248E-3</v>
      </c>
      <c r="H8" s="53"/>
      <c r="I8" s="7"/>
    </row>
    <row r="9" spans="1:10" s="6" customFormat="1" x14ac:dyDescent="0.35">
      <c r="A9" s="8" t="s">
        <v>66</v>
      </c>
      <c r="B9" s="17">
        <v>289</v>
      </c>
      <c r="C9" s="18">
        <f t="shared" ref="C9:C13" si="0">B9/1850</f>
        <v>0.1562162162162162</v>
      </c>
      <c r="D9" s="17">
        <v>148</v>
      </c>
      <c r="E9" s="18">
        <f t="shared" ref="E9:E13" si="1">D9/968</f>
        <v>0.15289256198347106</v>
      </c>
      <c r="F9" s="17">
        <v>141</v>
      </c>
      <c r="G9" s="18">
        <f t="shared" ref="G9:G16" si="2">F9/882</f>
        <v>0.1598639455782313</v>
      </c>
      <c r="H9" s="53"/>
      <c r="I9" s="7"/>
    </row>
    <row r="10" spans="1:10" s="6" customFormat="1" x14ac:dyDescent="0.35">
      <c r="A10" s="8" t="s">
        <v>67</v>
      </c>
      <c r="B10" s="17">
        <v>389</v>
      </c>
      <c r="C10" s="18">
        <f t="shared" si="0"/>
        <v>0.21027027027027026</v>
      </c>
      <c r="D10" s="17">
        <v>183</v>
      </c>
      <c r="E10" s="18">
        <f t="shared" si="1"/>
        <v>0.18904958677685951</v>
      </c>
      <c r="F10" s="17">
        <v>206</v>
      </c>
      <c r="G10" s="18">
        <f t="shared" si="2"/>
        <v>0.23356009070294784</v>
      </c>
      <c r="H10" s="53"/>
      <c r="I10" s="7"/>
    </row>
    <row r="11" spans="1:10" s="6" customFormat="1" x14ac:dyDescent="0.35">
      <c r="A11" s="8" t="s">
        <v>68</v>
      </c>
      <c r="B11" s="17">
        <v>414</v>
      </c>
      <c r="C11" s="18">
        <f t="shared" si="0"/>
        <v>0.22378378378378377</v>
      </c>
      <c r="D11" s="17">
        <v>217</v>
      </c>
      <c r="E11" s="18">
        <f t="shared" si="1"/>
        <v>0.22417355371900827</v>
      </c>
      <c r="F11" s="17">
        <v>197</v>
      </c>
      <c r="G11" s="18">
        <f t="shared" si="2"/>
        <v>0.22335600907029479</v>
      </c>
      <c r="H11" s="53"/>
      <c r="I11" s="7"/>
    </row>
    <row r="12" spans="1:10" s="6" customFormat="1" x14ac:dyDescent="0.35">
      <c r="A12" s="8" t="s">
        <v>69</v>
      </c>
      <c r="B12" s="17">
        <v>382</v>
      </c>
      <c r="C12" s="18">
        <f t="shared" si="0"/>
        <v>0.20648648648648649</v>
      </c>
      <c r="D12" s="17">
        <v>208</v>
      </c>
      <c r="E12" s="18">
        <f t="shared" si="1"/>
        <v>0.21487603305785125</v>
      </c>
      <c r="F12" s="17">
        <v>174</v>
      </c>
      <c r="G12" s="18">
        <f t="shared" si="2"/>
        <v>0.19727891156462585</v>
      </c>
      <c r="H12" s="53"/>
      <c r="I12" s="7"/>
    </row>
    <row r="13" spans="1:10" s="6" customFormat="1" x14ac:dyDescent="0.35">
      <c r="A13" s="8" t="s">
        <v>32</v>
      </c>
      <c r="B13" s="17">
        <v>369</v>
      </c>
      <c r="C13" s="18">
        <f t="shared" si="0"/>
        <v>0.19945945945945945</v>
      </c>
      <c r="D13" s="17">
        <v>207</v>
      </c>
      <c r="E13" s="18">
        <f t="shared" si="1"/>
        <v>0.21384297520661158</v>
      </c>
      <c r="F13" s="17">
        <v>162</v>
      </c>
      <c r="G13" s="18">
        <f t="shared" si="2"/>
        <v>0.18367346938775511</v>
      </c>
      <c r="H13" s="53"/>
      <c r="I13" s="7"/>
    </row>
    <row r="14" spans="1:10" s="6" customFormat="1" x14ac:dyDescent="0.35">
      <c r="A14" s="8" t="s">
        <v>189</v>
      </c>
      <c r="B14" s="17"/>
      <c r="C14" s="18"/>
      <c r="D14" s="17"/>
      <c r="E14" s="18"/>
      <c r="F14" s="17"/>
      <c r="G14" s="18"/>
      <c r="H14" s="53">
        <v>0.65359999999999996</v>
      </c>
      <c r="I14" s="7"/>
    </row>
    <row r="15" spans="1:10" s="6" customFormat="1" x14ac:dyDescent="0.35">
      <c r="A15" s="8" t="s">
        <v>33</v>
      </c>
      <c r="B15" s="17">
        <v>1379</v>
      </c>
      <c r="C15" s="18">
        <f>B15/1849</f>
        <v>0.74580854515954575</v>
      </c>
      <c r="D15" s="17">
        <v>717</v>
      </c>
      <c r="E15" s="18">
        <f>D15/967</f>
        <v>0.74146845915201653</v>
      </c>
      <c r="F15" s="17">
        <v>662</v>
      </c>
      <c r="G15" s="18">
        <f t="shared" si="2"/>
        <v>0.75056689342403626</v>
      </c>
      <c r="H15" s="53"/>
      <c r="I15" s="7"/>
    </row>
    <row r="16" spans="1:10" s="6" customFormat="1" x14ac:dyDescent="0.35">
      <c r="A16" s="8" t="s">
        <v>34</v>
      </c>
      <c r="B16" s="17">
        <v>470</v>
      </c>
      <c r="C16" s="18">
        <f>B16/1849</f>
        <v>0.2541914548404543</v>
      </c>
      <c r="D16" s="17">
        <v>250</v>
      </c>
      <c r="E16" s="18">
        <f>D16/967</f>
        <v>0.25853154084798347</v>
      </c>
      <c r="F16" s="17">
        <v>220</v>
      </c>
      <c r="G16" s="18">
        <f t="shared" si="2"/>
        <v>0.24943310657596371</v>
      </c>
      <c r="H16" s="53"/>
      <c r="I16" s="7"/>
    </row>
    <row r="17" spans="1:9" x14ac:dyDescent="0.35">
      <c r="A17" s="8" t="s">
        <v>190</v>
      </c>
      <c r="B17" s="17"/>
      <c r="C17" s="18"/>
      <c r="D17" s="17"/>
      <c r="E17" s="18"/>
      <c r="F17" s="17"/>
      <c r="G17" s="18"/>
      <c r="H17" s="53">
        <v>5.6899999999999999E-2</v>
      </c>
    </row>
    <row r="18" spans="1:9" x14ac:dyDescent="0.35">
      <c r="A18" s="20" t="s">
        <v>35</v>
      </c>
      <c r="B18" s="17">
        <v>390</v>
      </c>
      <c r="C18" s="18">
        <f>B18/1605</f>
        <v>0.24299065420560748</v>
      </c>
      <c r="D18" s="17">
        <v>217</v>
      </c>
      <c r="E18" s="18">
        <f>D18/836</f>
        <v>0.25956937799043062</v>
      </c>
      <c r="F18" s="17">
        <v>173</v>
      </c>
      <c r="G18" s="18">
        <f>F18/769</f>
        <v>0.22496749024707413</v>
      </c>
      <c r="H18" s="53"/>
    </row>
    <row r="19" spans="1:9" x14ac:dyDescent="0.35">
      <c r="A19" s="20" t="s">
        <v>36</v>
      </c>
      <c r="B19" s="17">
        <v>472</v>
      </c>
      <c r="C19" s="18">
        <f t="shared" ref="C19:C21" si="3">B19/1605</f>
        <v>0.29408099688473521</v>
      </c>
      <c r="D19" s="17">
        <v>257</v>
      </c>
      <c r="E19" s="18">
        <f t="shared" ref="E19:E21" si="4">D19/836</f>
        <v>0.30741626794258375</v>
      </c>
      <c r="F19" s="17">
        <v>215</v>
      </c>
      <c r="G19" s="18">
        <f t="shared" ref="G19:G21" si="5">F19/769</f>
        <v>0.27958387516254879</v>
      </c>
      <c r="H19" s="53"/>
    </row>
    <row r="20" spans="1:9" x14ac:dyDescent="0.35">
      <c r="A20" s="20" t="s">
        <v>71</v>
      </c>
      <c r="B20" s="17">
        <v>109</v>
      </c>
      <c r="C20" s="18">
        <f t="shared" si="3"/>
        <v>6.7912772585669787E-2</v>
      </c>
      <c r="D20" s="17">
        <v>48</v>
      </c>
      <c r="E20" s="18">
        <f t="shared" si="4"/>
        <v>5.7416267942583733E-2</v>
      </c>
      <c r="F20" s="17">
        <v>61</v>
      </c>
      <c r="G20" s="18">
        <f t="shared" si="5"/>
        <v>7.9323797139141741E-2</v>
      </c>
      <c r="H20" s="53"/>
    </row>
    <row r="21" spans="1:9" x14ac:dyDescent="0.35">
      <c r="A21" s="20" t="s">
        <v>37</v>
      </c>
      <c r="B21" s="17">
        <v>634</v>
      </c>
      <c r="C21" s="18">
        <f t="shared" si="3"/>
        <v>0.39501557632398754</v>
      </c>
      <c r="D21" s="17">
        <v>314</v>
      </c>
      <c r="E21" s="18">
        <f t="shared" si="4"/>
        <v>0.37559808612440193</v>
      </c>
      <c r="F21" s="17">
        <v>320</v>
      </c>
      <c r="G21" s="18">
        <f t="shared" si="5"/>
        <v>0.41612483745123535</v>
      </c>
      <c r="H21" s="53"/>
    </row>
    <row r="22" spans="1:9" s="6" customFormat="1" x14ac:dyDescent="0.35">
      <c r="A22" s="8" t="s">
        <v>38</v>
      </c>
      <c r="B22" s="17"/>
      <c r="C22" s="18"/>
      <c r="D22" s="17"/>
      <c r="E22" s="18"/>
      <c r="F22" s="17"/>
      <c r="G22" s="18"/>
      <c r="H22" s="53">
        <v>7.5899999999999995E-2</v>
      </c>
      <c r="I22" s="7"/>
    </row>
    <row r="23" spans="1:9" x14ac:dyDescent="0.35">
      <c r="A23" s="8" t="s">
        <v>39</v>
      </c>
      <c r="B23" s="17">
        <v>588</v>
      </c>
      <c r="C23" s="18">
        <f>B23/1850</f>
        <v>0.31783783783783781</v>
      </c>
      <c r="D23" s="17">
        <v>328</v>
      </c>
      <c r="E23" s="18">
        <f>D23/968</f>
        <v>0.33884297520661155</v>
      </c>
      <c r="F23" s="17">
        <v>260</v>
      </c>
      <c r="G23" s="18">
        <f>F23/882</f>
        <v>0.29478458049886619</v>
      </c>
      <c r="H23" s="53"/>
    </row>
    <row r="24" spans="1:9" x14ac:dyDescent="0.35">
      <c r="A24" s="8" t="s">
        <v>40</v>
      </c>
      <c r="B24" s="17">
        <v>705</v>
      </c>
      <c r="C24" s="18">
        <f t="shared" ref="C24:C26" si="6">B24/1850</f>
        <v>0.38108108108108107</v>
      </c>
      <c r="D24" s="17">
        <v>372</v>
      </c>
      <c r="E24" s="18">
        <f t="shared" ref="E24:E26" si="7">D24/968</f>
        <v>0.38429752066115702</v>
      </c>
      <c r="F24" s="17">
        <v>333</v>
      </c>
      <c r="G24" s="18">
        <f t="shared" ref="G24:G26" si="8">F24/882</f>
        <v>0.37755102040816324</v>
      </c>
      <c r="H24" s="53"/>
    </row>
    <row r="25" spans="1:9" x14ac:dyDescent="0.35">
      <c r="A25" s="8" t="s">
        <v>41</v>
      </c>
      <c r="B25" s="17">
        <v>358</v>
      </c>
      <c r="C25" s="18">
        <f t="shared" si="6"/>
        <v>0.19351351351351351</v>
      </c>
      <c r="D25" s="17">
        <v>171</v>
      </c>
      <c r="E25" s="18">
        <f t="shared" si="7"/>
        <v>0.17665289256198347</v>
      </c>
      <c r="F25" s="17">
        <v>187</v>
      </c>
      <c r="G25" s="18">
        <f t="shared" si="8"/>
        <v>0.21201814058956917</v>
      </c>
      <c r="H25" s="53"/>
    </row>
    <row r="26" spans="1:9" x14ac:dyDescent="0.35">
      <c r="A26" s="8" t="s">
        <v>42</v>
      </c>
      <c r="B26" s="17">
        <v>199</v>
      </c>
      <c r="C26" s="18">
        <f t="shared" si="6"/>
        <v>0.10756756756756757</v>
      </c>
      <c r="D26" s="17">
        <v>97</v>
      </c>
      <c r="E26" s="18">
        <f t="shared" si="7"/>
        <v>0.10020661157024793</v>
      </c>
      <c r="F26" s="17">
        <v>102</v>
      </c>
      <c r="G26" s="18">
        <f t="shared" si="8"/>
        <v>0.11564625850340136</v>
      </c>
      <c r="H26" s="53"/>
    </row>
    <row r="27" spans="1:9" s="6" customFormat="1" x14ac:dyDescent="0.35">
      <c r="A27" s="27" t="s">
        <v>191</v>
      </c>
      <c r="B27" s="17"/>
      <c r="C27" s="18"/>
      <c r="D27" s="17"/>
      <c r="E27" s="18"/>
      <c r="F27" s="17"/>
      <c r="G27" s="18"/>
      <c r="H27" s="53">
        <v>0.8105</v>
      </c>
      <c r="I27" s="7"/>
    </row>
    <row r="28" spans="1:9" x14ac:dyDescent="0.35">
      <c r="A28" s="8" t="s">
        <v>135</v>
      </c>
      <c r="B28" s="17">
        <v>1355</v>
      </c>
      <c r="C28" s="18">
        <f>B28/1829</f>
        <v>0.74084199015855656</v>
      </c>
      <c r="D28" s="17">
        <v>706</v>
      </c>
      <c r="E28" s="18">
        <f>D28/956</f>
        <v>0.7384937238493724</v>
      </c>
      <c r="F28" s="17">
        <v>649</v>
      </c>
      <c r="G28" s="18">
        <f>F28/873</f>
        <v>0.74341351660939292</v>
      </c>
      <c r="H28" s="53"/>
    </row>
    <row r="29" spans="1:9" x14ac:dyDescent="0.35">
      <c r="A29" s="8" t="s">
        <v>101</v>
      </c>
      <c r="B29" s="17">
        <v>474</v>
      </c>
      <c r="C29" s="18">
        <f>B29/1829</f>
        <v>0.25915800984144344</v>
      </c>
      <c r="D29" s="17">
        <v>250</v>
      </c>
      <c r="E29" s="18">
        <f>D29/956</f>
        <v>0.2615062761506276</v>
      </c>
      <c r="F29" s="17">
        <v>224</v>
      </c>
      <c r="G29" s="18">
        <f>F29/873</f>
        <v>0.25658648339060708</v>
      </c>
      <c r="H29" s="53"/>
    </row>
    <row r="30" spans="1:9" s="6" customFormat="1" x14ac:dyDescent="0.35">
      <c r="A30" s="27" t="s">
        <v>43</v>
      </c>
      <c r="B30" s="17"/>
      <c r="C30" s="18"/>
      <c r="D30" s="17"/>
      <c r="E30" s="18"/>
      <c r="F30" s="17"/>
      <c r="G30" s="18"/>
      <c r="H30" s="53"/>
      <c r="I30" s="7"/>
    </row>
    <row r="31" spans="1:9" s="6" customFormat="1" x14ac:dyDescent="0.35">
      <c r="A31" s="8" t="s">
        <v>44</v>
      </c>
      <c r="B31" s="17"/>
      <c r="C31" s="18"/>
      <c r="D31" s="17"/>
      <c r="E31" s="18"/>
      <c r="F31" s="17"/>
      <c r="G31" s="18"/>
      <c r="H31" s="53">
        <v>1.5E-3</v>
      </c>
      <c r="I31" s="7" t="s">
        <v>193</v>
      </c>
    </row>
    <row r="32" spans="1:9" x14ac:dyDescent="0.35">
      <c r="A32" s="8" t="s">
        <v>45</v>
      </c>
      <c r="B32" s="17">
        <v>199</v>
      </c>
      <c r="C32" s="18">
        <f>B32/1850</f>
        <v>0.10756756756756757</v>
      </c>
      <c r="D32" s="17">
        <v>86</v>
      </c>
      <c r="E32" s="18">
        <f>D32/968</f>
        <v>8.8842975206611566E-2</v>
      </c>
      <c r="F32" s="17">
        <v>113</v>
      </c>
      <c r="G32" s="18">
        <f>F32/882</f>
        <v>0.12811791383219956</v>
      </c>
      <c r="H32" s="53"/>
    </row>
    <row r="33" spans="1:9" x14ac:dyDescent="0.35">
      <c r="A33" s="8" t="s">
        <v>46</v>
      </c>
      <c r="B33" s="17">
        <v>298</v>
      </c>
      <c r="C33" s="18">
        <f t="shared" ref="C33:C66" si="9">B33/1850</f>
        <v>0.16108108108108107</v>
      </c>
      <c r="D33" s="17">
        <v>178</v>
      </c>
      <c r="E33" s="18">
        <f t="shared" ref="E33:E66" si="10">D33/968</f>
        <v>0.18388429752066116</v>
      </c>
      <c r="F33" s="17">
        <v>120</v>
      </c>
      <c r="G33" s="18">
        <f t="shared" ref="G33:G66" si="11">F33/882</f>
        <v>0.1360544217687075</v>
      </c>
      <c r="H33" s="53"/>
    </row>
    <row r="34" spans="1:9" x14ac:dyDescent="0.35">
      <c r="A34" s="8" t="s">
        <v>47</v>
      </c>
      <c r="B34" s="17">
        <v>992</v>
      </c>
      <c r="C34" s="18">
        <f t="shared" si="9"/>
        <v>0.53621621621621618</v>
      </c>
      <c r="D34" s="17">
        <v>504</v>
      </c>
      <c r="E34" s="18">
        <f t="shared" si="10"/>
        <v>0.52066115702479343</v>
      </c>
      <c r="F34" s="17">
        <v>488</v>
      </c>
      <c r="G34" s="18">
        <f t="shared" si="11"/>
        <v>0.55328798185941042</v>
      </c>
      <c r="H34" s="53"/>
    </row>
    <row r="35" spans="1:9" x14ac:dyDescent="0.35">
      <c r="A35" s="8" t="s">
        <v>48</v>
      </c>
      <c r="B35" s="17">
        <v>361</v>
      </c>
      <c r="C35" s="18">
        <f t="shared" si="9"/>
        <v>0.19513513513513514</v>
      </c>
      <c r="D35" s="17">
        <v>200</v>
      </c>
      <c r="E35" s="18">
        <f t="shared" si="10"/>
        <v>0.20661157024793389</v>
      </c>
      <c r="F35" s="17">
        <v>161</v>
      </c>
      <c r="G35" s="18">
        <f t="shared" si="11"/>
        <v>0.18253968253968253</v>
      </c>
      <c r="H35" s="53"/>
    </row>
    <row r="36" spans="1:9" s="6" customFormat="1" x14ac:dyDescent="0.35">
      <c r="A36" s="8" t="s">
        <v>49</v>
      </c>
      <c r="B36" s="17"/>
      <c r="C36" s="18"/>
      <c r="D36" s="17"/>
      <c r="E36" s="18"/>
      <c r="F36" s="17"/>
      <c r="G36" s="18"/>
      <c r="H36" s="53">
        <v>2.8999999999999998E-3</v>
      </c>
      <c r="I36" s="7"/>
    </row>
    <row r="37" spans="1:9" x14ac:dyDescent="0.35">
      <c r="A37" s="20" t="s">
        <v>50</v>
      </c>
      <c r="B37" s="17">
        <v>1715</v>
      </c>
      <c r="C37" s="18">
        <f t="shared" si="9"/>
        <v>0.927027027027027</v>
      </c>
      <c r="D37" s="17">
        <v>914</v>
      </c>
      <c r="E37" s="18">
        <f t="shared" si="10"/>
        <v>0.94421487603305787</v>
      </c>
      <c r="F37" s="17">
        <v>801</v>
      </c>
      <c r="G37" s="18">
        <f t="shared" si="11"/>
        <v>0.90816326530612246</v>
      </c>
      <c r="H37" s="53"/>
    </row>
    <row r="38" spans="1:9" x14ac:dyDescent="0.35">
      <c r="A38" s="20" t="s">
        <v>51</v>
      </c>
      <c r="B38" s="17">
        <v>135</v>
      </c>
      <c r="C38" s="18">
        <f t="shared" si="9"/>
        <v>7.2972972972972977E-2</v>
      </c>
      <c r="D38" s="17">
        <v>54</v>
      </c>
      <c r="E38" s="18">
        <f t="shared" si="10"/>
        <v>5.578512396694215E-2</v>
      </c>
      <c r="F38" s="17">
        <v>81</v>
      </c>
      <c r="G38" s="18">
        <f t="shared" si="11"/>
        <v>9.1836734693877556E-2</v>
      </c>
      <c r="H38" s="53"/>
    </row>
    <row r="39" spans="1:9" x14ac:dyDescent="0.35">
      <c r="A39" s="8" t="s">
        <v>52</v>
      </c>
      <c r="B39" s="17"/>
      <c r="C39" s="18"/>
      <c r="D39" s="17"/>
      <c r="E39" s="18"/>
      <c r="F39" s="17"/>
      <c r="G39" s="18"/>
      <c r="H39" s="53">
        <v>2.47E-2</v>
      </c>
      <c r="I39" s="7" t="s">
        <v>194</v>
      </c>
    </row>
    <row r="40" spans="1:9" x14ac:dyDescent="0.35">
      <c r="A40" s="8" t="s">
        <v>53</v>
      </c>
      <c r="B40" s="17">
        <v>217</v>
      </c>
      <c r="C40" s="18">
        <f t="shared" si="9"/>
        <v>0.11729729729729729</v>
      </c>
      <c r="D40" s="17">
        <v>127</v>
      </c>
      <c r="E40" s="18">
        <f t="shared" si="10"/>
        <v>0.13119834710743802</v>
      </c>
      <c r="F40" s="17">
        <v>90</v>
      </c>
      <c r="G40" s="18">
        <f t="shared" si="11"/>
        <v>0.10204081632653061</v>
      </c>
      <c r="H40" s="53"/>
    </row>
    <row r="41" spans="1:9" x14ac:dyDescent="0.35">
      <c r="A41" s="8" t="s">
        <v>54</v>
      </c>
      <c r="B41" s="17">
        <v>555</v>
      </c>
      <c r="C41" s="18">
        <f t="shared" si="9"/>
        <v>0.3</v>
      </c>
      <c r="D41" s="17">
        <v>304</v>
      </c>
      <c r="E41" s="18">
        <f t="shared" si="10"/>
        <v>0.31404958677685951</v>
      </c>
      <c r="F41" s="17">
        <v>251</v>
      </c>
      <c r="G41" s="18">
        <f t="shared" si="11"/>
        <v>0.28458049886621317</v>
      </c>
      <c r="H41" s="53"/>
    </row>
    <row r="42" spans="1:9" x14ac:dyDescent="0.35">
      <c r="A42" s="8" t="s">
        <v>55</v>
      </c>
      <c r="B42" s="17">
        <v>1078</v>
      </c>
      <c r="C42" s="18">
        <f t="shared" si="9"/>
        <v>0.58270270270270275</v>
      </c>
      <c r="D42" s="17">
        <v>537</v>
      </c>
      <c r="E42" s="18">
        <f t="shared" si="10"/>
        <v>0.55475206611570249</v>
      </c>
      <c r="F42" s="17">
        <v>541</v>
      </c>
      <c r="G42" s="18">
        <f t="shared" si="11"/>
        <v>0.61337868480725621</v>
      </c>
      <c r="H42" s="53"/>
    </row>
    <row r="43" spans="1:9" s="6" customFormat="1" x14ac:dyDescent="0.35">
      <c r="A43" s="8" t="s">
        <v>56</v>
      </c>
      <c r="B43" s="17">
        <v>1192</v>
      </c>
      <c r="C43" s="18">
        <f t="shared" si="9"/>
        <v>0.64432432432432429</v>
      </c>
      <c r="D43" s="17">
        <v>612</v>
      </c>
      <c r="E43" s="18">
        <f t="shared" si="10"/>
        <v>0.63223140495867769</v>
      </c>
      <c r="F43" s="17">
        <v>580</v>
      </c>
      <c r="G43" s="18">
        <f t="shared" si="11"/>
        <v>0.65759637188208619</v>
      </c>
      <c r="H43" s="53">
        <v>0.255</v>
      </c>
      <c r="I43" s="7"/>
    </row>
    <row r="44" spans="1:9" s="6" customFormat="1" x14ac:dyDescent="0.35">
      <c r="A44" s="27" t="s">
        <v>57</v>
      </c>
      <c r="B44" s="17"/>
      <c r="C44" s="18"/>
      <c r="D44" s="17"/>
      <c r="E44" s="18"/>
      <c r="F44" s="17"/>
      <c r="G44" s="18"/>
      <c r="H44" s="53"/>
      <c r="I44" s="8"/>
    </row>
    <row r="45" spans="1:9" s="6" customFormat="1" x14ac:dyDescent="0.35">
      <c r="A45" s="8" t="s">
        <v>86</v>
      </c>
      <c r="B45" s="17">
        <v>984</v>
      </c>
      <c r="C45" s="18">
        <f t="shared" si="9"/>
        <v>0.5318918918918919</v>
      </c>
      <c r="D45" s="17">
        <v>477</v>
      </c>
      <c r="E45" s="18">
        <f t="shared" si="10"/>
        <v>0.49276859504132231</v>
      </c>
      <c r="F45" s="17">
        <v>507</v>
      </c>
      <c r="G45" s="18">
        <f t="shared" si="11"/>
        <v>0.57482993197278909</v>
      </c>
      <c r="H45" s="53" t="s">
        <v>192</v>
      </c>
      <c r="I45" s="8"/>
    </row>
    <row r="46" spans="1:9" s="6" customFormat="1" x14ac:dyDescent="0.35">
      <c r="A46" s="8" t="s">
        <v>92</v>
      </c>
      <c r="B46" s="17">
        <v>105</v>
      </c>
      <c r="C46" s="18">
        <f t="shared" si="9"/>
        <v>5.675675675675676E-2</v>
      </c>
      <c r="D46" s="17">
        <v>44</v>
      </c>
      <c r="E46" s="18">
        <f t="shared" si="10"/>
        <v>4.5454545454545456E-2</v>
      </c>
      <c r="F46" s="17">
        <v>61</v>
      </c>
      <c r="G46" s="18">
        <f t="shared" si="11"/>
        <v>6.9160997732426302E-2</v>
      </c>
      <c r="H46" s="53">
        <v>2.7699999999999999E-2</v>
      </c>
      <c r="I46" s="8"/>
    </row>
    <row r="47" spans="1:9" s="6" customFormat="1" x14ac:dyDescent="0.35">
      <c r="A47" s="28" t="s">
        <v>58</v>
      </c>
      <c r="B47" s="17">
        <v>951</v>
      </c>
      <c r="C47" s="18">
        <f t="shared" si="9"/>
        <v>0.51405405405405402</v>
      </c>
      <c r="D47" s="17">
        <v>491</v>
      </c>
      <c r="E47" s="18">
        <f t="shared" si="10"/>
        <v>0.50723140495867769</v>
      </c>
      <c r="F47" s="17">
        <v>460</v>
      </c>
      <c r="G47" s="18">
        <f t="shared" si="11"/>
        <v>0.52154195011337867</v>
      </c>
      <c r="H47" s="53">
        <v>0.53849999999999998</v>
      </c>
      <c r="I47" s="7"/>
    </row>
    <row r="48" spans="1:9" s="6" customFormat="1" ht="15" customHeight="1" x14ac:dyDescent="0.35">
      <c r="A48" s="28" t="s">
        <v>200</v>
      </c>
      <c r="B48" s="17">
        <v>85</v>
      </c>
      <c r="C48" s="18">
        <f>B48/1054</f>
        <v>8.0645161290322578E-2</v>
      </c>
      <c r="D48" s="17">
        <v>40</v>
      </c>
      <c r="E48" s="18">
        <f>D48/532</f>
        <v>7.5187969924812026E-2</v>
      </c>
      <c r="F48" s="17">
        <v>45</v>
      </c>
      <c r="G48" s="18">
        <f>F48/522</f>
        <v>8.6206896551724144E-2</v>
      </c>
      <c r="H48" s="53">
        <v>0.51129999999999998</v>
      </c>
      <c r="I48" s="7"/>
    </row>
    <row r="49" spans="1:9" s="6" customFormat="1" x14ac:dyDescent="0.35">
      <c r="A49" s="28" t="s">
        <v>6</v>
      </c>
      <c r="B49" s="17">
        <v>435</v>
      </c>
      <c r="C49" s="18">
        <f t="shared" si="9"/>
        <v>0.23513513513513515</v>
      </c>
      <c r="D49" s="17">
        <v>233</v>
      </c>
      <c r="E49" s="18">
        <f t="shared" si="10"/>
        <v>0.24070247933884298</v>
      </c>
      <c r="F49" s="17">
        <v>202</v>
      </c>
      <c r="G49" s="18">
        <f t="shared" si="11"/>
        <v>0.22902494331065759</v>
      </c>
      <c r="H49" s="53">
        <v>0.55420000000000003</v>
      </c>
      <c r="I49" s="7"/>
    </row>
    <row r="50" spans="1:9" s="6" customFormat="1" x14ac:dyDescent="0.35">
      <c r="A50" s="8" t="s">
        <v>8</v>
      </c>
      <c r="B50" s="17">
        <v>143</v>
      </c>
      <c r="C50" s="18">
        <f t="shared" si="9"/>
        <v>7.7297297297297299E-2</v>
      </c>
      <c r="D50" s="17">
        <v>70</v>
      </c>
      <c r="E50" s="18">
        <f t="shared" si="10"/>
        <v>7.2314049586776855E-2</v>
      </c>
      <c r="F50" s="17">
        <v>73</v>
      </c>
      <c r="G50" s="18">
        <f t="shared" si="11"/>
        <v>8.2766439909297052E-2</v>
      </c>
      <c r="H50" s="53">
        <v>0.40050000000000002</v>
      </c>
      <c r="I50" s="7"/>
    </row>
    <row r="51" spans="1:9" s="6" customFormat="1" x14ac:dyDescent="0.35">
      <c r="A51" s="8" t="s">
        <v>10</v>
      </c>
      <c r="B51" s="17">
        <v>931</v>
      </c>
      <c r="C51" s="18">
        <f t="shared" si="9"/>
        <v>0.50324324324324321</v>
      </c>
      <c r="D51" s="17">
        <v>495</v>
      </c>
      <c r="E51" s="18">
        <f t="shared" si="10"/>
        <v>0.51136363636363635</v>
      </c>
      <c r="F51" s="17">
        <v>436</v>
      </c>
      <c r="G51" s="18">
        <f t="shared" si="11"/>
        <v>0.4943310657596372</v>
      </c>
      <c r="H51" s="53">
        <v>0.46429999999999999</v>
      </c>
      <c r="I51" s="7"/>
    </row>
    <row r="52" spans="1:9" s="6" customFormat="1" x14ac:dyDescent="0.35">
      <c r="A52" s="8" t="s">
        <v>79</v>
      </c>
      <c r="B52" s="17">
        <v>964</v>
      </c>
      <c r="C52" s="18">
        <f t="shared" si="9"/>
        <v>0.52108108108108109</v>
      </c>
      <c r="D52" s="17">
        <v>435</v>
      </c>
      <c r="E52" s="18">
        <f t="shared" si="10"/>
        <v>0.44938016528925617</v>
      </c>
      <c r="F52" s="17">
        <v>529</v>
      </c>
      <c r="G52" s="18">
        <f t="shared" si="11"/>
        <v>0.59977324263038545</v>
      </c>
      <c r="H52" s="53" t="s">
        <v>192</v>
      </c>
      <c r="I52" s="7"/>
    </row>
    <row r="53" spans="1:9" s="6" customFormat="1" x14ac:dyDescent="0.35">
      <c r="A53" s="8" t="s">
        <v>88</v>
      </c>
      <c r="B53" s="17">
        <v>618</v>
      </c>
      <c r="C53" s="18">
        <f t="shared" si="9"/>
        <v>0.33405405405405403</v>
      </c>
      <c r="D53" s="17">
        <v>289</v>
      </c>
      <c r="E53" s="18">
        <f t="shared" si="10"/>
        <v>0.29855371900826444</v>
      </c>
      <c r="F53" s="17">
        <v>329</v>
      </c>
      <c r="G53" s="18">
        <f t="shared" si="11"/>
        <v>0.37301587301587302</v>
      </c>
      <c r="H53" s="53">
        <v>6.9999999999999999E-4</v>
      </c>
      <c r="I53" s="7"/>
    </row>
    <row r="54" spans="1:9" s="6" customFormat="1" x14ac:dyDescent="0.35">
      <c r="A54" s="28" t="s">
        <v>12</v>
      </c>
      <c r="B54" s="17">
        <v>242</v>
      </c>
      <c r="C54" s="18">
        <f t="shared" si="9"/>
        <v>0.13081081081081081</v>
      </c>
      <c r="D54" s="17">
        <v>114</v>
      </c>
      <c r="E54" s="18">
        <f t="shared" si="10"/>
        <v>0.11776859504132231</v>
      </c>
      <c r="F54" s="17">
        <v>128</v>
      </c>
      <c r="G54" s="18">
        <f t="shared" si="11"/>
        <v>0.14512471655328799</v>
      </c>
      <c r="H54" s="53">
        <v>8.14E-2</v>
      </c>
      <c r="I54" s="7"/>
    </row>
    <row r="55" spans="1:9" s="6" customFormat="1" x14ac:dyDescent="0.35">
      <c r="A55" s="28" t="s">
        <v>14</v>
      </c>
      <c r="B55" s="17">
        <v>230</v>
      </c>
      <c r="C55" s="18">
        <f t="shared" si="9"/>
        <v>0.12432432432432433</v>
      </c>
      <c r="D55" s="17">
        <v>122</v>
      </c>
      <c r="E55" s="18">
        <f t="shared" si="10"/>
        <v>0.12603305785123967</v>
      </c>
      <c r="F55" s="17">
        <v>108</v>
      </c>
      <c r="G55" s="18">
        <f t="shared" si="11"/>
        <v>0.12244897959183673</v>
      </c>
      <c r="H55" s="53">
        <v>0.8155</v>
      </c>
      <c r="I55" s="7"/>
    </row>
    <row r="56" spans="1:9" s="6" customFormat="1" x14ac:dyDescent="0.35">
      <c r="A56" s="29" t="s">
        <v>16</v>
      </c>
      <c r="B56" s="17">
        <v>573</v>
      </c>
      <c r="C56" s="18">
        <f t="shared" si="9"/>
        <v>0.30972972972972973</v>
      </c>
      <c r="D56" s="17">
        <v>288</v>
      </c>
      <c r="E56" s="18">
        <f t="shared" si="10"/>
        <v>0.2975206611570248</v>
      </c>
      <c r="F56" s="17">
        <v>285</v>
      </c>
      <c r="G56" s="18">
        <f t="shared" si="11"/>
        <v>0.3231292517006803</v>
      </c>
      <c r="H56" s="53">
        <v>0.2341</v>
      </c>
      <c r="I56" s="7"/>
    </row>
    <row r="57" spans="1:9" s="6" customFormat="1" x14ac:dyDescent="0.35">
      <c r="A57" s="29" t="s">
        <v>17</v>
      </c>
      <c r="B57" s="17">
        <v>110</v>
      </c>
      <c r="C57" s="18">
        <f t="shared" si="9"/>
        <v>5.9459459459459463E-2</v>
      </c>
      <c r="D57" s="17">
        <v>47</v>
      </c>
      <c r="E57" s="18">
        <f t="shared" si="10"/>
        <v>4.8553719008264461E-2</v>
      </c>
      <c r="F57" s="17">
        <v>63</v>
      </c>
      <c r="G57" s="18">
        <f t="shared" si="11"/>
        <v>7.1428571428571425E-2</v>
      </c>
      <c r="H57" s="53">
        <v>3.7699999999999997E-2</v>
      </c>
      <c r="I57" s="7"/>
    </row>
    <row r="58" spans="1:9" s="6" customFormat="1" x14ac:dyDescent="0.35">
      <c r="A58" s="29" t="s">
        <v>98</v>
      </c>
      <c r="B58" s="17">
        <v>163</v>
      </c>
      <c r="C58" s="18">
        <f t="shared" si="9"/>
        <v>8.810810810810811E-2</v>
      </c>
      <c r="D58" s="17">
        <v>72</v>
      </c>
      <c r="E58" s="18">
        <f t="shared" si="10"/>
        <v>7.43801652892562E-2</v>
      </c>
      <c r="F58" s="17">
        <v>91</v>
      </c>
      <c r="G58" s="18">
        <f t="shared" si="11"/>
        <v>0.10317460317460317</v>
      </c>
      <c r="H58" s="53">
        <v>2.9100000000000001E-2</v>
      </c>
      <c r="I58" s="7"/>
    </row>
    <row r="59" spans="1:9" s="6" customFormat="1" x14ac:dyDescent="0.35">
      <c r="A59" s="29" t="s">
        <v>70</v>
      </c>
      <c r="B59" s="17">
        <v>339</v>
      </c>
      <c r="C59" s="18">
        <f t="shared" si="9"/>
        <v>0.18324324324324323</v>
      </c>
      <c r="D59" s="17">
        <v>181</v>
      </c>
      <c r="E59" s="18">
        <f t="shared" si="10"/>
        <v>0.18698347107438015</v>
      </c>
      <c r="F59" s="17">
        <v>158</v>
      </c>
      <c r="G59" s="18">
        <f t="shared" si="11"/>
        <v>0.17913832199546487</v>
      </c>
      <c r="H59" s="53">
        <v>0.66310000000000002</v>
      </c>
      <c r="I59" s="7"/>
    </row>
    <row r="60" spans="1:9" s="6" customFormat="1" x14ac:dyDescent="0.35">
      <c r="A60" s="29" t="s">
        <v>19</v>
      </c>
      <c r="B60" s="17">
        <v>553</v>
      </c>
      <c r="C60" s="18">
        <f t="shared" si="9"/>
        <v>0.29891891891891892</v>
      </c>
      <c r="D60" s="17">
        <v>299</v>
      </c>
      <c r="E60" s="18">
        <f t="shared" si="10"/>
        <v>0.30888429752066116</v>
      </c>
      <c r="F60" s="17">
        <v>254</v>
      </c>
      <c r="G60" s="18">
        <f t="shared" si="11"/>
        <v>0.28798185941043086</v>
      </c>
      <c r="H60" s="53">
        <v>0.3266</v>
      </c>
      <c r="I60" s="7"/>
    </row>
    <row r="61" spans="1:9" s="6" customFormat="1" x14ac:dyDescent="0.35">
      <c r="A61" s="29" t="s">
        <v>21</v>
      </c>
      <c r="B61" s="17">
        <v>837</v>
      </c>
      <c r="C61" s="18">
        <f t="shared" si="9"/>
        <v>0.45243243243243242</v>
      </c>
      <c r="D61" s="17">
        <v>434</v>
      </c>
      <c r="E61" s="18">
        <f t="shared" si="10"/>
        <v>0.44834710743801653</v>
      </c>
      <c r="F61" s="17">
        <v>403</v>
      </c>
      <c r="G61" s="18">
        <f t="shared" si="11"/>
        <v>0.45691609977324266</v>
      </c>
      <c r="H61" s="53">
        <v>0.71150000000000002</v>
      </c>
      <c r="I61" s="7"/>
    </row>
    <row r="62" spans="1:9" s="6" customFormat="1" x14ac:dyDescent="0.35">
      <c r="A62" s="8" t="s">
        <v>23</v>
      </c>
      <c r="B62" s="17">
        <v>73</v>
      </c>
      <c r="C62" s="18">
        <f t="shared" si="9"/>
        <v>3.9459459459459459E-2</v>
      </c>
      <c r="D62" s="17">
        <v>42</v>
      </c>
      <c r="E62" s="18">
        <f t="shared" si="10"/>
        <v>4.3388429752066117E-2</v>
      </c>
      <c r="F62" s="17">
        <v>31</v>
      </c>
      <c r="G62" s="18">
        <f t="shared" si="11"/>
        <v>3.5147392290249435E-2</v>
      </c>
      <c r="H62" s="53">
        <v>0.36320000000000002</v>
      </c>
      <c r="I62" s="7"/>
    </row>
    <row r="63" spans="1:9" s="6" customFormat="1" x14ac:dyDescent="0.35">
      <c r="A63" s="8" t="s">
        <v>25</v>
      </c>
      <c r="B63" s="17">
        <v>187</v>
      </c>
      <c r="C63" s="18">
        <f t="shared" si="9"/>
        <v>0.10108108108108108</v>
      </c>
      <c r="D63" s="17">
        <v>90</v>
      </c>
      <c r="E63" s="18">
        <f t="shared" si="10"/>
        <v>9.2975206611570244E-2</v>
      </c>
      <c r="F63" s="17">
        <v>97</v>
      </c>
      <c r="G63" s="18">
        <f t="shared" si="11"/>
        <v>0.10997732426303855</v>
      </c>
      <c r="H63" s="53">
        <v>0.22559999999999999</v>
      </c>
      <c r="I63" s="7"/>
    </row>
    <row r="64" spans="1:9" s="6" customFormat="1" x14ac:dyDescent="0.35">
      <c r="A64" s="30" t="s">
        <v>76</v>
      </c>
      <c r="B64" s="17"/>
      <c r="C64" s="18"/>
      <c r="D64" s="17"/>
      <c r="E64" s="18"/>
      <c r="F64" s="17"/>
      <c r="G64" s="18"/>
      <c r="H64" s="53"/>
      <c r="I64" s="7"/>
    </row>
    <row r="65" spans="1:9" s="6" customFormat="1" x14ac:dyDescent="0.35">
      <c r="A65" s="29" t="s">
        <v>167</v>
      </c>
      <c r="B65" s="17">
        <v>147</v>
      </c>
      <c r="C65" s="18">
        <f t="shared" si="9"/>
        <v>7.9459459459459453E-2</v>
      </c>
      <c r="D65" s="17">
        <v>70</v>
      </c>
      <c r="E65" s="18">
        <f t="shared" si="10"/>
        <v>7.2314049586776855E-2</v>
      </c>
      <c r="F65" s="17">
        <v>77</v>
      </c>
      <c r="G65" s="18">
        <f t="shared" si="11"/>
        <v>8.7301587301587297E-2</v>
      </c>
      <c r="H65" s="53">
        <v>0.2339</v>
      </c>
      <c r="I65" s="7"/>
    </row>
    <row r="66" spans="1:9" s="6" customFormat="1" ht="16.5" x14ac:dyDescent="0.35">
      <c r="A66" s="29" t="s">
        <v>165</v>
      </c>
      <c r="B66" s="17">
        <v>453</v>
      </c>
      <c r="C66" s="18">
        <f t="shared" si="9"/>
        <v>0.24486486486486486</v>
      </c>
      <c r="D66" s="17">
        <v>227</v>
      </c>
      <c r="E66" s="18">
        <f t="shared" si="10"/>
        <v>0.23450413223140495</v>
      </c>
      <c r="F66" s="17">
        <v>226</v>
      </c>
      <c r="G66" s="18">
        <f t="shared" si="11"/>
        <v>0.25623582766439912</v>
      </c>
      <c r="H66" s="53">
        <v>0.27760000000000001</v>
      </c>
      <c r="I66" s="7"/>
    </row>
    <row r="67" spans="1:9" x14ac:dyDescent="0.35">
      <c r="A67" s="20" t="s">
        <v>141</v>
      </c>
      <c r="B67" s="17">
        <v>36</v>
      </c>
      <c r="C67" s="18" t="s">
        <v>144</v>
      </c>
      <c r="D67" s="55">
        <v>24.5</v>
      </c>
      <c r="E67" s="18" t="s">
        <v>209</v>
      </c>
      <c r="F67" s="17">
        <v>52</v>
      </c>
      <c r="G67" s="18" t="s">
        <v>204</v>
      </c>
      <c r="H67" s="53">
        <v>6.7199999999999996E-2</v>
      </c>
    </row>
    <row r="68" spans="1:9" x14ac:dyDescent="0.35">
      <c r="A68" s="20" t="s">
        <v>142</v>
      </c>
      <c r="B68" s="17">
        <v>40</v>
      </c>
      <c r="C68" s="18" t="s">
        <v>145</v>
      </c>
      <c r="D68" s="17">
        <v>44</v>
      </c>
      <c r="E68" s="18" t="s">
        <v>208</v>
      </c>
      <c r="F68" s="55">
        <v>34.5</v>
      </c>
      <c r="G68" s="18" t="s">
        <v>205</v>
      </c>
      <c r="H68" s="53">
        <v>6.8999999999999999E-3</v>
      </c>
    </row>
    <row r="69" spans="1:9" x14ac:dyDescent="0.35">
      <c r="A69" s="20" t="s">
        <v>143</v>
      </c>
      <c r="B69" s="17">
        <v>88</v>
      </c>
      <c r="C69" s="18" t="s">
        <v>146</v>
      </c>
      <c r="D69" s="17">
        <v>87.2</v>
      </c>
      <c r="E69" s="18" t="s">
        <v>207</v>
      </c>
      <c r="F69" s="17">
        <v>58</v>
      </c>
      <c r="G69" s="18" t="s">
        <v>206</v>
      </c>
      <c r="H69" s="53">
        <v>0.72060000000000002</v>
      </c>
    </row>
    <row r="70" spans="1:9" ht="16.5" x14ac:dyDescent="0.35">
      <c r="A70" s="20" t="s">
        <v>210</v>
      </c>
      <c r="B70" s="17">
        <v>29.5</v>
      </c>
      <c r="C70" s="18" t="s">
        <v>168</v>
      </c>
      <c r="D70" s="17">
        <v>33</v>
      </c>
      <c r="E70" s="18" t="s">
        <v>212</v>
      </c>
      <c r="F70" s="17">
        <v>24</v>
      </c>
      <c r="G70" s="17" t="s">
        <v>213</v>
      </c>
      <c r="H70" s="53">
        <v>0.65229999999999999</v>
      </c>
    </row>
    <row r="71" spans="1:9" s="6" customFormat="1" x14ac:dyDescent="0.35">
      <c r="A71" s="27" t="s">
        <v>75</v>
      </c>
      <c r="B71" s="17"/>
      <c r="C71" s="18"/>
      <c r="D71" s="17"/>
      <c r="E71" s="18"/>
      <c r="F71" s="17"/>
      <c r="G71" s="18"/>
      <c r="H71" s="53"/>
      <c r="I71" s="7"/>
    </row>
    <row r="72" spans="1:9" s="6" customFormat="1" x14ac:dyDescent="0.35">
      <c r="A72" s="8" t="s">
        <v>72</v>
      </c>
      <c r="B72" s="17">
        <v>1660</v>
      </c>
      <c r="C72" s="18">
        <f t="shared" ref="C72:C77" si="12">B72/1850</f>
        <v>0.89729729729729735</v>
      </c>
      <c r="D72" s="17">
        <v>824</v>
      </c>
      <c r="E72" s="18">
        <f t="shared" ref="E72:E77" si="13">D72/968</f>
        <v>0.85123966942148765</v>
      </c>
      <c r="F72" s="17">
        <v>836</v>
      </c>
      <c r="G72" s="18">
        <f t="shared" ref="G72:G86" si="14">F72/882</f>
        <v>0.94784580498866211</v>
      </c>
      <c r="H72" s="53" t="s">
        <v>192</v>
      </c>
      <c r="I72" s="7"/>
    </row>
    <row r="73" spans="1:9" s="6" customFormat="1" x14ac:dyDescent="0.35">
      <c r="A73" s="20" t="s">
        <v>82</v>
      </c>
      <c r="B73" s="17">
        <v>284</v>
      </c>
      <c r="C73" s="18">
        <f t="shared" si="12"/>
        <v>0.1535135135135135</v>
      </c>
      <c r="D73" s="17">
        <v>143</v>
      </c>
      <c r="E73" s="18">
        <f t="shared" si="13"/>
        <v>0.14772727272727273</v>
      </c>
      <c r="F73" s="17">
        <v>141</v>
      </c>
      <c r="G73" s="18">
        <f t="shared" si="14"/>
        <v>0.1598639455782313</v>
      </c>
      <c r="H73" s="53">
        <v>0.46949999999999997</v>
      </c>
      <c r="I73" s="7"/>
    </row>
    <row r="74" spans="1:9" s="6" customFormat="1" x14ac:dyDescent="0.35">
      <c r="A74" s="20" t="s">
        <v>81</v>
      </c>
      <c r="B74" s="17">
        <v>1273</v>
      </c>
      <c r="C74" s="18">
        <f t="shared" si="12"/>
        <v>0.68810810810810807</v>
      </c>
      <c r="D74" s="17">
        <v>617</v>
      </c>
      <c r="E74" s="18">
        <f t="shared" si="13"/>
        <v>0.63739669421487599</v>
      </c>
      <c r="F74" s="17">
        <v>656</v>
      </c>
      <c r="G74" s="18">
        <f t="shared" si="14"/>
        <v>0.74376417233560088</v>
      </c>
      <c r="H74" s="53" t="s">
        <v>192</v>
      </c>
      <c r="I74" s="7"/>
    </row>
    <row r="75" spans="1:9" s="6" customFormat="1" x14ac:dyDescent="0.35">
      <c r="A75" s="20" t="s">
        <v>80</v>
      </c>
      <c r="B75" s="17">
        <v>113</v>
      </c>
      <c r="C75" s="18">
        <f t="shared" si="12"/>
        <v>6.1081081081081082E-2</v>
      </c>
      <c r="D75" s="17">
        <v>68</v>
      </c>
      <c r="E75" s="18">
        <f t="shared" si="13"/>
        <v>7.0247933884297523E-2</v>
      </c>
      <c r="F75" s="17">
        <v>45</v>
      </c>
      <c r="G75" s="18">
        <f t="shared" si="14"/>
        <v>5.1020408163265307E-2</v>
      </c>
      <c r="H75" s="53">
        <v>8.4599999999999995E-2</v>
      </c>
      <c r="I75" s="7"/>
    </row>
    <row r="76" spans="1:9" s="6" customFormat="1" x14ac:dyDescent="0.35">
      <c r="A76" s="8" t="s">
        <v>73</v>
      </c>
      <c r="B76" s="17">
        <v>1281</v>
      </c>
      <c r="C76" s="18">
        <f t="shared" si="12"/>
        <v>0.69243243243243247</v>
      </c>
      <c r="D76" s="17">
        <v>636</v>
      </c>
      <c r="E76" s="18">
        <f t="shared" si="13"/>
        <v>0.65702479338842978</v>
      </c>
      <c r="F76" s="17">
        <v>645</v>
      </c>
      <c r="G76" s="18">
        <f t="shared" si="14"/>
        <v>0.73129251700680276</v>
      </c>
      <c r="H76" s="53" t="s">
        <v>192</v>
      </c>
      <c r="I76" s="7"/>
    </row>
    <row r="77" spans="1:9" s="6" customFormat="1" x14ac:dyDescent="0.35">
      <c r="A77" s="8" t="s">
        <v>74</v>
      </c>
      <c r="B77" s="17">
        <v>1465</v>
      </c>
      <c r="C77" s="18">
        <f t="shared" si="12"/>
        <v>0.79189189189189191</v>
      </c>
      <c r="D77" s="17">
        <v>682</v>
      </c>
      <c r="E77" s="18">
        <f t="shared" si="13"/>
        <v>0.70454545454545459</v>
      </c>
      <c r="F77" s="17">
        <v>783</v>
      </c>
      <c r="G77" s="18">
        <f t="shared" si="14"/>
        <v>0.88775510204081631</v>
      </c>
      <c r="H77" s="53" t="s">
        <v>192</v>
      </c>
      <c r="I77" s="7"/>
    </row>
    <row r="78" spans="1:9" s="6" customFormat="1" x14ac:dyDescent="0.35">
      <c r="A78" s="27" t="s">
        <v>59</v>
      </c>
      <c r="B78" s="17"/>
      <c r="C78" s="18"/>
      <c r="D78" s="17"/>
      <c r="E78" s="18"/>
      <c r="F78" s="17"/>
      <c r="G78" s="18"/>
      <c r="H78" s="53"/>
      <c r="I78" s="8"/>
    </row>
    <row r="79" spans="1:9" s="6" customFormat="1" x14ac:dyDescent="0.35">
      <c r="A79" s="8" t="s">
        <v>137</v>
      </c>
      <c r="B79" s="17">
        <v>17</v>
      </c>
      <c r="C79" s="18" t="s">
        <v>140</v>
      </c>
      <c r="D79" s="17">
        <v>14</v>
      </c>
      <c r="E79" s="18" t="s">
        <v>202</v>
      </c>
      <c r="F79" s="17">
        <v>22</v>
      </c>
      <c r="G79" s="18" t="s">
        <v>203</v>
      </c>
      <c r="H79" s="53" t="s">
        <v>192</v>
      </c>
      <c r="I79" s="8"/>
    </row>
    <row r="80" spans="1:9" s="6" customFormat="1" x14ac:dyDescent="0.35">
      <c r="A80" s="8" t="s">
        <v>60</v>
      </c>
      <c r="B80" s="17">
        <v>1030</v>
      </c>
      <c r="C80" s="18">
        <f t="shared" ref="C80:C86" si="15">B80/1850</f>
        <v>0.55675675675675673</v>
      </c>
      <c r="D80" s="17">
        <v>528</v>
      </c>
      <c r="E80" s="18">
        <f t="shared" ref="E80:E86" si="16">D80/968</f>
        <v>0.54545454545454541</v>
      </c>
      <c r="F80" s="17">
        <v>502</v>
      </c>
      <c r="G80" s="18">
        <f t="shared" si="14"/>
        <v>0.56916099773242634</v>
      </c>
      <c r="H80" s="53">
        <v>0.30530000000000002</v>
      </c>
      <c r="I80" s="8"/>
    </row>
    <row r="81" spans="1:10" s="6" customFormat="1" x14ac:dyDescent="0.35">
      <c r="A81" s="8" t="s">
        <v>61</v>
      </c>
      <c r="B81" s="17"/>
      <c r="C81" s="18"/>
      <c r="D81" s="17"/>
      <c r="E81" s="18"/>
      <c r="F81" s="17"/>
      <c r="G81" s="18"/>
      <c r="H81" s="53" t="s">
        <v>192</v>
      </c>
      <c r="I81" s="7"/>
    </row>
    <row r="82" spans="1:10" s="6" customFormat="1" x14ac:dyDescent="0.35">
      <c r="A82" s="20" t="s">
        <v>177</v>
      </c>
      <c r="B82" s="17">
        <v>328</v>
      </c>
      <c r="C82" s="18">
        <f t="shared" si="15"/>
        <v>0.17729729729729729</v>
      </c>
      <c r="D82" s="17">
        <v>208</v>
      </c>
      <c r="E82" s="18">
        <f t="shared" si="16"/>
        <v>0.21487603305785125</v>
      </c>
      <c r="F82" s="17">
        <v>120</v>
      </c>
      <c r="G82" s="18">
        <f t="shared" si="14"/>
        <v>0.1360544217687075</v>
      </c>
      <c r="H82" s="53"/>
      <c r="I82" s="7"/>
    </row>
    <row r="83" spans="1:10" s="6" customFormat="1" x14ac:dyDescent="0.35">
      <c r="A83" s="20" t="s">
        <v>62</v>
      </c>
      <c r="B83" s="17">
        <v>967</v>
      </c>
      <c r="C83" s="18">
        <f t="shared" si="15"/>
        <v>0.52270270270270269</v>
      </c>
      <c r="D83" s="17">
        <v>476</v>
      </c>
      <c r="E83" s="18">
        <f t="shared" si="16"/>
        <v>0.49173553719008267</v>
      </c>
      <c r="F83" s="17">
        <v>491</v>
      </c>
      <c r="G83" s="18">
        <f t="shared" si="14"/>
        <v>0.55668934240362811</v>
      </c>
      <c r="H83" s="53"/>
      <c r="I83" s="7"/>
    </row>
    <row r="84" spans="1:10" s="6" customFormat="1" x14ac:dyDescent="0.35">
      <c r="A84" s="20" t="s">
        <v>63</v>
      </c>
      <c r="B84" s="17">
        <v>470</v>
      </c>
      <c r="C84" s="18">
        <f t="shared" si="15"/>
        <v>0.25405405405405407</v>
      </c>
      <c r="D84" s="17">
        <v>233</v>
      </c>
      <c r="E84" s="18">
        <f t="shared" si="16"/>
        <v>0.24070247933884298</v>
      </c>
      <c r="F84" s="17">
        <v>237</v>
      </c>
      <c r="G84" s="18">
        <f t="shared" si="14"/>
        <v>0.2687074829931973</v>
      </c>
      <c r="H84" s="53"/>
      <c r="I84" s="7"/>
    </row>
    <row r="85" spans="1:10" s="6" customFormat="1" x14ac:dyDescent="0.35">
      <c r="A85" s="20" t="s">
        <v>64</v>
      </c>
      <c r="B85" s="17">
        <v>85</v>
      </c>
      <c r="C85" s="18">
        <f t="shared" si="15"/>
        <v>4.5945945945945948E-2</v>
      </c>
      <c r="D85" s="17">
        <v>51</v>
      </c>
      <c r="E85" s="18">
        <f t="shared" si="16"/>
        <v>5.2685950413223138E-2</v>
      </c>
      <c r="F85" s="17">
        <v>34</v>
      </c>
      <c r="G85" s="18">
        <f t="shared" si="14"/>
        <v>3.8548752834467119E-2</v>
      </c>
      <c r="H85" s="53"/>
      <c r="I85" s="7"/>
    </row>
    <row r="86" spans="1:10" s="6" customFormat="1" x14ac:dyDescent="0.35">
      <c r="A86" s="41" t="s">
        <v>132</v>
      </c>
      <c r="B86" s="17">
        <v>136</v>
      </c>
      <c r="C86" s="18">
        <f t="shared" si="15"/>
        <v>7.3513513513513512E-2</v>
      </c>
      <c r="D86" s="17">
        <v>54</v>
      </c>
      <c r="E86" s="18">
        <f t="shared" si="16"/>
        <v>5.578512396694215E-2</v>
      </c>
      <c r="F86" s="17">
        <v>82</v>
      </c>
      <c r="G86" s="18">
        <f t="shared" si="14"/>
        <v>9.297052154195011E-2</v>
      </c>
      <c r="H86" s="53">
        <v>2.2000000000000001E-3</v>
      </c>
    </row>
    <row r="87" spans="1:10" x14ac:dyDescent="0.35">
      <c r="B87" s="21"/>
      <c r="C87" s="22"/>
      <c r="D87" s="21"/>
      <c r="E87" s="22"/>
      <c r="F87" s="21"/>
      <c r="G87" s="22"/>
      <c r="H87" s="54"/>
    </row>
    <row r="88" spans="1:10" x14ac:dyDescent="0.35">
      <c r="A88" s="12" t="s">
        <v>78</v>
      </c>
      <c r="B88" s="21"/>
      <c r="C88" s="22"/>
      <c r="D88" s="21"/>
      <c r="E88" s="22"/>
      <c r="F88" s="21"/>
      <c r="G88" s="22"/>
      <c r="H88" s="54"/>
    </row>
    <row r="89" spans="1:10" x14ac:dyDescent="0.35">
      <c r="A89" s="12" t="s">
        <v>105</v>
      </c>
      <c r="I89" s="1" t="s">
        <v>170</v>
      </c>
    </row>
    <row r="90" spans="1:10" x14ac:dyDescent="0.35">
      <c r="A90" s="11" t="s">
        <v>199</v>
      </c>
      <c r="I90" s="14"/>
    </row>
    <row r="91" spans="1:10" x14ac:dyDescent="0.35">
      <c r="A91" s="11" t="s">
        <v>163</v>
      </c>
      <c r="I91" s="14"/>
    </row>
    <row r="92" spans="1:10" x14ac:dyDescent="0.35">
      <c r="A92" s="11" t="s">
        <v>211</v>
      </c>
    </row>
    <row r="94" spans="1:10" x14ac:dyDescent="0.35">
      <c r="A94" s="49"/>
    </row>
    <row r="95" spans="1:10" x14ac:dyDescent="0.35">
      <c r="A95" s="49"/>
    </row>
    <row r="96" spans="1:10" s="9" customFormat="1" x14ac:dyDescent="0.35">
      <c r="A96" s="49"/>
      <c r="B96" s="14"/>
      <c r="C96" s="15"/>
      <c r="D96" s="14"/>
      <c r="E96" s="15"/>
      <c r="F96" s="14"/>
      <c r="G96" s="15"/>
      <c r="H96" s="50"/>
      <c r="I96" s="1"/>
      <c r="J96"/>
    </row>
  </sheetData>
  <mergeCells count="3">
    <mergeCell ref="B3:C3"/>
    <mergeCell ref="D3:E3"/>
    <mergeCell ref="F3:G3"/>
  </mergeCells>
  <pageMargins left="0.7" right="0.7" top="0.75" bottom="0.75" header="0.3" footer="0.3"/>
  <pageSetup orientation="portrait" r:id="rId1"/>
  <ignoredErrors>
    <ignoredError sqref="C48 E48 G48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399E-CF28-470B-AFF6-DF809677DD18}">
  <dimension ref="A1:M17"/>
  <sheetViews>
    <sheetView tabSelected="1" topLeftCell="A2" workbookViewId="0">
      <selection activeCell="L12" sqref="L12"/>
    </sheetView>
  </sheetViews>
  <sheetFormatPr defaultRowHeight="14.5" x14ac:dyDescent="0.35"/>
  <cols>
    <col min="12" max="12" width="9.6328125" bestFit="1" customWidth="1"/>
  </cols>
  <sheetData>
    <row r="1" spans="1:13" ht="15.5" x14ac:dyDescent="0.35">
      <c r="A1" s="23" t="s">
        <v>215</v>
      </c>
    </row>
    <row r="3" spans="1:13" x14ac:dyDescent="0.35">
      <c r="I3" s="1" t="s">
        <v>220</v>
      </c>
    </row>
    <row r="4" spans="1:13" x14ac:dyDescent="0.35">
      <c r="I4" s="1" t="s">
        <v>218</v>
      </c>
    </row>
    <row r="5" spans="1:13" x14ac:dyDescent="0.35">
      <c r="I5" s="1" t="s">
        <v>219</v>
      </c>
    </row>
    <row r="7" spans="1:13" x14ac:dyDescent="0.35">
      <c r="A7" s="7"/>
    </row>
    <row r="8" spans="1:13" x14ac:dyDescent="0.35">
      <c r="I8" s="5" t="s">
        <v>217</v>
      </c>
    </row>
    <row r="9" spans="1:13" x14ac:dyDescent="0.35">
      <c r="I9" s="56" t="s">
        <v>179</v>
      </c>
    </row>
    <row r="10" spans="1:13" x14ac:dyDescent="0.35">
      <c r="I10" s="57" t="s">
        <v>180</v>
      </c>
    </row>
    <row r="15" spans="1:13" x14ac:dyDescent="0.35">
      <c r="L15" t="s">
        <v>221</v>
      </c>
      <c r="M15" t="s">
        <v>222</v>
      </c>
    </row>
    <row r="16" spans="1:13" x14ac:dyDescent="0.35">
      <c r="L16" t="s">
        <v>223</v>
      </c>
      <c r="M16" t="s">
        <v>224</v>
      </c>
    </row>
    <row r="17" spans="12:12" x14ac:dyDescent="0.35">
      <c r="L17" t="s">
        <v>225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D8E391CA616B44B23AF164F23B7D81" ma:contentTypeVersion="18" ma:contentTypeDescription="Create a new document." ma:contentTypeScope="" ma:versionID="2d4777bcb5267c5cb4710d4ee2b0284f">
  <xsd:schema xmlns:xsd="http://www.w3.org/2001/XMLSchema" xmlns:xs="http://www.w3.org/2001/XMLSchema" xmlns:p="http://schemas.microsoft.com/office/2006/metadata/properties" xmlns:ns2="f33a324a-c761-4556-ab89-22eef2b1ce0b" xmlns:ns3="3b08d87d-7d4b-4797-b7cd-a7c4de1f44ce" targetNamespace="http://schemas.microsoft.com/office/2006/metadata/properties" ma:root="true" ma:fieldsID="bdf1bcf8aafd94c062cc3a7d815c9e76" ns2:_="" ns3:_="">
    <xsd:import namespace="f33a324a-c761-4556-ab89-22eef2b1ce0b"/>
    <xsd:import namespace="3b08d87d-7d4b-4797-b7cd-a7c4de1f44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DateTime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  <xsd:element ref="ns2: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3a324a-c761-4556-ab89-22eef2b1ce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9353dbe8-8260-4ccf-8219-3d2995e6fa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DateTime" ma:index="21" nillable="true" ma:displayName="Date &amp; Time" ma:format="DateOnly" ma:internalName="DateTime">
      <xsd:simpleType>
        <xsd:restriction base="dms:DateTim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Comment" ma:index="25" nillable="true" ma:displayName="Comment" ma:description="abstracts" ma:format="Dropdown" ma:internalName="Comment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08d87d-7d4b-4797-b7cd-a7c4de1f44c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07e9a3b-3001-4d1c-8df8-e1f016a5cd9d}" ma:internalName="TaxCatchAll" ma:showField="CatchAllData" ma:web="3b08d87d-7d4b-4797-b7cd-a7c4de1f44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b08d87d-7d4b-4797-b7cd-a7c4de1f44ce" xsi:nil="true"/>
    <DateTime xmlns="f33a324a-c761-4556-ab89-22eef2b1ce0b" xsi:nil="true"/>
    <Comment xmlns="f33a324a-c761-4556-ab89-22eef2b1ce0b" xsi:nil="true"/>
    <lcf76f155ced4ddcb4097134ff3c332f xmlns="f33a324a-c761-4556-ab89-22eef2b1ce0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50FC7DE-87C7-45AF-BDCE-5B6E312BC2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586D2A0-9F0B-4D5E-A098-A60C30768B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3a324a-c761-4556-ab89-22eef2b1ce0b"/>
    <ds:schemaRef ds:uri="3b08d87d-7d4b-4797-b7cd-a7c4de1f44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3F382BD-29AF-4055-A923-640DF97B9037}">
  <ds:schemaRefs>
    <ds:schemaRef ds:uri="http://schemas.microsoft.com/office/2006/metadata/properties"/>
    <ds:schemaRef ds:uri="http://schemas.microsoft.com/office/infopath/2007/PartnerControls"/>
    <ds:schemaRef ds:uri="3b08d87d-7d4b-4797-b7cd-a7c4de1f44ce"/>
    <ds:schemaRef ds:uri="f33a324a-c761-4556-ab89-22eef2b1ce0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methods etc.</vt:lpstr>
      <vt:lpstr>supp. table 1</vt:lpstr>
      <vt:lpstr>table 1</vt:lpstr>
      <vt:lpstr>table 2</vt:lpstr>
      <vt:lpstr>fig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Benedict, Kaitlin (CDC/DDID/NCEZID/DFWED)</dc:creator>
  <cp:keywords/>
  <dc:description/>
  <cp:lastModifiedBy>Massey, Jason (CDC/NCEZID/DFWED/OD)</cp:lastModifiedBy>
  <cp:revision/>
  <dcterms:created xsi:type="dcterms:W3CDTF">2023-08-16T15:51:07Z</dcterms:created>
  <dcterms:modified xsi:type="dcterms:W3CDTF">2025-01-28T19:31:57Z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94a7b8-f06c-4dfe-bdcc-9b548fd58c31_Enabled">
    <vt:lpwstr>true</vt:lpwstr>
  </property>
  <property fmtid="{D5CDD505-2E9C-101B-9397-08002B2CF9AE}" pid="3" name="MSIP_Label_7b94a7b8-f06c-4dfe-bdcc-9b548fd58c31_SetDate">
    <vt:lpwstr>2023-08-16T15:59:33Z</vt:lpwstr>
  </property>
  <property fmtid="{D5CDD505-2E9C-101B-9397-08002B2CF9AE}" pid="4" name="MSIP_Label_7b94a7b8-f06c-4dfe-bdcc-9b548fd58c31_Method">
    <vt:lpwstr>Privileged</vt:lpwstr>
  </property>
  <property fmtid="{D5CDD505-2E9C-101B-9397-08002B2CF9AE}" pid="5" name="MSIP_Label_7b94a7b8-f06c-4dfe-bdcc-9b548fd58c31_Name">
    <vt:lpwstr>7b94a7b8-f06c-4dfe-bdcc-9b548fd58c31</vt:lpwstr>
  </property>
  <property fmtid="{D5CDD505-2E9C-101B-9397-08002B2CF9AE}" pid="6" name="MSIP_Label_7b94a7b8-f06c-4dfe-bdcc-9b548fd58c31_SiteId">
    <vt:lpwstr>9ce70869-60db-44fd-abe8-d2767077fc8f</vt:lpwstr>
  </property>
  <property fmtid="{D5CDD505-2E9C-101B-9397-08002B2CF9AE}" pid="7" name="MSIP_Label_7b94a7b8-f06c-4dfe-bdcc-9b548fd58c31_ActionId">
    <vt:lpwstr>ec6b8eec-f5d0-4bef-8f3a-9b2249dc2c11</vt:lpwstr>
  </property>
  <property fmtid="{D5CDD505-2E9C-101B-9397-08002B2CF9AE}" pid="8" name="MSIP_Label_7b94a7b8-f06c-4dfe-bdcc-9b548fd58c31_ContentBits">
    <vt:lpwstr>0</vt:lpwstr>
  </property>
  <property fmtid="{D5CDD505-2E9C-101B-9397-08002B2CF9AE}" pid="9" name="ContentTypeId">
    <vt:lpwstr>0x0101003AD8E391CA616B44B23AF164F23B7D81</vt:lpwstr>
  </property>
  <property fmtid="{D5CDD505-2E9C-101B-9397-08002B2CF9AE}" pid="10" name="MediaServiceImageTags">
    <vt:lpwstr/>
  </property>
</Properties>
</file>