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ropbox\WORK\RESEARCH\Ben_black\revision\SCION_1.1.4_revised\forcings\"/>
    </mc:Choice>
  </mc:AlternateContent>
  <xr:revisionPtr revIDLastSave="0" documentId="13_ncr:1_{4208A7AF-416B-4B57-9106-C57032D60A52}" xr6:coauthVersionLast="47" xr6:coauthVersionMax="47" xr10:uidLastSave="{00000000-0000-0000-0000-000000000000}"/>
  <bookViews>
    <workbookView xWindow="28680" yWindow="-120" windowWidth="29040" windowHeight="18240" xr2:uid="{17E20F92-8BA0-9F40-B2AB-244636C7E711}"/>
  </bookViews>
  <sheets>
    <sheet name="Siberian Traps" sheetId="1" r:id="rId1"/>
    <sheet name="Deccan Traps" sheetId="2" r:id="rId2"/>
    <sheet name="NAIP" sheetId="3" r:id="rId3"/>
    <sheet name="Ethiopian Traps" sheetId="5" r:id="rId4"/>
    <sheet name="CRB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6" i="1" l="1"/>
  <c r="S57" i="1"/>
  <c r="S58" i="1"/>
  <c r="S59" i="1"/>
  <c r="S60" i="1"/>
  <c r="S61" i="1"/>
  <c r="S62" i="1"/>
  <c r="S63" i="1"/>
  <c r="S64" i="1"/>
  <c r="S65" i="1"/>
  <c r="S55" i="1"/>
  <c r="R56" i="1"/>
  <c r="R57" i="1"/>
  <c r="R58" i="1"/>
  <c r="R59" i="1"/>
  <c r="R60" i="1"/>
  <c r="R61" i="1"/>
  <c r="R62" i="1"/>
  <c r="R63" i="1"/>
  <c r="R64" i="1"/>
  <c r="R65" i="1"/>
  <c r="R55" i="1"/>
  <c r="S31" i="1"/>
  <c r="S32" i="1"/>
  <c r="S33" i="1"/>
  <c r="S34" i="1"/>
  <c r="S35" i="1"/>
  <c r="S36" i="1"/>
  <c r="S37" i="1"/>
  <c r="S38" i="1"/>
  <c r="S39" i="1"/>
  <c r="S40" i="1"/>
  <c r="S30" i="1"/>
  <c r="R31" i="1"/>
  <c r="R32" i="1"/>
  <c r="R33" i="1"/>
  <c r="R34" i="1"/>
  <c r="R35" i="1"/>
  <c r="R36" i="1"/>
  <c r="R37" i="1"/>
  <c r="R38" i="1"/>
  <c r="R39" i="1"/>
  <c r="R40" i="1"/>
  <c r="R30" i="1"/>
  <c r="S6" i="1"/>
  <c r="S7" i="1"/>
  <c r="S8" i="1"/>
  <c r="S9" i="1"/>
  <c r="S10" i="1"/>
  <c r="S11" i="1"/>
  <c r="S12" i="1"/>
  <c r="S13" i="1"/>
  <c r="S14" i="1"/>
  <c r="S15" i="1"/>
  <c r="S5" i="1"/>
  <c r="R7" i="1"/>
  <c r="R8" i="1"/>
  <c r="R9" i="1"/>
  <c r="R10" i="1"/>
  <c r="R11" i="1"/>
  <c r="R12" i="1"/>
  <c r="R13" i="1"/>
  <c r="R14" i="1"/>
  <c r="R15" i="1"/>
  <c r="R6" i="1"/>
  <c r="R5" i="1"/>
  <c r="R95" i="1"/>
  <c r="S95" i="1"/>
  <c r="R86" i="1"/>
  <c r="S86" i="1"/>
  <c r="R77" i="1"/>
  <c r="S77" i="1"/>
  <c r="E68" i="1" l="1"/>
  <c r="E43" i="1"/>
  <c r="E18" i="1"/>
  <c r="E6" i="1"/>
  <c r="G6" i="1" s="1"/>
  <c r="O6" i="1" s="1"/>
  <c r="E7" i="1"/>
  <c r="G7" i="1" s="1"/>
  <c r="O7" i="1" s="1"/>
  <c r="E8" i="1"/>
  <c r="E9" i="1"/>
  <c r="E10" i="1"/>
  <c r="E11" i="1"/>
  <c r="E12" i="1"/>
  <c r="E13" i="1"/>
  <c r="E14" i="1"/>
  <c r="E15" i="1"/>
  <c r="E5" i="1"/>
  <c r="G5" i="1" s="1"/>
  <c r="O5" i="1" s="1"/>
  <c r="E56" i="1"/>
  <c r="G56" i="1" s="1"/>
  <c r="O56" i="1" s="1"/>
  <c r="E57" i="1"/>
  <c r="E58" i="1"/>
  <c r="E59" i="1"/>
  <c r="E60" i="1"/>
  <c r="E61" i="1"/>
  <c r="E62" i="1"/>
  <c r="E63" i="1"/>
  <c r="E64" i="1"/>
  <c r="E65" i="1"/>
  <c r="E55" i="1"/>
  <c r="G55" i="1" s="1"/>
  <c r="O55" i="1" s="1"/>
  <c r="E31" i="1"/>
  <c r="G31" i="1" s="1"/>
  <c r="O31" i="1" s="1"/>
  <c r="E32" i="1"/>
  <c r="E33" i="1"/>
  <c r="E34" i="1"/>
  <c r="G34" i="1" s="1"/>
  <c r="O34" i="1" s="1"/>
  <c r="E35" i="1"/>
  <c r="G35" i="1" s="1"/>
  <c r="O35" i="1" s="1"/>
  <c r="E36" i="1"/>
  <c r="G36" i="1" s="1"/>
  <c r="O36" i="1" s="1"/>
  <c r="E37" i="1"/>
  <c r="G37" i="1" s="1"/>
  <c r="O37" i="1" s="1"/>
  <c r="E38" i="1"/>
  <c r="E39" i="1"/>
  <c r="E40" i="1"/>
  <c r="E30" i="1"/>
  <c r="G30" i="1" s="1"/>
  <c r="O30" i="1" s="1"/>
  <c r="H18" i="1"/>
  <c r="H68" i="1"/>
  <c r="H43" i="1"/>
  <c r="M32" i="5"/>
  <c r="J100" i="1"/>
  <c r="I100" i="1"/>
  <c r="H100" i="1"/>
  <c r="E100" i="1"/>
  <c r="P99" i="1"/>
  <c r="O99" i="1"/>
  <c r="E99" i="1"/>
  <c r="J98" i="1"/>
  <c r="I98" i="1"/>
  <c r="H98" i="1"/>
  <c r="E98" i="1"/>
  <c r="J91" i="1"/>
  <c r="I91" i="1"/>
  <c r="H91" i="1"/>
  <c r="E91" i="1"/>
  <c r="P90" i="1"/>
  <c r="O90" i="1"/>
  <c r="E90" i="1"/>
  <c r="J89" i="1"/>
  <c r="I89" i="1"/>
  <c r="H89" i="1"/>
  <c r="E89" i="1"/>
  <c r="J82" i="1"/>
  <c r="I82" i="1"/>
  <c r="H82" i="1"/>
  <c r="E82" i="1"/>
  <c r="P81" i="1"/>
  <c r="O81" i="1"/>
  <c r="E81" i="1"/>
  <c r="J80" i="1"/>
  <c r="I80" i="1"/>
  <c r="H80" i="1"/>
  <c r="E80" i="1"/>
  <c r="H73" i="1"/>
  <c r="E73" i="1"/>
  <c r="H72" i="1"/>
  <c r="E72" i="1"/>
  <c r="H71" i="1"/>
  <c r="E71" i="1"/>
  <c r="H70" i="1"/>
  <c r="E70" i="1"/>
  <c r="J69" i="1"/>
  <c r="I69" i="1"/>
  <c r="H69" i="1"/>
  <c r="E69" i="1"/>
  <c r="J67" i="1"/>
  <c r="I67" i="1"/>
  <c r="H67" i="1"/>
  <c r="E67" i="1"/>
  <c r="J66" i="1"/>
  <c r="I66" i="1"/>
  <c r="H66" i="1"/>
  <c r="E66" i="1"/>
  <c r="I65" i="1"/>
  <c r="G65" i="1"/>
  <c r="O65" i="1" s="1"/>
  <c r="I64" i="1"/>
  <c r="G64" i="1"/>
  <c r="O64" i="1" s="1"/>
  <c r="I63" i="1"/>
  <c r="G63" i="1"/>
  <c r="O63" i="1" s="1"/>
  <c r="I62" i="1"/>
  <c r="G62" i="1"/>
  <c r="O62" i="1" s="1"/>
  <c r="I61" i="1"/>
  <c r="G61" i="1"/>
  <c r="O61" i="1" s="1"/>
  <c r="I60" i="1"/>
  <c r="G60" i="1"/>
  <c r="O60" i="1" s="1"/>
  <c r="I59" i="1"/>
  <c r="G59" i="1"/>
  <c r="O59" i="1" s="1"/>
  <c r="I58" i="1"/>
  <c r="G58" i="1"/>
  <c r="O58" i="1" s="1"/>
  <c r="I57" i="1"/>
  <c r="G57" i="1"/>
  <c r="O57" i="1" s="1"/>
  <c r="I56" i="1"/>
  <c r="I55" i="1"/>
  <c r="H48" i="1"/>
  <c r="E48" i="1"/>
  <c r="H47" i="1"/>
  <c r="E47" i="1"/>
  <c r="H46" i="1"/>
  <c r="E46" i="1"/>
  <c r="H45" i="1"/>
  <c r="E45" i="1"/>
  <c r="J44" i="1"/>
  <c r="I44" i="1"/>
  <c r="H44" i="1"/>
  <c r="E44" i="1"/>
  <c r="J42" i="1"/>
  <c r="I42" i="1"/>
  <c r="H42" i="1"/>
  <c r="E42" i="1"/>
  <c r="J41" i="1"/>
  <c r="I41" i="1"/>
  <c r="H41" i="1"/>
  <c r="E41" i="1"/>
  <c r="I40" i="1"/>
  <c r="G40" i="1"/>
  <c r="O40" i="1" s="1"/>
  <c r="I39" i="1"/>
  <c r="G39" i="1"/>
  <c r="O39" i="1" s="1"/>
  <c r="I38" i="1"/>
  <c r="G38" i="1"/>
  <c r="O38" i="1" s="1"/>
  <c r="I37" i="1"/>
  <c r="I36" i="1"/>
  <c r="I35" i="1"/>
  <c r="I34" i="1"/>
  <c r="I33" i="1"/>
  <c r="G33" i="1"/>
  <c r="O33" i="1" s="1"/>
  <c r="I32" i="1"/>
  <c r="G32" i="1"/>
  <c r="O32" i="1" s="1"/>
  <c r="I31" i="1"/>
  <c r="I30" i="1"/>
  <c r="H23" i="1"/>
  <c r="E23" i="1"/>
  <c r="H22" i="1"/>
  <c r="E22" i="1"/>
  <c r="H21" i="1"/>
  <c r="E21" i="1"/>
  <c r="H20" i="1"/>
  <c r="E20" i="1"/>
  <c r="J19" i="1"/>
  <c r="I19" i="1"/>
  <c r="H19" i="1"/>
  <c r="E19" i="1"/>
  <c r="J17" i="1"/>
  <c r="I17" i="1"/>
  <c r="H17" i="1"/>
  <c r="E17" i="1"/>
  <c r="J16" i="1"/>
  <c r="I16" i="1"/>
  <c r="H16" i="1"/>
  <c r="E16" i="1"/>
  <c r="I15" i="1"/>
  <c r="G15" i="1"/>
  <c r="O15" i="1" s="1"/>
  <c r="I14" i="1"/>
  <c r="G14" i="1"/>
  <c r="O14" i="1" s="1"/>
  <c r="I13" i="1"/>
  <c r="G13" i="1"/>
  <c r="O13" i="1" s="1"/>
  <c r="I12" i="1"/>
  <c r="G12" i="1"/>
  <c r="O12" i="1" s="1"/>
  <c r="I11" i="1"/>
  <c r="G11" i="1"/>
  <c r="O11" i="1" s="1"/>
  <c r="I10" i="1"/>
  <c r="G10" i="1"/>
  <c r="O10" i="1" s="1"/>
  <c r="I9" i="1"/>
  <c r="G9" i="1"/>
  <c r="O9" i="1" s="1"/>
  <c r="I8" i="1"/>
  <c r="G8" i="1"/>
  <c r="O8" i="1" s="1"/>
  <c r="I7" i="1"/>
  <c r="I6" i="1"/>
  <c r="I5" i="1"/>
  <c r="H43" i="2"/>
  <c r="F43" i="2"/>
  <c r="K43" i="2" s="1"/>
  <c r="H42" i="2"/>
  <c r="L42" i="2" s="1"/>
  <c r="F42" i="2"/>
  <c r="K42" i="2" s="1"/>
  <c r="L41" i="2"/>
  <c r="H41" i="2"/>
  <c r="F41" i="2"/>
  <c r="K41" i="2" s="1"/>
  <c r="H40" i="2"/>
  <c r="L40" i="2" s="1"/>
  <c r="F40" i="2"/>
  <c r="K40" i="2" s="1"/>
  <c r="H39" i="2"/>
  <c r="F39" i="2"/>
  <c r="K39" i="2" s="1"/>
  <c r="H38" i="2"/>
  <c r="F38" i="2"/>
  <c r="K38" i="2" s="1"/>
  <c r="H37" i="2"/>
  <c r="F37" i="2"/>
  <c r="K37" i="2" s="1"/>
  <c r="L36" i="2"/>
  <c r="K36" i="2"/>
  <c r="H36" i="2"/>
  <c r="F36" i="2"/>
  <c r="H35" i="2"/>
  <c r="F35" i="2"/>
  <c r="K35" i="2" s="1"/>
  <c r="H34" i="2"/>
  <c r="F34" i="2"/>
  <c r="K34" i="2" s="1"/>
  <c r="H33" i="2"/>
  <c r="L33" i="2" s="1"/>
  <c r="F33" i="2"/>
  <c r="K33" i="2" s="1"/>
  <c r="L97" i="1"/>
  <c r="K97" i="1"/>
  <c r="G97" i="1"/>
  <c r="F97" i="1"/>
  <c r="I97" i="1" s="1"/>
  <c r="E97" i="1"/>
  <c r="J96" i="1"/>
  <c r="P96" i="1" s="1"/>
  <c r="I96" i="1"/>
  <c r="O96" i="1" s="1"/>
  <c r="E96" i="1"/>
  <c r="L94" i="1"/>
  <c r="K94" i="1"/>
  <c r="G94" i="1"/>
  <c r="J94" i="1" s="1"/>
  <c r="F94" i="1"/>
  <c r="I94" i="1" s="1"/>
  <c r="E94" i="1"/>
  <c r="L54" i="1"/>
  <c r="K54" i="1"/>
  <c r="G54" i="1"/>
  <c r="F54" i="1"/>
  <c r="I54" i="1" s="1"/>
  <c r="E54" i="1"/>
  <c r="J53" i="1"/>
  <c r="P53" i="1" s="1"/>
  <c r="I53" i="1"/>
  <c r="O53" i="1" s="1"/>
  <c r="E53" i="1"/>
  <c r="L52" i="1"/>
  <c r="K52" i="1"/>
  <c r="G52" i="1"/>
  <c r="J52" i="1" s="1"/>
  <c r="F52" i="1"/>
  <c r="I52" i="1" s="1"/>
  <c r="E52" i="1"/>
  <c r="I33" i="3"/>
  <c r="H33" i="3"/>
  <c r="G33" i="3"/>
  <c r="L33" i="3" s="1"/>
  <c r="D33" i="3"/>
  <c r="M32" i="3"/>
  <c r="L32" i="3"/>
  <c r="D32" i="3"/>
  <c r="I31" i="3"/>
  <c r="M31" i="3" s="1"/>
  <c r="H31" i="3"/>
  <c r="G31" i="3"/>
  <c r="D31" i="3"/>
  <c r="I14" i="3"/>
  <c r="H14" i="3"/>
  <c r="G14" i="3"/>
  <c r="D14" i="3"/>
  <c r="I13" i="3"/>
  <c r="H13" i="3"/>
  <c r="G13" i="3"/>
  <c r="D13" i="3"/>
  <c r="G23" i="4"/>
  <c r="M23" i="4" s="1"/>
  <c r="D23" i="4"/>
  <c r="M22" i="4"/>
  <c r="G22" i="4"/>
  <c r="L22" i="4" s="1"/>
  <c r="D22" i="4"/>
  <c r="G21" i="4"/>
  <c r="L21" i="4" s="1"/>
  <c r="D21" i="4"/>
  <c r="G20" i="4"/>
  <c r="M20" i="4" s="1"/>
  <c r="D20" i="4"/>
  <c r="I19" i="4"/>
  <c r="H19" i="4"/>
  <c r="G19" i="4"/>
  <c r="D19" i="4"/>
  <c r="G32" i="5"/>
  <c r="D32" i="5"/>
  <c r="G27" i="5"/>
  <c r="M27" i="5" s="1"/>
  <c r="D27" i="5"/>
  <c r="M22" i="5"/>
  <c r="G22" i="5"/>
  <c r="L22" i="5" s="1"/>
  <c r="D22" i="5"/>
  <c r="E13" i="5"/>
  <c r="D13" i="5"/>
  <c r="F12" i="5"/>
  <c r="E12" i="5"/>
  <c r="F11" i="5"/>
  <c r="F13" i="5" s="1"/>
  <c r="E11" i="5"/>
  <c r="F10" i="5"/>
  <c r="E10" i="5"/>
  <c r="F9" i="5"/>
  <c r="E9" i="5"/>
  <c r="N18" i="1" l="1"/>
  <c r="N43" i="1"/>
  <c r="M18" i="1"/>
  <c r="N68" i="1"/>
  <c r="M68" i="1"/>
  <c r="M43" i="1"/>
  <c r="R81" i="1"/>
  <c r="S96" i="1"/>
  <c r="S99" i="1"/>
  <c r="R96" i="1"/>
  <c r="S81" i="1"/>
  <c r="R99" i="1"/>
  <c r="R53" i="1"/>
  <c r="S53" i="1"/>
  <c r="R90" i="1"/>
  <c r="S90" i="1"/>
  <c r="P64" i="1"/>
  <c r="P55" i="1"/>
  <c r="P65" i="1"/>
  <c r="P60" i="1"/>
  <c r="P63" i="1"/>
  <c r="P56" i="1"/>
  <c r="P58" i="1"/>
  <c r="P59" i="1"/>
  <c r="P61" i="1"/>
  <c r="P62" i="1"/>
  <c r="P57" i="1"/>
  <c r="P38" i="1"/>
  <c r="P39" i="1"/>
  <c r="P33" i="1"/>
  <c r="P40" i="1"/>
  <c r="P34" i="1"/>
  <c r="P35" i="1"/>
  <c r="P31" i="1"/>
  <c r="P36" i="1"/>
  <c r="P37" i="1"/>
  <c r="P30" i="1"/>
  <c r="P32" i="1"/>
  <c r="P5" i="1"/>
  <c r="P8" i="1"/>
  <c r="P12" i="1"/>
  <c r="P9" i="1"/>
  <c r="P15" i="1"/>
  <c r="P14" i="1"/>
  <c r="P6" i="1"/>
  <c r="P11" i="1"/>
  <c r="P7" i="1"/>
  <c r="P10" i="1"/>
  <c r="P13" i="1"/>
  <c r="O94" i="1"/>
  <c r="R94" i="1" s="1"/>
  <c r="P52" i="1"/>
  <c r="S52" i="1" s="1"/>
  <c r="P94" i="1"/>
  <c r="S94" i="1" s="1"/>
  <c r="L23" i="4"/>
  <c r="M21" i="4"/>
  <c r="M19" i="4"/>
  <c r="L19" i="4"/>
  <c r="L31" i="3"/>
  <c r="L37" i="2"/>
  <c r="L35" i="2"/>
  <c r="L39" i="2"/>
  <c r="L43" i="2"/>
  <c r="L34" i="2"/>
  <c r="L38" i="2"/>
  <c r="O97" i="1"/>
  <c r="R97" i="1" s="1"/>
  <c r="J97" i="1"/>
  <c r="P97" i="1" s="1"/>
  <c r="S97" i="1" s="1"/>
  <c r="O52" i="1"/>
  <c r="R52" i="1" s="1"/>
  <c r="O54" i="1"/>
  <c r="R54" i="1" s="1"/>
  <c r="J54" i="1"/>
  <c r="P54" i="1" s="1"/>
  <c r="S54" i="1" s="1"/>
  <c r="L13" i="3"/>
  <c r="L14" i="3"/>
  <c r="M14" i="3"/>
  <c r="M13" i="3"/>
  <c r="M33" i="3"/>
  <c r="L20" i="4"/>
  <c r="L27" i="5"/>
  <c r="L32" i="5"/>
  <c r="L19" i="2"/>
  <c r="L5" i="2"/>
  <c r="K5" i="2"/>
  <c r="L88" i="1"/>
  <c r="K88" i="1"/>
  <c r="G88" i="1"/>
  <c r="F88" i="1"/>
  <c r="I88" i="1" s="1"/>
  <c r="E88" i="1"/>
  <c r="J87" i="1"/>
  <c r="P87" i="1" s="1"/>
  <c r="I87" i="1"/>
  <c r="O87" i="1" s="1"/>
  <c r="E87" i="1"/>
  <c r="L85" i="1"/>
  <c r="K85" i="1"/>
  <c r="G85" i="1"/>
  <c r="J85" i="1" s="1"/>
  <c r="F85" i="1"/>
  <c r="I85" i="1" s="1"/>
  <c r="E85" i="1"/>
  <c r="M26" i="3"/>
  <c r="L26" i="3"/>
  <c r="D26" i="3"/>
  <c r="I27" i="3"/>
  <c r="H27" i="3"/>
  <c r="G27" i="3"/>
  <c r="D27" i="3"/>
  <c r="I25" i="3"/>
  <c r="H25" i="3"/>
  <c r="G25" i="3"/>
  <c r="D25" i="3"/>
  <c r="G15" i="4"/>
  <c r="M15" i="4" s="1"/>
  <c r="D15" i="4"/>
  <c r="G14" i="4"/>
  <c r="M14" i="4" s="1"/>
  <c r="D14" i="4"/>
  <c r="G13" i="4"/>
  <c r="L13" i="4" s="1"/>
  <c r="D13" i="4"/>
  <c r="G12" i="4"/>
  <c r="M12" i="4" s="1"/>
  <c r="D12" i="4"/>
  <c r="I11" i="4"/>
  <c r="H11" i="4"/>
  <c r="G11" i="4"/>
  <c r="D11" i="4"/>
  <c r="I3" i="4"/>
  <c r="M3" i="4" s="1"/>
  <c r="H3" i="4"/>
  <c r="L3" i="4" s="1"/>
  <c r="G4" i="4"/>
  <c r="M4" i="4" s="1"/>
  <c r="G5" i="4"/>
  <c r="L5" i="4" s="1"/>
  <c r="G6" i="4"/>
  <c r="M6" i="4" s="1"/>
  <c r="G7" i="4"/>
  <c r="L7" i="4" s="1"/>
  <c r="G3" i="4"/>
  <c r="D7" i="4"/>
  <c r="D6" i="4"/>
  <c r="D5" i="4"/>
  <c r="D4" i="4"/>
  <c r="D3" i="4"/>
  <c r="L20" i="3"/>
  <c r="M20" i="3"/>
  <c r="I9" i="3"/>
  <c r="H9" i="3"/>
  <c r="G9" i="3"/>
  <c r="D9" i="3"/>
  <c r="I8" i="3"/>
  <c r="H8" i="3"/>
  <c r="G8" i="3"/>
  <c r="D8" i="3"/>
  <c r="I21" i="3"/>
  <c r="H21" i="3"/>
  <c r="G21" i="3"/>
  <c r="D21" i="3"/>
  <c r="D20" i="3"/>
  <c r="I19" i="3"/>
  <c r="H19" i="3"/>
  <c r="G19" i="3"/>
  <c r="D19" i="3"/>
  <c r="G4" i="3"/>
  <c r="G3" i="3"/>
  <c r="H4" i="3"/>
  <c r="I4" i="3"/>
  <c r="H3" i="3"/>
  <c r="I3" i="3"/>
  <c r="D4" i="3"/>
  <c r="D3" i="3"/>
  <c r="S87" i="1" l="1"/>
  <c r="R87" i="1"/>
  <c r="O85" i="1"/>
  <c r="R85" i="1" s="1"/>
  <c r="L19" i="3"/>
  <c r="L3" i="3"/>
  <c r="P85" i="1"/>
  <c r="S85" i="1" s="1"/>
  <c r="O88" i="1"/>
  <c r="R88" i="1" s="1"/>
  <c r="J88" i="1"/>
  <c r="P88" i="1" s="1"/>
  <c r="S88" i="1" s="1"/>
  <c r="L25" i="3"/>
  <c r="M25" i="3"/>
  <c r="L27" i="3"/>
  <c r="M27" i="3"/>
  <c r="M7" i="4"/>
  <c r="M21" i="3"/>
  <c r="L21" i="3"/>
  <c r="L6" i="4"/>
  <c r="M13" i="4"/>
  <c r="M4" i="3"/>
  <c r="M5" i="4"/>
  <c r="L4" i="4"/>
  <c r="M3" i="3"/>
  <c r="L15" i="4"/>
  <c r="M11" i="4"/>
  <c r="L11" i="4"/>
  <c r="L14" i="4"/>
  <c r="L12" i="4"/>
  <c r="L8" i="3"/>
  <c r="L9" i="3"/>
  <c r="L4" i="3"/>
  <c r="M19" i="3"/>
  <c r="M8" i="3"/>
  <c r="M9" i="3"/>
  <c r="H29" i="2"/>
  <c r="F29" i="2"/>
  <c r="L29" i="2" s="1"/>
  <c r="H28" i="2"/>
  <c r="F28" i="2"/>
  <c r="K28" i="2" s="1"/>
  <c r="H27" i="2"/>
  <c r="F27" i="2"/>
  <c r="L27" i="2" s="1"/>
  <c r="H26" i="2"/>
  <c r="F26" i="2"/>
  <c r="K26" i="2" s="1"/>
  <c r="H25" i="2"/>
  <c r="F25" i="2"/>
  <c r="K25" i="2" s="1"/>
  <c r="H24" i="2"/>
  <c r="F24" i="2"/>
  <c r="L24" i="2" s="1"/>
  <c r="H23" i="2"/>
  <c r="F23" i="2"/>
  <c r="K23" i="2" s="1"/>
  <c r="H22" i="2"/>
  <c r="F22" i="2"/>
  <c r="K22" i="2" s="1"/>
  <c r="H21" i="2"/>
  <c r="F21" i="2"/>
  <c r="K21" i="2" s="1"/>
  <c r="H20" i="2"/>
  <c r="F20" i="2"/>
  <c r="K20" i="2" s="1"/>
  <c r="H19" i="2"/>
  <c r="F19" i="2"/>
  <c r="H6" i="2"/>
  <c r="H7" i="2"/>
  <c r="H8" i="2"/>
  <c r="H9" i="2"/>
  <c r="H10" i="2"/>
  <c r="H11" i="2"/>
  <c r="H12" i="2"/>
  <c r="H13" i="2"/>
  <c r="H14" i="2"/>
  <c r="H15" i="2"/>
  <c r="H5" i="2"/>
  <c r="F6" i="2"/>
  <c r="K6" i="2" s="1"/>
  <c r="F7" i="2"/>
  <c r="K7" i="2" s="1"/>
  <c r="F8" i="2"/>
  <c r="L8" i="2" s="1"/>
  <c r="F9" i="2"/>
  <c r="K9" i="2" s="1"/>
  <c r="F10" i="2"/>
  <c r="K10" i="2" s="1"/>
  <c r="F11" i="2"/>
  <c r="K11" i="2" s="1"/>
  <c r="F12" i="2"/>
  <c r="K12" i="2" s="1"/>
  <c r="F13" i="2"/>
  <c r="K13" i="2" s="1"/>
  <c r="F14" i="2"/>
  <c r="K14" i="2" s="1"/>
  <c r="F15" i="2"/>
  <c r="K15" i="2" s="1"/>
  <c r="F5" i="2"/>
  <c r="L79" i="1"/>
  <c r="K79" i="1"/>
  <c r="G79" i="1"/>
  <c r="F79" i="1"/>
  <c r="E79" i="1"/>
  <c r="J78" i="1"/>
  <c r="P78" i="1" s="1"/>
  <c r="I78" i="1"/>
  <c r="O78" i="1" s="1"/>
  <c r="E78" i="1"/>
  <c r="L76" i="1"/>
  <c r="K76" i="1"/>
  <c r="G76" i="1"/>
  <c r="J76" i="1" s="1"/>
  <c r="F76" i="1"/>
  <c r="I76" i="1" s="1"/>
  <c r="E76" i="1"/>
  <c r="J28" i="1"/>
  <c r="P28" i="1" s="1"/>
  <c r="S28" i="1" s="1"/>
  <c r="I28" i="1"/>
  <c r="O28" i="1" s="1"/>
  <c r="R28" i="1" s="1"/>
  <c r="I3" i="1"/>
  <c r="O3" i="1" s="1"/>
  <c r="R3" i="1" s="1"/>
  <c r="J3" i="1"/>
  <c r="P3" i="1" s="1"/>
  <c r="S3" i="1" s="1"/>
  <c r="L29" i="1"/>
  <c r="K29" i="1"/>
  <c r="G29" i="1"/>
  <c r="J29" i="1" s="1"/>
  <c r="F29" i="1"/>
  <c r="I29" i="1" s="1"/>
  <c r="E29" i="1"/>
  <c r="E28" i="1"/>
  <c r="L27" i="1"/>
  <c r="K27" i="1"/>
  <c r="G27" i="1"/>
  <c r="J27" i="1" s="1"/>
  <c r="F27" i="1"/>
  <c r="I27" i="1" s="1"/>
  <c r="E27" i="1"/>
  <c r="L4" i="1"/>
  <c r="K4" i="1"/>
  <c r="G4" i="1"/>
  <c r="J4" i="1" s="1"/>
  <c r="F4" i="1"/>
  <c r="I4" i="1" s="1"/>
  <c r="E4" i="1"/>
  <c r="E3" i="1"/>
  <c r="L2" i="1"/>
  <c r="K2" i="1"/>
  <c r="G2" i="1"/>
  <c r="J2" i="1" s="1"/>
  <c r="F2" i="1"/>
  <c r="I2" i="1" s="1"/>
  <c r="E2" i="1"/>
  <c r="R78" i="1" l="1"/>
  <c r="S78" i="1"/>
  <c r="O98" i="1"/>
  <c r="R98" i="1" s="1"/>
  <c r="O100" i="1"/>
  <c r="R100" i="1" s="1"/>
  <c r="P98" i="1"/>
  <c r="S98" i="1" s="1"/>
  <c r="P100" i="1"/>
  <c r="S100" i="1" s="1"/>
  <c r="O89" i="1"/>
  <c r="R89" i="1" s="1"/>
  <c r="O91" i="1"/>
  <c r="R91" i="1" s="1"/>
  <c r="P89" i="1"/>
  <c r="S89" i="1" s="1"/>
  <c r="P91" i="1"/>
  <c r="S91" i="1" s="1"/>
  <c r="O80" i="1"/>
  <c r="R80" i="1" s="1"/>
  <c r="P80" i="1"/>
  <c r="S80" i="1" s="1"/>
  <c r="O82" i="1"/>
  <c r="R82" i="1" s="1"/>
  <c r="P82" i="1"/>
  <c r="S82" i="1" s="1"/>
  <c r="O71" i="1"/>
  <c r="R71" i="1" s="1"/>
  <c r="P69" i="1"/>
  <c r="S69" i="1" s="1"/>
  <c r="O70" i="1"/>
  <c r="R70" i="1" s="1"/>
  <c r="O69" i="1"/>
  <c r="R69" i="1" s="1"/>
  <c r="P71" i="1"/>
  <c r="S71" i="1" s="1"/>
  <c r="P72" i="1"/>
  <c r="S72" i="1" s="1"/>
  <c r="P70" i="1"/>
  <c r="S70" i="1" s="1"/>
  <c r="O72" i="1"/>
  <c r="R72" i="1" s="1"/>
  <c r="P73" i="1"/>
  <c r="S73" i="1" s="1"/>
  <c r="O73" i="1"/>
  <c r="R73" i="1" s="1"/>
  <c r="P66" i="1"/>
  <c r="S66" i="1" s="1"/>
  <c r="O66" i="1"/>
  <c r="R66" i="1" s="1"/>
  <c r="P67" i="1"/>
  <c r="S67" i="1" s="1"/>
  <c r="O67" i="1"/>
  <c r="R67" i="1" s="1"/>
  <c r="O47" i="1"/>
  <c r="R47" i="1" s="1"/>
  <c r="P45" i="1"/>
  <c r="S45" i="1" s="1"/>
  <c r="P46" i="1"/>
  <c r="S46" i="1" s="1"/>
  <c r="O44" i="1"/>
  <c r="R44" i="1" s="1"/>
  <c r="P44" i="1"/>
  <c r="S44" i="1" s="1"/>
  <c r="P47" i="1"/>
  <c r="S47" i="1" s="1"/>
  <c r="P48" i="1"/>
  <c r="S48" i="1" s="1"/>
  <c r="O45" i="1"/>
  <c r="R45" i="1" s="1"/>
  <c r="O46" i="1"/>
  <c r="R46" i="1" s="1"/>
  <c r="O48" i="1"/>
  <c r="R48" i="1" s="1"/>
  <c r="O41" i="1"/>
  <c r="R41" i="1" s="1"/>
  <c r="P41" i="1"/>
  <c r="S41" i="1" s="1"/>
  <c r="O42" i="1"/>
  <c r="R42" i="1" s="1"/>
  <c r="P42" i="1"/>
  <c r="S42" i="1" s="1"/>
  <c r="P21" i="1"/>
  <c r="S21" i="1" s="1"/>
  <c r="P23" i="1"/>
  <c r="S23" i="1" s="1"/>
  <c r="O19" i="1"/>
  <c r="R19" i="1" s="1"/>
  <c r="P22" i="1"/>
  <c r="S22" i="1" s="1"/>
  <c r="P20" i="1"/>
  <c r="S20" i="1" s="1"/>
  <c r="O21" i="1"/>
  <c r="R21" i="1" s="1"/>
  <c r="O22" i="1"/>
  <c r="R22" i="1" s="1"/>
  <c r="P19" i="1"/>
  <c r="S19" i="1" s="1"/>
  <c r="O23" i="1"/>
  <c r="R23" i="1" s="1"/>
  <c r="O20" i="1"/>
  <c r="R20" i="1" s="1"/>
  <c r="O16" i="1"/>
  <c r="R16" i="1" s="1"/>
  <c r="P17" i="1"/>
  <c r="S17" i="1" s="1"/>
  <c r="O17" i="1"/>
  <c r="R17" i="1" s="1"/>
  <c r="P16" i="1"/>
  <c r="S16" i="1" s="1"/>
  <c r="P2" i="1"/>
  <c r="S2" i="1" s="1"/>
  <c r="O4" i="1"/>
  <c r="R4" i="1" s="1"/>
  <c r="L12" i="2"/>
  <c r="L7" i="2"/>
  <c r="L14" i="2"/>
  <c r="P29" i="1"/>
  <c r="S29" i="1" s="1"/>
  <c r="O2" i="1"/>
  <c r="R2" i="1" s="1"/>
  <c r="O27" i="1"/>
  <c r="R27" i="1" s="1"/>
  <c r="P4" i="1"/>
  <c r="S4" i="1" s="1"/>
  <c r="L13" i="2"/>
  <c r="L6" i="2"/>
  <c r="L15" i="2"/>
  <c r="L11" i="2"/>
  <c r="L10" i="2"/>
  <c r="L9" i="2"/>
  <c r="K8" i="2"/>
  <c r="K27" i="2"/>
  <c r="L23" i="2"/>
  <c r="L22" i="2"/>
  <c r="L20" i="2"/>
  <c r="L28" i="2"/>
  <c r="L26" i="2"/>
  <c r="L21" i="2"/>
  <c r="L25" i="2"/>
  <c r="K19" i="2"/>
  <c r="K24" i="2"/>
  <c r="K29" i="2"/>
  <c r="O76" i="1"/>
  <c r="R76" i="1" s="1"/>
  <c r="O29" i="1"/>
  <c r="R29" i="1" s="1"/>
  <c r="P27" i="1"/>
  <c r="S27" i="1" s="1"/>
  <c r="P76" i="1"/>
  <c r="S76" i="1" s="1"/>
  <c r="I79" i="1"/>
  <c r="O79" i="1" s="1"/>
  <c r="R79" i="1" s="1"/>
  <c r="J79" i="1"/>
  <c r="P79" i="1" s="1"/>
  <c r="S79" i="1" s="1"/>
</calcChain>
</file>

<file path=xl/sharedStrings.xml><?xml version="1.0" encoding="utf-8"?>
<sst xmlns="http://schemas.openxmlformats.org/spreadsheetml/2006/main" count="445" uniqueCount="102">
  <si>
    <t>Formation</t>
  </si>
  <si>
    <t>Start (Ma)</t>
  </si>
  <si>
    <t>End (Ma)</t>
  </si>
  <si>
    <t>Duration (Ma)</t>
  </si>
  <si>
    <t>[CO2] ppm, from CO2/Ba=130</t>
  </si>
  <si>
    <t>[CO2] ppm, from CO2/Ba=48</t>
  </si>
  <si>
    <t>Magma Density**</t>
  </si>
  <si>
    <t>Lowermost 2/3 of Norilsk</t>
  </si>
  <si>
    <t>Uppermost 1/3</t>
  </si>
  <si>
    <t>IntrusiveDegassing (fraction)</t>
  </si>
  <si>
    <t>I:E ratio</t>
  </si>
  <si>
    <t>Intrusive (km3)</t>
  </si>
  <si>
    <t>Total CO2 high (kg)</t>
  </si>
  <si>
    <t>Total CO2  low (kg)</t>
  </si>
  <si>
    <t>Metamorphic pulse</t>
  </si>
  <si>
    <t>Deccan Traps--volcanism only</t>
  </si>
  <si>
    <t>Saurashtra</t>
  </si>
  <si>
    <t>Jawhar</t>
  </si>
  <si>
    <t>Igatpuri</t>
  </si>
  <si>
    <t>Neral</t>
  </si>
  <si>
    <t>Thakurvadi</t>
  </si>
  <si>
    <t>Bhimashankar</t>
  </si>
  <si>
    <t>Khandala</t>
  </si>
  <si>
    <t>Bushe</t>
  </si>
  <si>
    <t>Poladpur</t>
  </si>
  <si>
    <t>Ambenali</t>
  </si>
  <si>
    <t>Mahabaleshwar</t>
  </si>
  <si>
    <t>Duration (years)</t>
  </si>
  <si>
    <t>Extrusive  (km3)</t>
  </si>
  <si>
    <t>Deccan Traps--5:1 I:E ratio</t>
  </si>
  <si>
    <t xml:space="preserve">See Hernandez Nava et al. (2021) for details of these calculations. Ba concentrations are from Beane et al. (1989). Volumes are from Richards et al. (2015). </t>
  </si>
  <si>
    <t>Phase 1 NAIP extrusives</t>
  </si>
  <si>
    <t>?</t>
  </si>
  <si>
    <t>Phase 2 NAIP extrusives</t>
  </si>
  <si>
    <t>NAIP--volcanism only</t>
  </si>
  <si>
    <t>Volume from Saunders (2016) Table 2</t>
  </si>
  <si>
    <t>[CO2] assuming Ba=15 to 80  from Baffin Island samplesfrom Kent et al. (2004)</t>
  </si>
  <si>
    <t>Extrusive (km3)</t>
  </si>
  <si>
    <t>[CO2] ppm, from CO2/Ba=130, Ba=80 ppm</t>
  </si>
  <si>
    <t>[CO2] ppm, from CO2/Ba=48, Ba=15 ppm</t>
  </si>
  <si>
    <t>NAIP--5:1 I:E ratio</t>
  </si>
  <si>
    <t>NAIP--volcanism plus metamorphic pulse</t>
  </si>
  <si>
    <t>From Gutjahr et al. (2017), 12025 Pg C</t>
  </si>
  <si>
    <t>PETM metamorphic pulse</t>
  </si>
  <si>
    <t>Volcanic Hiatus</t>
  </si>
  <si>
    <t>CRB--volcanism only</t>
  </si>
  <si>
    <t>Steens</t>
  </si>
  <si>
    <t>Imnaha</t>
  </si>
  <si>
    <t>Grande Ronde</t>
  </si>
  <si>
    <t>Sadde Mtn</t>
  </si>
  <si>
    <t>Assuming Ba=178 from highest MgO Steens</t>
  </si>
  <si>
    <t>Magma Density (kg/m3)</t>
  </si>
  <si>
    <t>CRB-- 5:1 I:E ratio</t>
  </si>
  <si>
    <t>NAIP--5:1 I:E ratio plus metamorphic pulse</t>
  </si>
  <si>
    <t>Wanapum</t>
  </si>
  <si>
    <t xml:space="preserve">The Ethiopian Traps have an estimated volume of ~350,000 km3 (Furman et al., 2006), with a main phase emplacement duration of ~ 1 Myr (Riisager et al., 2005; though the tempo of emplacement remains subject to uncertainty). </t>
  </si>
  <si>
    <t>CO2 release from the Ethiopian Traps is likewise uncertain. No direct measurements of CO2 in melt inclusions have been reported.</t>
  </si>
  <si>
    <t>Ba concentrations in Ethiopian Traps melt inclusions span a large range; these variations have been attributed primarily to varying degrees of crustal contamination (Kent et al., 2002).</t>
  </si>
  <si>
    <t>Ba/Nb provides a measure of crustal contamination. Primitive uncontaminated OIB have Ba/Nb of 7.9 +/- 2.3 (Halliday, 1995).</t>
  </si>
  <si>
    <t>In melt inclusion data from Kent et al., 2002, 4 melt inclusions have Ba/Nb within 1 sigma uncertainty of 7.9 +/- 2.3</t>
  </si>
  <si>
    <t>Ba concentrations in these melt inclusions are given below. We use the mean Ba in these melt inclusions, combined with CO2/Ba of 48 to 130, to estimate primitive CO2, as for other LIPs.</t>
  </si>
  <si>
    <t>Melt inclusion</t>
  </si>
  <si>
    <t>host</t>
  </si>
  <si>
    <t>Ba/Nb</t>
  </si>
  <si>
    <t>Ba [ppm]</t>
  </si>
  <si>
    <t>Estimated CO2 (CO2/Ba=48)</t>
  </si>
  <si>
    <t>Estimated CO2 (CO2/Ba=130)</t>
  </si>
  <si>
    <t>361-4-12d</t>
  </si>
  <si>
    <t>cpx</t>
  </si>
  <si>
    <t>281-2-6</t>
  </si>
  <si>
    <t>ol</t>
  </si>
  <si>
    <t>281-3-4</t>
  </si>
  <si>
    <t>281-3-5a</t>
  </si>
  <si>
    <t>mean</t>
  </si>
  <si>
    <t>For the Ethiopian Traps, the tempo of main phase emplacement has not been resolved. We therefore assume constant time-averaged volcanic rates  from 30.51 to 29.94 Ma (Riisager et al., 2005)</t>
  </si>
  <si>
    <t>Ethiopian Traps--volcanism only</t>
  </si>
  <si>
    <t xml:space="preserve"> CO2 flux low (mol/year)</t>
  </si>
  <si>
    <t>CO2 flux high (mol/yr)</t>
  </si>
  <si>
    <t>All</t>
  </si>
  <si>
    <t>Ethiopian Traps--5:1 I:E ratio</t>
  </si>
  <si>
    <t>Ethiopian Traps--10:1 I:E ratio</t>
  </si>
  <si>
    <t>For information regarding CO2 estimates, see notes above</t>
  </si>
  <si>
    <t>d13C</t>
  </si>
  <si>
    <t>Deccan Traps--10:1 I:E ratio</t>
  </si>
  <si>
    <t>NAIP--10:1 I:E ratio</t>
  </si>
  <si>
    <t>NAIP--10:1 I:E ratio plus metamorphic pulse</t>
  </si>
  <si>
    <t>CRB-- 10:1 I:E ratio</t>
  </si>
  <si>
    <t>Volcanism only</t>
  </si>
  <si>
    <t>5:1 I:E ratio</t>
  </si>
  <si>
    <t>10:1 I:E ratio</t>
  </si>
  <si>
    <t>volcanism plus metamorphic pulse</t>
  </si>
  <si>
    <t>5:1 I:E ratio plus metamorphic pulse</t>
  </si>
  <si>
    <t>10:1 I:E ratio plus metamorphic pulse</t>
  </si>
  <si>
    <t>CO2 mol/yr high</t>
  </si>
  <si>
    <t>CO2 mol/yr low</t>
  </si>
  <si>
    <t>Siberian</t>
  </si>
  <si>
    <t>Deccan</t>
  </si>
  <si>
    <t>NAIP</t>
  </si>
  <si>
    <t>Ethiopia</t>
  </si>
  <si>
    <t>CRB</t>
  </si>
  <si>
    <t>End</t>
  </si>
  <si>
    <t>Siberia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</si>
</sst>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8"/>
      <color rgb="FF000000"/>
      <name val="Helvetica"/>
      <family val="2"/>
    </font>
    <font>
      <sz val="8"/>
      <color theme="1"/>
      <name val="Helvetic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2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1" fontId="4" fillId="0" borderId="0" xfId="0" applyNumberFormat="1" applyFont="1"/>
    <xf numFmtId="1" fontId="5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1" fontId="4" fillId="0" borderId="0" xfId="0" applyNumberFormat="1" applyFont="1"/>
    <xf numFmtId="0" fontId="3" fillId="2" borderId="0" xfId="0" applyFont="1" applyFill="1"/>
    <xf numFmtId="11" fontId="4" fillId="2" borderId="0" xfId="0" applyNumberFormat="1" applyFont="1" applyFill="1"/>
    <xf numFmtId="0" fontId="3" fillId="3" borderId="0" xfId="0" applyFont="1" applyFill="1"/>
    <xf numFmtId="11" fontId="4" fillId="3" borderId="0" xfId="0" applyNumberFormat="1" applyFont="1" applyFill="1"/>
    <xf numFmtId="11" fontId="0" fillId="0" borderId="0" xfId="0" applyNumberFormat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8" fillId="0" borderId="0" xfId="0" applyFont="1"/>
    <xf numFmtId="1" fontId="8" fillId="0" borderId="0" xfId="0" applyNumberFormat="1" applyFont="1"/>
    <xf numFmtId="0" fontId="3" fillId="4" borderId="0" xfId="0" applyFont="1" applyFill="1"/>
    <xf numFmtId="2" fontId="4" fillId="4" borderId="0" xfId="0" applyNumberFormat="1" applyFont="1" applyFill="1"/>
    <xf numFmtId="0" fontId="4" fillId="4" borderId="0" xfId="0" applyFont="1" applyFill="1"/>
    <xf numFmtId="1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3" fillId="0" borderId="0" xfId="0" applyFont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1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1" fontId="4" fillId="0" borderId="0" xfId="0" applyNumberFormat="1" applyFont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11" fontId="4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11" fontId="0" fillId="5" borderId="0" xfId="0" applyNumberFormat="1" applyFill="1" applyAlignment="1">
      <alignment horizontal="left" vertical="center"/>
    </xf>
    <xf numFmtId="1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2" fontId="4" fillId="6" borderId="0" xfId="0" applyNumberFormat="1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4BF7-678D-1C4A-9AEA-A0ADF7CAEA63}">
  <dimension ref="A1:AD100"/>
  <sheetViews>
    <sheetView tabSelected="1" topLeftCell="A73" workbookViewId="0">
      <selection activeCell="U61" sqref="U61"/>
    </sheetView>
  </sheetViews>
  <sheetFormatPr defaultColWidth="11" defaultRowHeight="18" customHeight="1" x14ac:dyDescent="0.25"/>
  <cols>
    <col min="1" max="1" width="18.5" style="44" customWidth="1"/>
    <col min="2" max="2" width="11" style="45"/>
    <col min="3" max="3" width="11" style="46"/>
    <col min="4" max="4" width="11" style="45"/>
    <col min="5" max="5" width="11" style="46"/>
    <col min="6" max="12" width="6.625" style="45" customWidth="1"/>
    <col min="13" max="13" width="9.5" style="45" customWidth="1"/>
    <col min="14" max="14" width="10.25" style="45" customWidth="1"/>
    <col min="15" max="16" width="11.25" style="45" customWidth="1"/>
    <col min="17" max="17" width="5.375" style="53" customWidth="1"/>
    <col min="18" max="18" width="15.5" style="46" customWidth="1"/>
    <col min="19" max="19" width="16" style="46" customWidth="1"/>
    <col min="20" max="16384" width="11" style="45"/>
  </cols>
  <sheetData>
    <row r="1" spans="1:30" s="40" customFormat="1" ht="18" customHeight="1" x14ac:dyDescent="0.25">
      <c r="A1" s="29" t="s">
        <v>87</v>
      </c>
      <c r="B1" s="40" t="s">
        <v>0</v>
      </c>
      <c r="C1" s="30" t="s">
        <v>1</v>
      </c>
      <c r="D1" s="32" t="s">
        <v>100</v>
      </c>
      <c r="E1" s="30" t="s">
        <v>3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50" t="s">
        <v>82</v>
      </c>
      <c r="R1" s="38" t="s">
        <v>94</v>
      </c>
      <c r="S1" s="38" t="s">
        <v>93</v>
      </c>
    </row>
    <row r="2" spans="1:30" ht="18" customHeight="1" x14ac:dyDescent="0.25">
      <c r="A2" s="44" t="s">
        <v>95</v>
      </c>
      <c r="B2" s="31" t="s">
        <v>7</v>
      </c>
      <c r="C2" s="33">
        <v>252.24</v>
      </c>
      <c r="D2" s="31">
        <v>251.9</v>
      </c>
      <c r="E2" s="33">
        <f>C2-D2</f>
        <v>0.34000000000000341</v>
      </c>
      <c r="F2" s="34">
        <f>2/3*2000000</f>
        <v>1333333.3333333333</v>
      </c>
      <c r="G2" s="34">
        <f>2/3*4000000</f>
        <v>2666666.6666666665</v>
      </c>
      <c r="H2" s="31">
        <v>0</v>
      </c>
      <c r="I2" s="34">
        <f>F2*H2</f>
        <v>0</v>
      </c>
      <c r="J2" s="34">
        <f>G2*H2</f>
        <v>0</v>
      </c>
      <c r="K2" s="31">
        <f>115*130</f>
        <v>14950</v>
      </c>
      <c r="L2" s="31">
        <f>67*48</f>
        <v>3216</v>
      </c>
      <c r="M2" s="31">
        <v>0.6</v>
      </c>
      <c r="N2" s="31">
        <v>2850</v>
      </c>
      <c r="O2" s="34">
        <f t="shared" ref="O2:O3" si="0">L2/1000000*N2*1000000000*F2+I2*1000000000*$N$2*L2/1000000*M2</f>
        <v>1.22208E+16</v>
      </c>
      <c r="P2" s="34">
        <f t="shared" ref="P2:P3" si="1">G2*1000000000*N2*K2/1000000+J2*1000000000*K2*N2/1000000*0.6</f>
        <v>1.1362E+17</v>
      </c>
      <c r="Q2" s="51">
        <v>-6</v>
      </c>
      <c r="R2" s="47">
        <f>((O2*1000)/44)/(E2*1000000)</f>
        <v>816898395721.91687</v>
      </c>
      <c r="S2" s="47">
        <f>((P2*1000)/44)/(E2*1000000)</f>
        <v>7594919786096.1797</v>
      </c>
    </row>
    <row r="3" spans="1:30" ht="18" customHeight="1" x14ac:dyDescent="0.25">
      <c r="B3" s="31" t="s">
        <v>44</v>
      </c>
      <c r="C3" s="33">
        <v>251.9</v>
      </c>
      <c r="D3" s="31">
        <v>251.48</v>
      </c>
      <c r="E3" s="33">
        <f t="shared" ref="E3:E4" si="2">C3-D3</f>
        <v>0.42000000000001592</v>
      </c>
      <c r="F3" s="34">
        <v>0</v>
      </c>
      <c r="G3" s="34">
        <v>0</v>
      </c>
      <c r="H3" s="31">
        <v>0</v>
      </c>
      <c r="I3" s="34">
        <f t="shared" ref="I3:I4" si="3">F3*H3</f>
        <v>0</v>
      </c>
      <c r="J3" s="34">
        <f t="shared" ref="J3:J4" si="4">G3*H3</f>
        <v>0</v>
      </c>
      <c r="K3" s="31"/>
      <c r="L3" s="31"/>
      <c r="M3" s="31"/>
      <c r="N3" s="31"/>
      <c r="O3" s="34">
        <f t="shared" si="0"/>
        <v>0</v>
      </c>
      <c r="P3" s="34">
        <f t="shared" si="1"/>
        <v>0</v>
      </c>
      <c r="Q3" s="51">
        <v>-6</v>
      </c>
      <c r="R3" s="47">
        <f t="shared" ref="R3:R17" si="5">((O3*1000)/44)/(E3*1000000)</f>
        <v>0</v>
      </c>
      <c r="S3" s="47">
        <f t="shared" ref="S3:S17" si="6">((P3*1000)/44)/(E3*1000000)</f>
        <v>0</v>
      </c>
    </row>
    <row r="4" spans="1:30" ht="18" customHeight="1" x14ac:dyDescent="0.25">
      <c r="B4" s="31" t="s">
        <v>8</v>
      </c>
      <c r="C4" s="33">
        <v>251.48</v>
      </c>
      <c r="D4" s="31">
        <v>250.2</v>
      </c>
      <c r="E4" s="33">
        <f t="shared" si="2"/>
        <v>1.2800000000000011</v>
      </c>
      <c r="F4" s="34">
        <f>1/3*2000000</f>
        <v>666666.66666666663</v>
      </c>
      <c r="G4" s="34">
        <f>1/3*4000000</f>
        <v>1333333.3333333333</v>
      </c>
      <c r="H4" s="31">
        <v>0</v>
      </c>
      <c r="I4" s="34">
        <f t="shared" si="3"/>
        <v>0</v>
      </c>
      <c r="J4" s="34">
        <f t="shared" si="4"/>
        <v>0</v>
      </c>
      <c r="K4" s="31">
        <f>115*130</f>
        <v>14950</v>
      </c>
      <c r="L4" s="31">
        <f>67*48</f>
        <v>3216</v>
      </c>
      <c r="M4" s="31">
        <v>0.6</v>
      </c>
      <c r="N4" s="31">
        <v>2850</v>
      </c>
      <c r="O4" s="34">
        <f>L4/1000000*N4*1000000000*F4+I4*1000000000*$N$2*L4/1000000*M4</f>
        <v>6110400000000000</v>
      </c>
      <c r="P4" s="34">
        <f>G4*1000000000*N4*K4/1000000+J4*1000000000*K4*N4/1000000*0.6</f>
        <v>5.681E+16</v>
      </c>
      <c r="Q4" s="51">
        <v>-6</v>
      </c>
      <c r="R4" s="47">
        <f t="shared" si="5"/>
        <v>108494318181.81808</v>
      </c>
      <c r="S4" s="47">
        <f t="shared" si="6"/>
        <v>1008700284090.9081</v>
      </c>
    </row>
    <row r="5" spans="1:30" ht="18" customHeight="1" x14ac:dyDescent="0.25">
      <c r="A5" s="44" t="s">
        <v>96</v>
      </c>
      <c r="B5" s="35" t="s">
        <v>16</v>
      </c>
      <c r="C5" s="33">
        <v>66.423000000000002</v>
      </c>
      <c r="D5" s="35">
        <v>10000</v>
      </c>
      <c r="E5" s="36">
        <f>D5/1000000</f>
        <v>0.01</v>
      </c>
      <c r="F5" s="31">
        <v>0</v>
      </c>
      <c r="G5" s="31">
        <f>E5*F5</f>
        <v>0</v>
      </c>
      <c r="H5" s="37">
        <v>8659.2017940097285</v>
      </c>
      <c r="I5" s="37">
        <f>H5*130/48</f>
        <v>23452.004858776349</v>
      </c>
      <c r="J5" s="31">
        <v>0.6</v>
      </c>
      <c r="K5" s="31">
        <v>2850</v>
      </c>
      <c r="O5" s="34">
        <f t="shared" ref="O5:O15" si="7">E5*1000000000*K5*H5/1000000+G5*K5*1000000000*H5/1000000*J5</f>
        <v>246787251.12927726</v>
      </c>
      <c r="P5" s="34">
        <f t="shared" ref="P5:P15" si="8">E5*1000000000*K5*I5/1000000+G5*K5*1000000000*I5/1000000*J5</f>
        <v>668382138.47512591</v>
      </c>
      <c r="Q5" s="51">
        <v>-6</v>
      </c>
      <c r="R5" s="47">
        <f>((O5*1000)/44)/(E5)</f>
        <v>560880116202.90283</v>
      </c>
      <c r="S5" s="47">
        <f>((P5*1000)/44)/(E5)</f>
        <v>1519050314716.1951</v>
      </c>
      <c r="AD5" s="31"/>
    </row>
    <row r="6" spans="1:30" ht="18" customHeight="1" x14ac:dyDescent="0.25">
      <c r="B6" s="35" t="s">
        <v>17</v>
      </c>
      <c r="C6" s="33">
        <v>66.412999999999997</v>
      </c>
      <c r="D6" s="37">
        <v>61000</v>
      </c>
      <c r="E6" s="36">
        <f t="shared" ref="E6:E15" si="9">D6/1000000</f>
        <v>6.0999999999999999E-2</v>
      </c>
      <c r="F6" s="31">
        <v>0</v>
      </c>
      <c r="G6" s="31">
        <f t="shared" ref="G6:G15" si="10">E6*F6</f>
        <v>0</v>
      </c>
      <c r="H6" s="37">
        <v>5500</v>
      </c>
      <c r="I6" s="37">
        <f t="shared" ref="I6:I15" si="11">H6*130/48</f>
        <v>14895.833333333334</v>
      </c>
      <c r="J6" s="31">
        <v>0.6</v>
      </c>
      <c r="K6" s="31">
        <v>2850</v>
      </c>
      <c r="O6" s="34">
        <f t="shared" si="7"/>
        <v>956175000</v>
      </c>
      <c r="P6" s="34">
        <f t="shared" si="8"/>
        <v>2589640625</v>
      </c>
      <c r="Q6" s="51">
        <v>-6</v>
      </c>
      <c r="R6" s="47">
        <f>((O6*1000)/44)/(E6)</f>
        <v>356250000000</v>
      </c>
      <c r="S6" s="47">
        <f t="shared" ref="S6:S15" si="12">((P6*1000)/44)/(E6)</f>
        <v>964843750000</v>
      </c>
    </row>
    <row r="7" spans="1:30" ht="18" customHeight="1" x14ac:dyDescent="0.25">
      <c r="B7" s="35" t="s">
        <v>18</v>
      </c>
      <c r="C7" s="33">
        <v>66.35199999999999</v>
      </c>
      <c r="D7" s="37">
        <v>52000</v>
      </c>
      <c r="E7" s="36">
        <f t="shared" si="9"/>
        <v>5.1999999999999998E-2</v>
      </c>
      <c r="F7" s="31">
        <v>0</v>
      </c>
      <c r="G7" s="31">
        <f t="shared" si="10"/>
        <v>0</v>
      </c>
      <c r="H7" s="37">
        <v>5300</v>
      </c>
      <c r="I7" s="37">
        <f t="shared" si="11"/>
        <v>14354.166666666666</v>
      </c>
      <c r="J7" s="31">
        <v>0.6</v>
      </c>
      <c r="K7" s="31">
        <v>2850</v>
      </c>
      <c r="O7" s="34">
        <f t="shared" si="7"/>
        <v>785460000</v>
      </c>
      <c r="P7" s="34">
        <f t="shared" si="8"/>
        <v>2127287500</v>
      </c>
      <c r="Q7" s="51">
        <v>-6</v>
      </c>
      <c r="R7" s="47">
        <f t="shared" ref="R7:R15" si="13">((O7*1000)/44)/(E7)</f>
        <v>343295454545.45453</v>
      </c>
      <c r="S7" s="47">
        <f t="shared" si="12"/>
        <v>929758522727.27283</v>
      </c>
    </row>
    <row r="8" spans="1:30" ht="18" customHeight="1" x14ac:dyDescent="0.25">
      <c r="B8" s="35" t="s">
        <v>19</v>
      </c>
      <c r="C8" s="33">
        <v>66.299999999999983</v>
      </c>
      <c r="D8" s="37">
        <v>25000</v>
      </c>
      <c r="E8" s="36">
        <f t="shared" si="9"/>
        <v>2.5000000000000001E-2</v>
      </c>
      <c r="F8" s="31">
        <v>0</v>
      </c>
      <c r="G8" s="31">
        <f t="shared" si="10"/>
        <v>0</v>
      </c>
      <c r="H8" s="37">
        <v>6000</v>
      </c>
      <c r="I8" s="37">
        <f t="shared" si="11"/>
        <v>16250</v>
      </c>
      <c r="J8" s="31">
        <v>0.6</v>
      </c>
      <c r="K8" s="31">
        <v>2850</v>
      </c>
      <c r="O8" s="34">
        <f t="shared" si="7"/>
        <v>427500000</v>
      </c>
      <c r="P8" s="34">
        <f t="shared" si="8"/>
        <v>1157812500</v>
      </c>
      <c r="Q8" s="51">
        <v>-6</v>
      </c>
      <c r="R8" s="47">
        <f t="shared" si="13"/>
        <v>388636363636.36359</v>
      </c>
      <c r="S8" s="47">
        <f t="shared" si="12"/>
        <v>1052556818181.8182</v>
      </c>
    </row>
    <row r="9" spans="1:30" ht="18" customHeight="1" x14ac:dyDescent="0.25">
      <c r="B9" s="35" t="s">
        <v>20</v>
      </c>
      <c r="C9" s="33">
        <v>66.274999999999977</v>
      </c>
      <c r="D9" s="37">
        <v>56000</v>
      </c>
      <c r="E9" s="36">
        <f t="shared" si="9"/>
        <v>5.6000000000000001E-2</v>
      </c>
      <c r="F9" s="31">
        <v>0</v>
      </c>
      <c r="G9" s="31">
        <f t="shared" si="10"/>
        <v>0</v>
      </c>
      <c r="H9" s="37">
        <v>3937.0507073040844</v>
      </c>
      <c r="I9" s="37">
        <f t="shared" si="11"/>
        <v>10662.845665615228</v>
      </c>
      <c r="J9" s="31">
        <v>0.6</v>
      </c>
      <c r="K9" s="31">
        <v>2850</v>
      </c>
      <c r="O9" s="34">
        <f t="shared" si="7"/>
        <v>628353292.88573182</v>
      </c>
      <c r="P9" s="34">
        <f t="shared" si="8"/>
        <v>1701790168.2321906</v>
      </c>
      <c r="Q9" s="51">
        <v>-6</v>
      </c>
      <c r="R9" s="47">
        <f t="shared" si="13"/>
        <v>255013511723.10544</v>
      </c>
      <c r="S9" s="47">
        <f t="shared" si="12"/>
        <v>690661594250.07739</v>
      </c>
    </row>
    <row r="10" spans="1:30" ht="18" customHeight="1" x14ac:dyDescent="0.25">
      <c r="B10" s="35" t="s">
        <v>21</v>
      </c>
      <c r="C10" s="33">
        <v>66.21899999999998</v>
      </c>
      <c r="D10" s="37">
        <v>39000</v>
      </c>
      <c r="E10" s="36">
        <f t="shared" si="9"/>
        <v>3.9E-2</v>
      </c>
      <c r="F10" s="31">
        <v>0</v>
      </c>
      <c r="G10" s="31">
        <f t="shared" si="10"/>
        <v>0</v>
      </c>
      <c r="H10" s="37">
        <v>5000</v>
      </c>
      <c r="I10" s="37">
        <f t="shared" si="11"/>
        <v>13541.666666666666</v>
      </c>
      <c r="J10" s="31">
        <v>0.6</v>
      </c>
      <c r="K10" s="31">
        <v>2850</v>
      </c>
      <c r="O10" s="34">
        <f t="shared" si="7"/>
        <v>555750000</v>
      </c>
      <c r="P10" s="34">
        <f t="shared" si="8"/>
        <v>1505156250</v>
      </c>
      <c r="Q10" s="51">
        <v>-6</v>
      </c>
      <c r="R10" s="47">
        <f t="shared" si="13"/>
        <v>323863636363.63635</v>
      </c>
      <c r="S10" s="47">
        <f t="shared" si="12"/>
        <v>877130681818.18188</v>
      </c>
    </row>
    <row r="11" spans="1:30" ht="18" customHeight="1" x14ac:dyDescent="0.25">
      <c r="B11" s="35" t="s">
        <v>22</v>
      </c>
      <c r="C11" s="33">
        <v>66.179999999999978</v>
      </c>
      <c r="D11" s="37">
        <v>71000</v>
      </c>
      <c r="E11" s="36">
        <f t="shared" si="9"/>
        <v>7.0999999999999994E-2</v>
      </c>
      <c r="F11" s="31">
        <v>0</v>
      </c>
      <c r="G11" s="31">
        <f t="shared" si="10"/>
        <v>0</v>
      </c>
      <c r="H11" s="37">
        <v>2900</v>
      </c>
      <c r="I11" s="37">
        <f t="shared" si="11"/>
        <v>7854.166666666667</v>
      </c>
      <c r="J11" s="31">
        <v>0.6</v>
      </c>
      <c r="K11" s="31">
        <v>2850</v>
      </c>
      <c r="O11" s="34">
        <f t="shared" si="7"/>
        <v>586815000</v>
      </c>
      <c r="P11" s="34">
        <f t="shared" si="8"/>
        <v>1589290625</v>
      </c>
      <c r="Q11" s="51">
        <v>-6</v>
      </c>
      <c r="R11" s="47">
        <f t="shared" si="13"/>
        <v>187840909090.90912</v>
      </c>
      <c r="S11" s="47">
        <f t="shared" si="12"/>
        <v>508735795454.54553</v>
      </c>
    </row>
    <row r="12" spans="1:30" ht="18" customHeight="1" x14ac:dyDescent="0.25">
      <c r="B12" s="35" t="s">
        <v>23</v>
      </c>
      <c r="C12" s="33">
        <v>66.10899999999998</v>
      </c>
      <c r="D12" s="37">
        <v>56000</v>
      </c>
      <c r="E12" s="36">
        <f t="shared" si="9"/>
        <v>5.6000000000000001E-2</v>
      </c>
      <c r="F12" s="31">
        <v>0</v>
      </c>
      <c r="G12" s="31">
        <f t="shared" si="10"/>
        <v>0</v>
      </c>
      <c r="H12" s="37">
        <v>3500</v>
      </c>
      <c r="I12" s="37">
        <f t="shared" si="11"/>
        <v>9479.1666666666661</v>
      </c>
      <c r="J12" s="31">
        <v>0.6</v>
      </c>
      <c r="K12" s="31">
        <v>2850</v>
      </c>
      <c r="O12" s="34">
        <f t="shared" si="7"/>
        <v>558600000</v>
      </c>
      <c r="P12" s="34">
        <f t="shared" si="8"/>
        <v>1512875000</v>
      </c>
      <c r="Q12" s="51">
        <v>-6</v>
      </c>
      <c r="R12" s="47">
        <f t="shared" si="13"/>
        <v>226704545454.54547</v>
      </c>
      <c r="S12" s="47">
        <f t="shared" si="12"/>
        <v>613991477272.72729</v>
      </c>
    </row>
    <row r="13" spans="1:30" ht="18" customHeight="1" x14ac:dyDescent="0.25">
      <c r="B13" s="35" t="s">
        <v>24</v>
      </c>
      <c r="C13" s="33">
        <v>66.052999999999983</v>
      </c>
      <c r="D13" s="37">
        <v>137000</v>
      </c>
      <c r="E13" s="36">
        <f t="shared" si="9"/>
        <v>0.13700000000000001</v>
      </c>
      <c r="F13" s="31">
        <v>0</v>
      </c>
      <c r="G13" s="31">
        <f t="shared" si="10"/>
        <v>0</v>
      </c>
      <c r="H13" s="37">
        <v>748.59750000000008</v>
      </c>
      <c r="I13" s="37">
        <f t="shared" si="11"/>
        <v>2027.4515625000004</v>
      </c>
      <c r="J13" s="31">
        <v>0.6</v>
      </c>
      <c r="K13" s="31">
        <v>2850</v>
      </c>
      <c r="O13" s="34">
        <f t="shared" si="7"/>
        <v>292289893.87500006</v>
      </c>
      <c r="P13" s="34">
        <f t="shared" si="8"/>
        <v>791618462.57812512</v>
      </c>
      <c r="Q13" s="51">
        <v>-6</v>
      </c>
      <c r="R13" s="47">
        <f t="shared" si="13"/>
        <v>48488701704.545464</v>
      </c>
      <c r="S13" s="47">
        <f t="shared" si="12"/>
        <v>131323567116.47729</v>
      </c>
    </row>
    <row r="14" spans="1:30" ht="18" customHeight="1" x14ac:dyDescent="0.25">
      <c r="B14" s="35" t="s">
        <v>25</v>
      </c>
      <c r="C14" s="33">
        <v>65.915999999999983</v>
      </c>
      <c r="D14" s="37">
        <v>330000</v>
      </c>
      <c r="E14" s="36">
        <f t="shared" si="9"/>
        <v>0.33</v>
      </c>
      <c r="F14" s="31">
        <v>0</v>
      </c>
      <c r="G14" s="31">
        <f t="shared" si="10"/>
        <v>0</v>
      </c>
      <c r="H14" s="37">
        <v>1120.32142857143</v>
      </c>
      <c r="I14" s="37">
        <f t="shared" si="11"/>
        <v>3034.2038690476234</v>
      </c>
      <c r="J14" s="31">
        <v>0.6</v>
      </c>
      <c r="K14" s="31">
        <v>2850</v>
      </c>
      <c r="O14" s="34">
        <f t="shared" si="7"/>
        <v>1053662303.57143</v>
      </c>
      <c r="P14" s="34">
        <f t="shared" si="8"/>
        <v>2853668738.8392901</v>
      </c>
      <c r="Q14" s="51">
        <v>-6</v>
      </c>
      <c r="R14" s="47">
        <f t="shared" si="13"/>
        <v>72566274350.649445</v>
      </c>
      <c r="S14" s="47">
        <f t="shared" si="12"/>
        <v>196533659699.6756</v>
      </c>
      <c r="T14" s="31"/>
      <c r="U14" s="31"/>
      <c r="V14" s="31"/>
      <c r="W14" s="31"/>
    </row>
    <row r="15" spans="1:30" ht="18" customHeight="1" x14ac:dyDescent="0.25">
      <c r="B15" s="39" t="s">
        <v>26</v>
      </c>
      <c r="C15" s="33">
        <v>65.585999999999984</v>
      </c>
      <c r="D15" s="37">
        <v>163000</v>
      </c>
      <c r="E15" s="36">
        <f t="shared" si="9"/>
        <v>0.16300000000000001</v>
      </c>
      <c r="F15" s="31">
        <v>0</v>
      </c>
      <c r="G15" s="31">
        <f t="shared" si="10"/>
        <v>0</v>
      </c>
      <c r="H15" s="37">
        <v>927.10782608695604</v>
      </c>
      <c r="I15" s="37">
        <f t="shared" si="11"/>
        <v>2510.917028985506</v>
      </c>
      <c r="J15" s="31">
        <v>0.6</v>
      </c>
      <c r="K15" s="31">
        <v>2850</v>
      </c>
      <c r="O15" s="34">
        <f t="shared" si="7"/>
        <v>430687940.60869545</v>
      </c>
      <c r="P15" s="34">
        <f t="shared" si="8"/>
        <v>1166446505.8152168</v>
      </c>
      <c r="Q15" s="51">
        <v>-6</v>
      </c>
      <c r="R15" s="47">
        <f t="shared" si="13"/>
        <v>60051302371.541473</v>
      </c>
      <c r="S15" s="47">
        <f t="shared" si="12"/>
        <v>162638943922.9248</v>
      </c>
    </row>
    <row r="16" spans="1:30" s="31" customFormat="1" ht="18" customHeight="1" x14ac:dyDescent="0.25">
      <c r="A16" s="29" t="s">
        <v>97</v>
      </c>
      <c r="B16" s="31" t="s">
        <v>31</v>
      </c>
      <c r="C16" s="33">
        <v>61</v>
      </c>
      <c r="D16" s="31">
        <v>57</v>
      </c>
      <c r="E16" s="33">
        <f>C16-D16</f>
        <v>4</v>
      </c>
      <c r="F16" s="31">
        <v>150000</v>
      </c>
      <c r="G16" s="31">
        <v>0</v>
      </c>
      <c r="H16" s="31">
        <f>F16*G16</f>
        <v>0</v>
      </c>
      <c r="I16" s="31">
        <f>15*48</f>
        <v>720</v>
      </c>
      <c r="J16" s="31">
        <f>80*130</f>
        <v>10400</v>
      </c>
      <c r="K16" s="31">
        <v>0.6</v>
      </c>
      <c r="L16" s="31">
        <v>2850</v>
      </c>
      <c r="O16" s="34">
        <f>I16/1000000*L16*1000000000*F16+H16*1000000000*$L$2*I16/1000000*K16</f>
        <v>307800000000000</v>
      </c>
      <c r="P16" s="34">
        <f>J16/1000000*L16*1000000000*F16+H16*1000000000*$L$2*J16/1000000*K16</f>
        <v>4445999999999999.5</v>
      </c>
      <c r="Q16" s="52">
        <v>-5</v>
      </c>
      <c r="R16" s="47">
        <f t="shared" si="5"/>
        <v>1748863636.3636363</v>
      </c>
      <c r="S16" s="47">
        <f t="shared" si="6"/>
        <v>25261363636.363632</v>
      </c>
    </row>
    <row r="17" spans="1:19" s="31" customFormat="1" ht="18" customHeight="1" x14ac:dyDescent="0.25">
      <c r="A17" s="29"/>
      <c r="B17" s="31" t="s">
        <v>33</v>
      </c>
      <c r="C17" s="33">
        <v>56</v>
      </c>
      <c r="D17" s="31">
        <v>55</v>
      </c>
      <c r="E17" s="33">
        <f>C17-D17</f>
        <v>1</v>
      </c>
      <c r="F17" s="34">
        <v>1800000</v>
      </c>
      <c r="G17" s="31">
        <v>0</v>
      </c>
      <c r="H17" s="31">
        <f>F17*G17</f>
        <v>0</v>
      </c>
      <c r="I17" s="31">
        <f>15*48</f>
        <v>720</v>
      </c>
      <c r="J17" s="31">
        <f>80*130</f>
        <v>10400</v>
      </c>
      <c r="K17" s="31">
        <v>0.6</v>
      </c>
      <c r="L17" s="31">
        <v>2850</v>
      </c>
      <c r="O17" s="34">
        <f>I17/1000000*L17*1000000000*F17+H17*1000000000*$L$2*I17/1000000*K17</f>
        <v>3693600000000000</v>
      </c>
      <c r="P17" s="34">
        <f>J17/1000000*L17*1000000000*F17+H17*1000000000*$L$2*J17/1000000*K17</f>
        <v>5.3351999999999992E+16</v>
      </c>
      <c r="Q17" s="52">
        <v>-5</v>
      </c>
      <c r="R17" s="47">
        <f t="shared" si="5"/>
        <v>83945454545.454544</v>
      </c>
      <c r="S17" s="47">
        <f t="shared" si="6"/>
        <v>1212545454545.4543</v>
      </c>
    </row>
    <row r="18" spans="1:19" ht="18" customHeight="1" x14ac:dyDescent="0.2">
      <c r="A18" s="44" t="s">
        <v>98</v>
      </c>
      <c r="B18" s="41" t="s">
        <v>78</v>
      </c>
      <c r="C18" s="42">
        <v>30.51</v>
      </c>
      <c r="D18" s="41">
        <v>29.94</v>
      </c>
      <c r="E18" s="42">
        <f>(C18-D18)</f>
        <v>0.57000000000000028</v>
      </c>
      <c r="F18" s="41">
        <v>350000</v>
      </c>
      <c r="G18" s="41">
        <v>0</v>
      </c>
      <c r="H18" s="41">
        <f>F18*G18</f>
        <v>0</v>
      </c>
      <c r="I18" s="48">
        <v>4152</v>
      </c>
      <c r="J18" s="48">
        <v>11245</v>
      </c>
      <c r="K18" s="41">
        <v>0.6</v>
      </c>
      <c r="L18" s="41">
        <v>2850</v>
      </c>
      <c r="M18" s="43">
        <f>(I18/1000000*L18*1000000000*F18+H18*1000000000*$K$6*I18/1000000*K18)*1000/44.01/E18</f>
        <v>1.6509884117246074E+17</v>
      </c>
      <c r="N18" s="43">
        <f>(J18/1000000*L18*1000000000*F18+H18*1000000000*$K$6*J18/1000000*K18)*1000/44.01/E18</f>
        <v>4.4714269484208109E+17</v>
      </c>
      <c r="O18" s="41">
        <v>-6</v>
      </c>
      <c r="P18" s="34"/>
      <c r="Q18" s="51">
        <v>-6</v>
      </c>
      <c r="R18" s="47">
        <v>165098841172.46075</v>
      </c>
      <c r="S18" s="47">
        <v>447142694842.08112</v>
      </c>
    </row>
    <row r="19" spans="1:19" ht="18" customHeight="1" x14ac:dyDescent="0.25">
      <c r="A19" s="44" t="s">
        <v>99</v>
      </c>
      <c r="B19" s="31" t="s">
        <v>46</v>
      </c>
      <c r="C19" s="33">
        <v>16.649999999999999</v>
      </c>
      <c r="D19" s="31">
        <v>16.59</v>
      </c>
      <c r="E19" s="33">
        <f>C19-D19</f>
        <v>5.9999999999998721E-2</v>
      </c>
      <c r="F19" s="31">
        <v>31800</v>
      </c>
      <c r="G19" s="31">
        <v>0</v>
      </c>
      <c r="H19" s="31">
        <f>F19*G19</f>
        <v>0</v>
      </c>
      <c r="I19" s="31">
        <f>178*48</f>
        <v>8544</v>
      </c>
      <c r="J19" s="31">
        <f>178*130</f>
        <v>23140</v>
      </c>
      <c r="K19" s="31">
        <v>0.6</v>
      </c>
      <c r="L19" s="31">
        <v>2850</v>
      </c>
      <c r="O19" s="34">
        <f>I19/1000000*L19*1000000000*F19+H19*1000000000*$L$2*I19/1000000*K19</f>
        <v>774342719999999.88</v>
      </c>
      <c r="P19" s="34">
        <f>J19/1000000*L19*1000000000*F19+H19*1000000000*$L$2*J19/1000000*K19</f>
        <v>2097178200000000</v>
      </c>
      <c r="Q19" s="51">
        <v>-6</v>
      </c>
      <c r="R19" s="47">
        <f>((O19*1000)/44)/(E19*1000000)</f>
        <v>293311636363.64258</v>
      </c>
      <c r="S19" s="47">
        <f>((P19*1000)/44)/(E19*1000000)</f>
        <v>794385681818.19885</v>
      </c>
    </row>
    <row r="20" spans="1:19" ht="18" customHeight="1" x14ac:dyDescent="0.25">
      <c r="B20" s="31" t="s">
        <v>47</v>
      </c>
      <c r="C20" s="33">
        <v>16.59</v>
      </c>
      <c r="D20" s="31">
        <v>16.57</v>
      </c>
      <c r="E20" s="33">
        <f t="shared" ref="E20:E23" si="14">C20-D20</f>
        <v>1.9999999999999574E-2</v>
      </c>
      <c r="F20" s="31">
        <v>11000</v>
      </c>
      <c r="G20" s="31">
        <v>0</v>
      </c>
      <c r="H20" s="31">
        <f t="shared" ref="H20:H23" si="15">F20*G20</f>
        <v>0</v>
      </c>
      <c r="I20" s="31">
        <v>8544</v>
      </c>
      <c r="J20" s="31">
        <v>23140</v>
      </c>
      <c r="K20" s="31">
        <v>0.6</v>
      </c>
      <c r="L20" s="31">
        <v>2850</v>
      </c>
      <c r="O20" s="34">
        <f>I20/1000000*L20*1000000000*F20+H20*1000000000*$L$2*I20/1000000*K20</f>
        <v>267854399999999.97</v>
      </c>
      <c r="P20" s="34">
        <f>J20/1000000*L20*1000000000*F20+H20*1000000000*$L$2*J20/1000000*K20</f>
        <v>725439000000000</v>
      </c>
      <c r="Q20" s="51">
        <v>-6</v>
      </c>
      <c r="R20" s="47">
        <f>((O20*1000)/44)/(E20*1000000)</f>
        <v>304380000000.00641</v>
      </c>
      <c r="S20" s="47">
        <f>((P20*1000)/44)/(E20*1000000)</f>
        <v>824362500000.01758</v>
      </c>
    </row>
    <row r="21" spans="1:19" ht="18" customHeight="1" x14ac:dyDescent="0.25">
      <c r="B21" s="31" t="s">
        <v>48</v>
      </c>
      <c r="C21" s="33">
        <v>16.57</v>
      </c>
      <c r="D21" s="31">
        <v>16.065999999999999</v>
      </c>
      <c r="E21" s="33">
        <f t="shared" si="14"/>
        <v>0.50400000000000134</v>
      </c>
      <c r="F21" s="31">
        <v>149000</v>
      </c>
      <c r="G21" s="31">
        <v>0</v>
      </c>
      <c r="H21" s="31">
        <f t="shared" si="15"/>
        <v>0</v>
      </c>
      <c r="I21" s="31">
        <v>8544</v>
      </c>
      <c r="J21" s="31">
        <v>23140</v>
      </c>
      <c r="K21" s="31">
        <v>0.6</v>
      </c>
      <c r="L21" s="31">
        <v>2850</v>
      </c>
      <c r="O21" s="34">
        <f>I21/1000000*L21*1000000000*F21+H21*1000000000*$L$2*I21/1000000*K21</f>
        <v>3628209599999999.5</v>
      </c>
      <c r="P21" s="34">
        <f>J21/1000000*L21*1000000000*F21+H21*1000000000*$L$2*J21/1000000*K21</f>
        <v>9826401000000000</v>
      </c>
      <c r="Q21" s="51">
        <v>-6</v>
      </c>
      <c r="R21" s="47">
        <f>((O21*1000)/44)/(E21*1000000)</f>
        <v>163609740259.73978</v>
      </c>
      <c r="S21" s="47">
        <f>((P21*1000)/44)/(E21*1000000)</f>
        <v>443109713203.46198</v>
      </c>
    </row>
    <row r="22" spans="1:19" ht="18" customHeight="1" x14ac:dyDescent="0.25">
      <c r="B22" s="31" t="s">
        <v>54</v>
      </c>
      <c r="C22" s="33">
        <v>16.065999999999999</v>
      </c>
      <c r="D22" s="31">
        <v>15.895</v>
      </c>
      <c r="E22" s="33">
        <f t="shared" si="14"/>
        <v>0.17099999999999937</v>
      </c>
      <c r="F22" s="31">
        <v>12175</v>
      </c>
      <c r="G22" s="31">
        <v>0</v>
      </c>
      <c r="H22" s="31">
        <f t="shared" si="15"/>
        <v>0</v>
      </c>
      <c r="I22" s="31">
        <v>8544</v>
      </c>
      <c r="J22" s="31">
        <v>23140</v>
      </c>
      <c r="K22" s="31">
        <v>0.6</v>
      </c>
      <c r="L22" s="31">
        <v>2850</v>
      </c>
      <c r="O22" s="34">
        <f>I22/1000000*L22*1000000000*F22+H22*1000000000*$L$2*I22/1000000*K22</f>
        <v>296466119999999.94</v>
      </c>
      <c r="P22" s="34">
        <f>J22/1000000*L22*1000000000*F22+H22*1000000000*$L$2*J22/1000000*K22</f>
        <v>802929075000000</v>
      </c>
      <c r="Q22" s="51">
        <v>-6</v>
      </c>
      <c r="R22" s="47">
        <f>((O22*1000)/44)/(E22*1000000)</f>
        <v>39402727272.727402</v>
      </c>
      <c r="S22" s="47">
        <f>((P22*1000)/44)/(E22*1000000)</f>
        <v>106715719696.97009</v>
      </c>
    </row>
    <row r="23" spans="1:19" ht="18" customHeight="1" x14ac:dyDescent="0.25">
      <c r="B23" s="31" t="s">
        <v>49</v>
      </c>
      <c r="C23" s="33">
        <v>15.895</v>
      </c>
      <c r="D23" s="31">
        <v>6</v>
      </c>
      <c r="E23" s="33">
        <f t="shared" si="14"/>
        <v>9.8949999999999996</v>
      </c>
      <c r="F23" s="31">
        <v>2424</v>
      </c>
      <c r="G23" s="31">
        <v>0</v>
      </c>
      <c r="H23" s="31">
        <f t="shared" si="15"/>
        <v>0</v>
      </c>
      <c r="I23" s="31">
        <v>8544</v>
      </c>
      <c r="J23" s="31">
        <v>23140</v>
      </c>
      <c r="K23" s="31">
        <v>0.6</v>
      </c>
      <c r="L23" s="31">
        <v>2850</v>
      </c>
      <c r="O23" s="34">
        <f>I23/1000000*L23*1000000000*F23+H23*1000000000*$L$2*I23/1000000*K23</f>
        <v>59025369599999.992</v>
      </c>
      <c r="P23" s="34">
        <f>J23/1000000*L23*1000000000*F23+H23*1000000000*$L$2*J23/1000000*K23</f>
        <v>159860376000000</v>
      </c>
      <c r="Q23" s="51">
        <v>-6</v>
      </c>
      <c r="R23" s="47">
        <f>((O23*1000)/44)/(E23*1000000)</f>
        <v>135572074.05025494</v>
      </c>
      <c r="S23" s="47">
        <f>((P23*1000)/44)/(E23*1000000)</f>
        <v>367174367.21944046</v>
      </c>
    </row>
    <row r="24" spans="1:19" ht="18" customHeight="1" x14ac:dyDescent="0.25">
      <c r="B24" s="31"/>
      <c r="C24" s="33"/>
      <c r="D24" s="31"/>
      <c r="E24" s="33"/>
      <c r="F24" s="31"/>
      <c r="G24" s="31"/>
      <c r="H24" s="31"/>
      <c r="I24" s="49"/>
      <c r="J24" s="49"/>
      <c r="K24" s="31"/>
      <c r="L24" s="31"/>
      <c r="O24" s="34"/>
      <c r="P24" s="34"/>
      <c r="Q24" s="51"/>
      <c r="R24" s="47"/>
      <c r="S24" s="47"/>
    </row>
    <row r="25" spans="1:19" ht="18" customHeight="1" x14ac:dyDescent="0.25">
      <c r="B25" s="31"/>
      <c r="C25" s="33"/>
      <c r="D25" s="31"/>
      <c r="E25" s="33"/>
      <c r="F25" s="31"/>
      <c r="G25" s="31"/>
      <c r="H25" s="31"/>
      <c r="I25" s="49"/>
      <c r="J25" s="49"/>
      <c r="K25" s="31"/>
      <c r="L25" s="31"/>
      <c r="O25" s="34"/>
      <c r="P25" s="34"/>
      <c r="Q25" s="51"/>
      <c r="R25" s="47"/>
      <c r="S25" s="47"/>
    </row>
    <row r="26" spans="1:19" ht="18" customHeight="1" x14ac:dyDescent="0.25">
      <c r="A26" s="29" t="s">
        <v>88</v>
      </c>
      <c r="C26" s="33"/>
      <c r="D26" s="31"/>
      <c r="E26" s="33"/>
      <c r="F26" s="34"/>
      <c r="G26" s="34"/>
      <c r="H26" s="31"/>
      <c r="I26" s="31"/>
      <c r="J26" s="31"/>
      <c r="K26" s="31"/>
      <c r="L26" s="31"/>
      <c r="M26" s="31"/>
      <c r="N26" s="31"/>
      <c r="O26" s="31"/>
      <c r="P26" s="31"/>
      <c r="R26" s="47"/>
      <c r="S26" s="47"/>
    </row>
    <row r="27" spans="1:19" ht="18" customHeight="1" x14ac:dyDescent="0.25">
      <c r="A27" s="44" t="s">
        <v>101</v>
      </c>
      <c r="B27" s="31" t="s">
        <v>7</v>
      </c>
      <c r="C27" s="33">
        <v>252.24</v>
      </c>
      <c r="D27" s="31">
        <v>251.9</v>
      </c>
      <c r="E27" s="33">
        <f>C27-D27</f>
        <v>0.34000000000000341</v>
      </c>
      <c r="F27" s="34">
        <f>2/3*2000000</f>
        <v>1333333.3333333333</v>
      </c>
      <c r="G27" s="34">
        <f>2/3*4000000</f>
        <v>2666666.6666666665</v>
      </c>
      <c r="H27" s="31">
        <v>5</v>
      </c>
      <c r="I27" s="34">
        <f t="shared" ref="I27:I29" si="16">F27*H27</f>
        <v>6666666.666666666</v>
      </c>
      <c r="J27" s="34">
        <f t="shared" ref="J27:J29" si="17">G27*H27</f>
        <v>13333333.333333332</v>
      </c>
      <c r="K27" s="31">
        <f>115*130</f>
        <v>14950</v>
      </c>
      <c r="L27" s="31">
        <f>67*48</f>
        <v>3216</v>
      </c>
      <c r="M27" s="31">
        <v>0.6</v>
      </c>
      <c r="N27" s="31">
        <v>2850</v>
      </c>
      <c r="O27" s="34">
        <f>L27/1000000*N27*1000000000*F27+I27*1000000000*$N$2*L27/1000000*M27</f>
        <v>4.88832E+16</v>
      </c>
      <c r="P27" s="34">
        <f>G27*1000000000*N27*K27/1000000+J27*1000000000*K27*N27/1000000*0.6</f>
        <v>4.5447999999999994E+17</v>
      </c>
      <c r="Q27" s="51">
        <v>-6</v>
      </c>
      <c r="R27" s="47">
        <f t="shared" ref="R27:R42" si="18">((O27*1000)/44)/(E27*1000000)</f>
        <v>3267593582887.6675</v>
      </c>
      <c r="S27" s="47">
        <f t="shared" ref="S27:S42" si="19">((P27*1000)/44)/(E27*1000000)</f>
        <v>30379679144384.719</v>
      </c>
    </row>
    <row r="28" spans="1:19" ht="18" customHeight="1" x14ac:dyDescent="0.25">
      <c r="B28" s="31" t="s">
        <v>44</v>
      </c>
      <c r="C28" s="33">
        <v>251.9</v>
      </c>
      <c r="D28" s="31">
        <v>251.48</v>
      </c>
      <c r="E28" s="33">
        <f t="shared" ref="E28:E29" si="20">C28-D28</f>
        <v>0.42000000000001592</v>
      </c>
      <c r="F28" s="34">
        <v>0</v>
      </c>
      <c r="G28" s="34">
        <v>0</v>
      </c>
      <c r="H28" s="31">
        <v>5</v>
      </c>
      <c r="I28" s="34">
        <f t="shared" si="16"/>
        <v>0</v>
      </c>
      <c r="J28" s="34">
        <f t="shared" si="17"/>
        <v>0</v>
      </c>
      <c r="K28" s="31"/>
      <c r="L28" s="31"/>
      <c r="M28" s="31"/>
      <c r="N28" s="31"/>
      <c r="O28" s="34">
        <f>L28/1000000*N28*1000000000*F28+I28*1000000000*$N$2*L28/1000000*M28</f>
        <v>0</v>
      </c>
      <c r="P28" s="34">
        <f>G28*1000000000*N28*K28/1000000+J28*1000000000*K28*N28/1000000*0.6</f>
        <v>0</v>
      </c>
      <c r="Q28" s="51">
        <v>-6</v>
      </c>
      <c r="R28" s="47">
        <f t="shared" si="18"/>
        <v>0</v>
      </c>
      <c r="S28" s="47">
        <f t="shared" si="19"/>
        <v>0</v>
      </c>
    </row>
    <row r="29" spans="1:19" ht="18" customHeight="1" x14ac:dyDescent="0.25">
      <c r="B29" s="31" t="s">
        <v>8</v>
      </c>
      <c r="C29" s="33">
        <v>251.48</v>
      </c>
      <c r="D29" s="31">
        <v>250.2</v>
      </c>
      <c r="E29" s="33">
        <f t="shared" si="20"/>
        <v>1.2800000000000011</v>
      </c>
      <c r="F29" s="34">
        <f>1/3*2000000</f>
        <v>666666.66666666663</v>
      </c>
      <c r="G29" s="34">
        <f>1/3*4000000</f>
        <v>1333333.3333333333</v>
      </c>
      <c r="H29" s="31">
        <v>5</v>
      </c>
      <c r="I29" s="34">
        <f t="shared" si="16"/>
        <v>3333333.333333333</v>
      </c>
      <c r="J29" s="34">
        <f t="shared" si="17"/>
        <v>6666666.666666666</v>
      </c>
      <c r="K29" s="31">
        <f>115*130</f>
        <v>14950</v>
      </c>
      <c r="L29" s="31">
        <f>67*48</f>
        <v>3216</v>
      </c>
      <c r="M29" s="31">
        <v>0.6</v>
      </c>
      <c r="N29" s="31">
        <v>2850</v>
      </c>
      <c r="O29" s="34">
        <f>L29/1000000*N29*1000000000*F29+I29*1000000000*$N$2*L29/1000000*M29</f>
        <v>2.44416E+16</v>
      </c>
      <c r="P29" s="34">
        <f>G29*1000000000*N29*K29/1000000+J29*1000000000*K29*N29/1000000*0.6</f>
        <v>2.2723999999999997E+17</v>
      </c>
      <c r="Q29" s="51">
        <v>-6</v>
      </c>
      <c r="R29" s="47">
        <f t="shared" si="18"/>
        <v>433977272727.27234</v>
      </c>
      <c r="S29" s="47">
        <f t="shared" si="19"/>
        <v>4034801136363.6323</v>
      </c>
    </row>
    <row r="30" spans="1:19" ht="18" customHeight="1" x14ac:dyDescent="0.25">
      <c r="A30" s="44" t="s">
        <v>96</v>
      </c>
      <c r="B30" s="35" t="s">
        <v>16</v>
      </c>
      <c r="C30" s="33">
        <v>66.423000000000002</v>
      </c>
      <c r="D30" s="35">
        <v>10000</v>
      </c>
      <c r="E30" s="36">
        <f>D30/1000000</f>
        <v>0.01</v>
      </c>
      <c r="F30" s="31">
        <v>5</v>
      </c>
      <c r="G30" s="31">
        <f>E30*F30</f>
        <v>0.05</v>
      </c>
      <c r="H30" s="37">
        <v>8659.2017940097285</v>
      </c>
      <c r="I30" s="37">
        <f>H30*130/48</f>
        <v>23452.004858776349</v>
      </c>
      <c r="J30" s="31">
        <v>0.6</v>
      </c>
      <c r="K30" s="31">
        <v>2850</v>
      </c>
      <c r="O30" s="34">
        <f t="shared" ref="O30:O40" si="21">E30*1000000000*K30*H30/1000000+G30*K30*1000000000*H30/1000000*J30</f>
        <v>987149004.51710892</v>
      </c>
      <c r="P30" s="34">
        <f t="shared" ref="P30:P40" si="22">E30*1000000000*K30*I30/1000000+G30*K30*1000000000*I30/1000000*J30</f>
        <v>2673528553.9005036</v>
      </c>
      <c r="Q30" s="51">
        <v>-6</v>
      </c>
      <c r="R30" s="47">
        <f>((O30*1000)/44)/(E30)</f>
        <v>2243520464811.6113</v>
      </c>
      <c r="S30" s="47">
        <f>((P30*1000)/44)/(E30)</f>
        <v>6076201258864.7803</v>
      </c>
    </row>
    <row r="31" spans="1:19" ht="18" customHeight="1" x14ac:dyDescent="0.25">
      <c r="B31" s="35" t="s">
        <v>17</v>
      </c>
      <c r="C31" s="33">
        <v>66.412999999999997</v>
      </c>
      <c r="D31" s="37">
        <v>61000</v>
      </c>
      <c r="E31" s="36">
        <f t="shared" ref="E31:E40" si="23">D31/1000000</f>
        <v>6.0999999999999999E-2</v>
      </c>
      <c r="F31" s="31">
        <v>5</v>
      </c>
      <c r="G31" s="31">
        <f t="shared" ref="G31:G40" si="24">E31*F31</f>
        <v>0.30499999999999999</v>
      </c>
      <c r="H31" s="37">
        <v>5500</v>
      </c>
      <c r="I31" s="37">
        <f t="shared" ref="I31:I40" si="25">H31*130/48</f>
        <v>14895.833333333334</v>
      </c>
      <c r="J31" s="31">
        <v>0.6</v>
      </c>
      <c r="K31" s="31">
        <v>2850</v>
      </c>
      <c r="O31" s="34">
        <f t="shared" si="21"/>
        <v>3824700000</v>
      </c>
      <c r="P31" s="34">
        <f t="shared" si="22"/>
        <v>10358562500</v>
      </c>
      <c r="Q31" s="51">
        <v>-6</v>
      </c>
      <c r="R31" s="47">
        <f t="shared" ref="R31:R40" si="26">((O31*1000)/44)/(E31)</f>
        <v>1425000000000</v>
      </c>
      <c r="S31" s="47">
        <f t="shared" ref="S31:S40" si="27">((P31*1000)/44)/(E31)</f>
        <v>3859375000000</v>
      </c>
    </row>
    <row r="32" spans="1:19" ht="18" customHeight="1" x14ac:dyDescent="0.25">
      <c r="B32" s="35" t="s">
        <v>18</v>
      </c>
      <c r="C32" s="33">
        <v>66.35199999999999</v>
      </c>
      <c r="D32" s="37">
        <v>52000</v>
      </c>
      <c r="E32" s="36">
        <f t="shared" si="23"/>
        <v>5.1999999999999998E-2</v>
      </c>
      <c r="F32" s="31">
        <v>5</v>
      </c>
      <c r="G32" s="31">
        <f t="shared" si="24"/>
        <v>0.26</v>
      </c>
      <c r="H32" s="37">
        <v>5300</v>
      </c>
      <c r="I32" s="37">
        <f t="shared" si="25"/>
        <v>14354.166666666666</v>
      </c>
      <c r="J32" s="31">
        <v>0.6</v>
      </c>
      <c r="K32" s="31">
        <v>2850</v>
      </c>
      <c r="O32" s="34">
        <f t="shared" si="21"/>
        <v>3141840000</v>
      </c>
      <c r="P32" s="34">
        <f t="shared" si="22"/>
        <v>8509150000</v>
      </c>
      <c r="Q32" s="51">
        <v>-6</v>
      </c>
      <c r="R32" s="47">
        <f t="shared" si="26"/>
        <v>1373181818181.8181</v>
      </c>
      <c r="S32" s="47">
        <f t="shared" si="27"/>
        <v>3719034090909.0913</v>
      </c>
    </row>
    <row r="33" spans="1:19" ht="18" customHeight="1" x14ac:dyDescent="0.25">
      <c r="B33" s="35" t="s">
        <v>19</v>
      </c>
      <c r="C33" s="33">
        <v>66.299999999999983</v>
      </c>
      <c r="D33" s="37">
        <v>25000</v>
      </c>
      <c r="E33" s="36">
        <f t="shared" si="23"/>
        <v>2.5000000000000001E-2</v>
      </c>
      <c r="F33" s="31">
        <v>5</v>
      </c>
      <c r="G33" s="31">
        <f t="shared" si="24"/>
        <v>0.125</v>
      </c>
      <c r="H33" s="37">
        <v>6000</v>
      </c>
      <c r="I33" s="37">
        <f t="shared" si="25"/>
        <v>16250</v>
      </c>
      <c r="J33" s="31">
        <v>0.6</v>
      </c>
      <c r="K33" s="31">
        <v>2850</v>
      </c>
      <c r="O33" s="34">
        <f t="shared" si="21"/>
        <v>1710000000</v>
      </c>
      <c r="P33" s="34">
        <f t="shared" si="22"/>
        <v>4631250000</v>
      </c>
      <c r="Q33" s="51">
        <v>-6</v>
      </c>
      <c r="R33" s="47">
        <f t="shared" si="26"/>
        <v>1554545454545.4543</v>
      </c>
      <c r="S33" s="47">
        <f t="shared" si="27"/>
        <v>4210227272727.2729</v>
      </c>
    </row>
    <row r="34" spans="1:19" ht="18" customHeight="1" x14ac:dyDescent="0.25">
      <c r="B34" s="35" t="s">
        <v>20</v>
      </c>
      <c r="C34" s="33">
        <v>66.274999999999977</v>
      </c>
      <c r="D34" s="37">
        <v>56000</v>
      </c>
      <c r="E34" s="36">
        <f t="shared" si="23"/>
        <v>5.6000000000000001E-2</v>
      </c>
      <c r="F34" s="31">
        <v>5</v>
      </c>
      <c r="G34" s="31">
        <f t="shared" si="24"/>
        <v>0.28000000000000003</v>
      </c>
      <c r="H34" s="37">
        <v>3937.0507073040844</v>
      </c>
      <c r="I34" s="37">
        <f t="shared" si="25"/>
        <v>10662.845665615228</v>
      </c>
      <c r="J34" s="31">
        <v>0.6</v>
      </c>
      <c r="K34" s="31">
        <v>2850</v>
      </c>
      <c r="O34" s="34">
        <f t="shared" si="21"/>
        <v>2513413171.5429277</v>
      </c>
      <c r="P34" s="34">
        <f t="shared" si="22"/>
        <v>6807160672.9287624</v>
      </c>
      <c r="Q34" s="51">
        <v>-6</v>
      </c>
      <c r="R34" s="47">
        <f t="shared" si="26"/>
        <v>1020054046892.422</v>
      </c>
      <c r="S34" s="47">
        <f t="shared" si="27"/>
        <v>2762646377000.3096</v>
      </c>
    </row>
    <row r="35" spans="1:19" ht="18" customHeight="1" x14ac:dyDescent="0.25">
      <c r="B35" s="35" t="s">
        <v>21</v>
      </c>
      <c r="C35" s="33">
        <v>66.21899999999998</v>
      </c>
      <c r="D35" s="37">
        <v>39000</v>
      </c>
      <c r="E35" s="36">
        <f t="shared" si="23"/>
        <v>3.9E-2</v>
      </c>
      <c r="F35" s="31">
        <v>5</v>
      </c>
      <c r="G35" s="31">
        <f t="shared" si="24"/>
        <v>0.19500000000000001</v>
      </c>
      <c r="H35" s="37">
        <v>5000</v>
      </c>
      <c r="I35" s="37">
        <f t="shared" si="25"/>
        <v>13541.666666666666</v>
      </c>
      <c r="J35" s="31">
        <v>0.6</v>
      </c>
      <c r="K35" s="31">
        <v>2850</v>
      </c>
      <c r="O35" s="34">
        <f t="shared" si="21"/>
        <v>2223000000</v>
      </c>
      <c r="P35" s="34">
        <f t="shared" si="22"/>
        <v>6020625000</v>
      </c>
      <c r="Q35" s="51">
        <v>-6</v>
      </c>
      <c r="R35" s="47">
        <f t="shared" si="26"/>
        <v>1295454545454.5454</v>
      </c>
      <c r="S35" s="47">
        <f t="shared" si="27"/>
        <v>3508522727272.7275</v>
      </c>
    </row>
    <row r="36" spans="1:19" ht="18" customHeight="1" x14ac:dyDescent="0.25">
      <c r="B36" s="35" t="s">
        <v>22</v>
      </c>
      <c r="C36" s="33">
        <v>66.179999999999978</v>
      </c>
      <c r="D36" s="37">
        <v>71000</v>
      </c>
      <c r="E36" s="36">
        <f t="shared" si="23"/>
        <v>7.0999999999999994E-2</v>
      </c>
      <c r="F36" s="31">
        <v>5</v>
      </c>
      <c r="G36" s="31">
        <f t="shared" si="24"/>
        <v>0.35499999999999998</v>
      </c>
      <c r="H36" s="37">
        <v>2900</v>
      </c>
      <c r="I36" s="37">
        <f t="shared" si="25"/>
        <v>7854.166666666667</v>
      </c>
      <c r="J36" s="31">
        <v>0.6</v>
      </c>
      <c r="K36" s="31">
        <v>2850</v>
      </c>
      <c r="O36" s="34">
        <f t="shared" si="21"/>
        <v>2347260000</v>
      </c>
      <c r="P36" s="34">
        <f t="shared" si="22"/>
        <v>6357162500</v>
      </c>
      <c r="Q36" s="51">
        <v>-6</v>
      </c>
      <c r="R36" s="47">
        <f t="shared" si="26"/>
        <v>751363636363.63647</v>
      </c>
      <c r="S36" s="47">
        <f t="shared" si="27"/>
        <v>2034943181818.1821</v>
      </c>
    </row>
    <row r="37" spans="1:19" ht="18" customHeight="1" x14ac:dyDescent="0.25">
      <c r="B37" s="35" t="s">
        <v>23</v>
      </c>
      <c r="C37" s="33">
        <v>66.10899999999998</v>
      </c>
      <c r="D37" s="37">
        <v>56000</v>
      </c>
      <c r="E37" s="36">
        <f t="shared" si="23"/>
        <v>5.6000000000000001E-2</v>
      </c>
      <c r="F37" s="31">
        <v>5</v>
      </c>
      <c r="G37" s="31">
        <f t="shared" si="24"/>
        <v>0.28000000000000003</v>
      </c>
      <c r="H37" s="37">
        <v>3500</v>
      </c>
      <c r="I37" s="37">
        <f t="shared" si="25"/>
        <v>9479.1666666666661</v>
      </c>
      <c r="J37" s="31">
        <v>0.6</v>
      </c>
      <c r="K37" s="31">
        <v>2850</v>
      </c>
      <c r="O37" s="34">
        <f t="shared" si="21"/>
        <v>2234400000</v>
      </c>
      <c r="P37" s="34">
        <f t="shared" si="22"/>
        <v>6051500000</v>
      </c>
      <c r="Q37" s="51">
        <v>-6</v>
      </c>
      <c r="R37" s="47">
        <f t="shared" si="26"/>
        <v>906818181818.18188</v>
      </c>
      <c r="S37" s="47">
        <f t="shared" si="27"/>
        <v>2455965909090.9092</v>
      </c>
    </row>
    <row r="38" spans="1:19" ht="18" customHeight="1" x14ac:dyDescent="0.25">
      <c r="B38" s="35" t="s">
        <v>24</v>
      </c>
      <c r="C38" s="33">
        <v>66.052999999999983</v>
      </c>
      <c r="D38" s="37">
        <v>137000</v>
      </c>
      <c r="E38" s="36">
        <f t="shared" si="23"/>
        <v>0.13700000000000001</v>
      </c>
      <c r="F38" s="31">
        <v>5</v>
      </c>
      <c r="G38" s="31">
        <f t="shared" si="24"/>
        <v>0.68500000000000005</v>
      </c>
      <c r="H38" s="37">
        <v>748.59750000000008</v>
      </c>
      <c r="I38" s="37">
        <f t="shared" si="25"/>
        <v>2027.4515625000004</v>
      </c>
      <c r="J38" s="31">
        <v>0.6</v>
      </c>
      <c r="K38" s="31">
        <v>2850</v>
      </c>
      <c r="O38" s="34">
        <f t="shared" si="21"/>
        <v>1169159575.5000002</v>
      </c>
      <c r="P38" s="34">
        <f t="shared" si="22"/>
        <v>3166473850.3125005</v>
      </c>
      <c r="Q38" s="51">
        <v>-6</v>
      </c>
      <c r="R38" s="47">
        <f t="shared" si="26"/>
        <v>193954806818.18185</v>
      </c>
      <c r="S38" s="47">
        <f t="shared" si="27"/>
        <v>525294268465.90918</v>
      </c>
    </row>
    <row r="39" spans="1:19" ht="18" customHeight="1" x14ac:dyDescent="0.25">
      <c r="B39" s="35" t="s">
        <v>25</v>
      </c>
      <c r="C39" s="33">
        <v>65.915999999999983</v>
      </c>
      <c r="D39" s="37">
        <v>330000</v>
      </c>
      <c r="E39" s="36">
        <f t="shared" si="23"/>
        <v>0.33</v>
      </c>
      <c r="F39" s="31">
        <v>5</v>
      </c>
      <c r="G39" s="31">
        <f t="shared" si="24"/>
        <v>1.6500000000000001</v>
      </c>
      <c r="H39" s="37">
        <v>1120.32142857143</v>
      </c>
      <c r="I39" s="37">
        <f t="shared" si="25"/>
        <v>3034.2038690476234</v>
      </c>
      <c r="J39" s="31">
        <v>0.6</v>
      </c>
      <c r="K39" s="31">
        <v>2850</v>
      </c>
      <c r="O39" s="34">
        <f t="shared" si="21"/>
        <v>4214649214.2857199</v>
      </c>
      <c r="P39" s="34">
        <f t="shared" si="22"/>
        <v>11414674955.357159</v>
      </c>
      <c r="Q39" s="51">
        <v>-6</v>
      </c>
      <c r="R39" s="47">
        <f t="shared" si="26"/>
        <v>290265097402.59778</v>
      </c>
      <c r="S39" s="47">
        <f t="shared" si="27"/>
        <v>786134638798.70227</v>
      </c>
    </row>
    <row r="40" spans="1:19" ht="18" customHeight="1" x14ac:dyDescent="0.25">
      <c r="B40" s="39" t="s">
        <v>26</v>
      </c>
      <c r="C40" s="33">
        <v>65.585999999999984</v>
      </c>
      <c r="D40" s="37">
        <v>163000</v>
      </c>
      <c r="E40" s="36">
        <f t="shared" si="23"/>
        <v>0.16300000000000001</v>
      </c>
      <c r="F40" s="31">
        <v>5</v>
      </c>
      <c r="G40" s="31">
        <f t="shared" si="24"/>
        <v>0.81500000000000006</v>
      </c>
      <c r="H40" s="37">
        <v>927.10782608695604</v>
      </c>
      <c r="I40" s="37">
        <f t="shared" si="25"/>
        <v>2510.917028985506</v>
      </c>
      <c r="J40" s="31">
        <v>0.6</v>
      </c>
      <c r="K40" s="31">
        <v>2850</v>
      </c>
      <c r="O40" s="34">
        <f t="shared" si="21"/>
        <v>1722751762.4347818</v>
      </c>
      <c r="P40" s="34">
        <f t="shared" si="22"/>
        <v>4665786023.2608671</v>
      </c>
      <c r="Q40" s="51">
        <v>-6</v>
      </c>
      <c r="R40" s="47">
        <f t="shared" si="26"/>
        <v>240205209486.16589</v>
      </c>
      <c r="S40" s="47">
        <f t="shared" si="27"/>
        <v>650555775691.69922</v>
      </c>
    </row>
    <row r="41" spans="1:19" s="31" customFormat="1" ht="18" customHeight="1" x14ac:dyDescent="0.25">
      <c r="A41" s="29" t="s">
        <v>97</v>
      </c>
      <c r="B41" s="31" t="s">
        <v>31</v>
      </c>
      <c r="C41" s="33">
        <v>61</v>
      </c>
      <c r="D41" s="31">
        <v>57</v>
      </c>
      <c r="E41" s="33">
        <f>C41-D41</f>
        <v>4</v>
      </c>
      <c r="F41" s="31">
        <v>150000</v>
      </c>
      <c r="G41" s="31">
        <v>5</v>
      </c>
      <c r="H41" s="31">
        <f>F41*G41</f>
        <v>750000</v>
      </c>
      <c r="I41" s="31">
        <f>15*48</f>
        <v>720</v>
      </c>
      <c r="J41" s="31">
        <f>80*130</f>
        <v>10400</v>
      </c>
      <c r="K41" s="31">
        <v>0.6</v>
      </c>
      <c r="L41" s="31">
        <v>2850</v>
      </c>
      <c r="O41" s="34">
        <f>I41/1000000*L41*1000000000*F41+H41*1000000000*$L$2*I41/1000000*K41</f>
        <v>1349784000000000</v>
      </c>
      <c r="P41" s="34">
        <f>J41/1000000*L41*1000000000*F41+H41*1000000000*$L$2*J41/1000000*K41</f>
        <v>1.949688E+16</v>
      </c>
      <c r="Q41" s="52">
        <v>-6</v>
      </c>
      <c r="R41" s="47">
        <f t="shared" si="18"/>
        <v>7669227272.727273</v>
      </c>
      <c r="S41" s="47">
        <f t="shared" si="19"/>
        <v>110777727272.72728</v>
      </c>
    </row>
    <row r="42" spans="1:19" s="31" customFormat="1" ht="18" customHeight="1" x14ac:dyDescent="0.25">
      <c r="A42" s="29"/>
      <c r="B42" s="31" t="s">
        <v>33</v>
      </c>
      <c r="C42" s="33">
        <v>56</v>
      </c>
      <c r="D42" s="31">
        <v>55</v>
      </c>
      <c r="E42" s="33">
        <f>C42-D42</f>
        <v>1</v>
      </c>
      <c r="F42" s="34">
        <v>1800000</v>
      </c>
      <c r="G42" s="31">
        <v>5</v>
      </c>
      <c r="H42" s="31">
        <f>F42*G42</f>
        <v>9000000</v>
      </c>
      <c r="I42" s="31">
        <f>15*48</f>
        <v>720</v>
      </c>
      <c r="J42" s="31">
        <f>80*130</f>
        <v>10400</v>
      </c>
      <c r="K42" s="31">
        <v>0.6</v>
      </c>
      <c r="L42" s="31">
        <v>2850</v>
      </c>
      <c r="O42" s="34">
        <f>I42/1000000*L42*1000000000*F42+H42*1000000000*$L$2*I42/1000000*K42</f>
        <v>1.6197408E+16</v>
      </c>
      <c r="P42" s="34">
        <f>J42/1000000*L42*1000000000*F42+H42*1000000000*$L$2*J42/1000000*K42</f>
        <v>2.3396256E+17</v>
      </c>
      <c r="Q42" s="52">
        <v>-6</v>
      </c>
      <c r="R42" s="47">
        <f t="shared" si="18"/>
        <v>368122909090.90912</v>
      </c>
      <c r="S42" s="47">
        <f t="shared" si="19"/>
        <v>5317330909090.9092</v>
      </c>
    </row>
    <row r="43" spans="1:19" ht="18" customHeight="1" x14ac:dyDescent="0.2">
      <c r="A43" s="44" t="s">
        <v>98</v>
      </c>
      <c r="B43" s="41" t="s">
        <v>78</v>
      </c>
      <c r="C43" s="42">
        <v>30.51</v>
      </c>
      <c r="D43" s="41">
        <v>29.94</v>
      </c>
      <c r="E43" s="42">
        <f>(C43-D43)</f>
        <v>0.57000000000000028</v>
      </c>
      <c r="F43" s="41">
        <v>350000</v>
      </c>
      <c r="G43" s="41">
        <v>5</v>
      </c>
      <c r="H43" s="41">
        <f>F43*G43</f>
        <v>1750000</v>
      </c>
      <c r="I43" s="48">
        <v>4152</v>
      </c>
      <c r="J43" s="48">
        <v>11245</v>
      </c>
      <c r="K43" s="41">
        <v>0.6</v>
      </c>
      <c r="L43" s="41">
        <v>2850</v>
      </c>
      <c r="M43" s="43">
        <f>(I43/1000000*L43*1000000000*F43+H43*1000000000*$K$6*I43/1000000*K43)*1000/44.01/E43</f>
        <v>6.6039536468984282E+17</v>
      </c>
      <c r="N43" s="43">
        <f>(J43/1000000*L43*1000000000*F43+H43*1000000000*$K$6*J43/1000000*K43)*1000/44.01/E43</f>
        <v>1.7885707793683246E+18</v>
      </c>
      <c r="O43" s="41">
        <v>-6</v>
      </c>
      <c r="P43" s="34"/>
      <c r="Q43" s="51">
        <v>-6</v>
      </c>
      <c r="R43" s="47">
        <v>660395364689.8429</v>
      </c>
      <c r="S43" s="47">
        <v>1788570779368.3247</v>
      </c>
    </row>
    <row r="44" spans="1:19" ht="18" customHeight="1" x14ac:dyDescent="0.25">
      <c r="A44" s="44" t="s">
        <v>99</v>
      </c>
      <c r="B44" s="31" t="s">
        <v>46</v>
      </c>
      <c r="C44" s="33">
        <v>16.649999999999999</v>
      </c>
      <c r="D44" s="31">
        <v>16.59</v>
      </c>
      <c r="E44" s="33">
        <f>C44-D44</f>
        <v>5.9999999999998721E-2</v>
      </c>
      <c r="F44" s="31">
        <v>31800</v>
      </c>
      <c r="G44" s="31">
        <v>5</v>
      </c>
      <c r="H44" s="31">
        <f>F44*G44</f>
        <v>159000</v>
      </c>
      <c r="I44" s="31">
        <f>178*48</f>
        <v>8544</v>
      </c>
      <c r="J44" s="31">
        <f>178*130</f>
        <v>23140</v>
      </c>
      <c r="K44" s="31">
        <v>0.6</v>
      </c>
      <c r="L44" s="31">
        <v>2850</v>
      </c>
      <c r="O44" s="34">
        <f>I44/1000000*L44*1000000000*F44+H44*1000000000*$L$2*I44/1000000*K44</f>
        <v>3395696601600000</v>
      </c>
      <c r="P44" s="34">
        <f>J44/1000000*L44*1000000000*F44+H44*1000000000*$L$2*J44/1000000*K44</f>
        <v>9196678296000000</v>
      </c>
      <c r="Q44" s="51">
        <v>-6</v>
      </c>
      <c r="R44" s="47">
        <f>((O44*1000)/44)/(E44*1000000)</f>
        <v>1286248712727.3003</v>
      </c>
      <c r="S44" s="47">
        <f>((P44*1000)/44)/(E44*1000000)</f>
        <v>3483590263636.438</v>
      </c>
    </row>
    <row r="45" spans="1:19" ht="18" customHeight="1" x14ac:dyDescent="0.25">
      <c r="B45" s="31" t="s">
        <v>47</v>
      </c>
      <c r="C45" s="33">
        <v>16.59</v>
      </c>
      <c r="D45" s="31">
        <v>16.57</v>
      </c>
      <c r="E45" s="33">
        <f t="shared" ref="E45:E48" si="28">C45-D45</f>
        <v>1.9999999999999574E-2</v>
      </c>
      <c r="F45" s="31">
        <v>11000</v>
      </c>
      <c r="G45" s="31">
        <v>5</v>
      </c>
      <c r="H45" s="31">
        <f t="shared" ref="H45:H48" si="29">F45*G45</f>
        <v>55000</v>
      </c>
      <c r="I45" s="31">
        <v>8544</v>
      </c>
      <c r="J45" s="31">
        <v>23140</v>
      </c>
      <c r="K45" s="31">
        <v>0.6</v>
      </c>
      <c r="L45" s="31">
        <v>2850</v>
      </c>
      <c r="O45" s="34">
        <f>I45/1000000*L45*1000000000*F45+H45*1000000000*$L$2*I45/1000000*K45</f>
        <v>1174612032000000</v>
      </c>
      <c r="P45" s="34">
        <f>J45/1000000*L45*1000000000*F45+H45*1000000000*$L$2*J45/1000000*K45</f>
        <v>3181240920000000</v>
      </c>
      <c r="Q45" s="51">
        <v>-6</v>
      </c>
      <c r="R45" s="47">
        <f>((O45*1000)/44)/(E45*1000000)</f>
        <v>1334786400000.0283</v>
      </c>
      <c r="S45" s="47">
        <f>((P45*1000)/44)/(E45*1000000)</f>
        <v>3615046500000.0771</v>
      </c>
    </row>
    <row r="46" spans="1:19" ht="18" customHeight="1" x14ac:dyDescent="0.25">
      <c r="B46" s="31" t="s">
        <v>48</v>
      </c>
      <c r="C46" s="33">
        <v>16.57</v>
      </c>
      <c r="D46" s="31">
        <v>16.065999999999999</v>
      </c>
      <c r="E46" s="33">
        <f t="shared" si="28"/>
        <v>0.50400000000000134</v>
      </c>
      <c r="F46" s="31">
        <v>149000</v>
      </c>
      <c r="G46" s="31">
        <v>5</v>
      </c>
      <c r="H46" s="31">
        <f t="shared" si="29"/>
        <v>745000</v>
      </c>
      <c r="I46" s="31">
        <v>8544</v>
      </c>
      <c r="J46" s="31">
        <v>23140</v>
      </c>
      <c r="K46" s="31">
        <v>0.6</v>
      </c>
      <c r="L46" s="31">
        <v>2850</v>
      </c>
      <c r="O46" s="34">
        <f>I46/1000000*L46*1000000000*F46+H46*1000000000*$L$2*I46/1000000*K46</f>
        <v>1.5910653888000002E+16</v>
      </c>
      <c r="P46" s="34">
        <f>J46/1000000*L46*1000000000*F46+H46*1000000000*$L$2*J46/1000000*K46</f>
        <v>4.309135428E+16</v>
      </c>
      <c r="Q46" s="51">
        <v>-6</v>
      </c>
      <c r="R46" s="47">
        <f>((O46*1000)/44)/(E46*1000000)</f>
        <v>717471766233.7644</v>
      </c>
      <c r="S46" s="47">
        <f>((P46*1000)/44)/(E46*1000000)</f>
        <v>1943152700216.4448</v>
      </c>
    </row>
    <row r="47" spans="1:19" ht="18" customHeight="1" x14ac:dyDescent="0.25">
      <c r="B47" s="31" t="s">
        <v>54</v>
      </c>
      <c r="C47" s="33">
        <v>16.065999999999999</v>
      </c>
      <c r="D47" s="31">
        <v>15.895</v>
      </c>
      <c r="E47" s="33">
        <f t="shared" si="28"/>
        <v>0.17099999999999937</v>
      </c>
      <c r="F47" s="31">
        <v>12175</v>
      </c>
      <c r="G47" s="31">
        <v>5</v>
      </c>
      <c r="H47" s="31">
        <f t="shared" si="29"/>
        <v>60875</v>
      </c>
      <c r="I47" s="31">
        <v>8544</v>
      </c>
      <c r="J47" s="31">
        <v>23140</v>
      </c>
      <c r="K47" s="31">
        <v>0.6</v>
      </c>
      <c r="L47" s="31">
        <v>2850</v>
      </c>
      <c r="O47" s="34">
        <f>I47/1000000*L47*1000000000*F47+H47*1000000000*$L$2*I47/1000000*K47</f>
        <v>1300081953600000</v>
      </c>
      <c r="P47" s="34">
        <f>J47/1000000*L47*1000000000*F47+H47*1000000000*$L$2*J47/1000000*K47</f>
        <v>3521055291000000</v>
      </c>
      <c r="Q47" s="51">
        <v>-6</v>
      </c>
      <c r="R47" s="47">
        <f>((O47*1000)/44)/(E47*1000000)</f>
        <v>172791328229.66568</v>
      </c>
      <c r="S47" s="47">
        <f>((P47*1000)/44)/(E47*1000000)</f>
        <v>467976513955.34454</v>
      </c>
    </row>
    <row r="48" spans="1:19" ht="18" customHeight="1" x14ac:dyDescent="0.25">
      <c r="B48" s="31" t="s">
        <v>49</v>
      </c>
      <c r="C48" s="33">
        <v>15.895</v>
      </c>
      <c r="D48" s="31">
        <v>6</v>
      </c>
      <c r="E48" s="33">
        <f t="shared" si="28"/>
        <v>9.8949999999999996</v>
      </c>
      <c r="F48" s="31">
        <v>2424</v>
      </c>
      <c r="G48" s="31">
        <v>5</v>
      </c>
      <c r="H48" s="31">
        <f t="shared" si="29"/>
        <v>12120</v>
      </c>
      <c r="I48" s="31">
        <v>8544</v>
      </c>
      <c r="J48" s="31">
        <v>23140</v>
      </c>
      <c r="K48" s="31">
        <v>0.6</v>
      </c>
      <c r="L48" s="31">
        <v>2850</v>
      </c>
      <c r="O48" s="34">
        <f>I48/1000000*L48*1000000000*F48+H48*1000000000*$L$2*I48/1000000*K48</f>
        <v>258841778688000</v>
      </c>
      <c r="P48" s="34">
        <f>J48/1000000*L48*1000000000*F48+H48*1000000000*$L$2*J48/1000000*K48</f>
        <v>701029817280000</v>
      </c>
      <c r="Q48" s="51">
        <v>-6</v>
      </c>
      <c r="R48" s="47">
        <f>((O48*1000)/44)/(E48*1000000)</f>
        <v>594519221.57196009</v>
      </c>
      <c r="S48" s="47">
        <f>((P48*1000)/44)/(E48*1000000)</f>
        <v>1610156225.0907254</v>
      </c>
    </row>
    <row r="49" spans="1:19" ht="18" customHeight="1" x14ac:dyDescent="0.25">
      <c r="B49" s="31"/>
      <c r="C49" s="33"/>
      <c r="D49" s="31"/>
      <c r="E49" s="33"/>
      <c r="F49" s="31"/>
      <c r="G49" s="31"/>
      <c r="H49" s="31"/>
      <c r="I49" s="31"/>
      <c r="J49" s="31"/>
      <c r="K49" s="31"/>
      <c r="L49" s="31"/>
      <c r="O49" s="34"/>
      <c r="P49" s="34"/>
      <c r="Q49" s="51"/>
      <c r="R49" s="47"/>
      <c r="S49" s="47"/>
    </row>
    <row r="50" spans="1:19" ht="18" customHeight="1" x14ac:dyDescent="0.25">
      <c r="B50" s="31"/>
      <c r="C50" s="33"/>
      <c r="D50" s="31"/>
      <c r="E50" s="33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R50" s="47"/>
      <c r="S50" s="47"/>
    </row>
    <row r="51" spans="1:19" ht="18" customHeight="1" x14ac:dyDescent="0.25">
      <c r="A51" s="29" t="s">
        <v>89</v>
      </c>
      <c r="C51" s="33"/>
      <c r="D51" s="31"/>
      <c r="E51" s="33"/>
      <c r="F51" s="34"/>
      <c r="G51" s="34"/>
      <c r="H51" s="31"/>
      <c r="I51" s="31"/>
      <c r="J51" s="31"/>
      <c r="K51" s="31"/>
      <c r="L51" s="31"/>
      <c r="M51" s="31"/>
      <c r="N51" s="31"/>
      <c r="O51" s="31"/>
      <c r="P51" s="31"/>
      <c r="R51" s="47"/>
      <c r="S51" s="47"/>
    </row>
    <row r="52" spans="1:19" ht="18" customHeight="1" x14ac:dyDescent="0.25">
      <c r="A52" s="44" t="s">
        <v>101</v>
      </c>
      <c r="B52" s="31" t="s">
        <v>7</v>
      </c>
      <c r="C52" s="33">
        <v>252.24</v>
      </c>
      <c r="D52" s="31">
        <v>251.9</v>
      </c>
      <c r="E52" s="33">
        <f>C52-D52</f>
        <v>0.34000000000000341</v>
      </c>
      <c r="F52" s="34">
        <f>2/3*2000000</f>
        <v>1333333.3333333333</v>
      </c>
      <c r="G52" s="34">
        <f>2/3*4000000</f>
        <v>2666666.6666666665</v>
      </c>
      <c r="H52" s="31">
        <v>10</v>
      </c>
      <c r="I52" s="34">
        <f t="shared" ref="I52:I54" si="30">F52*H52</f>
        <v>13333333.333333332</v>
      </c>
      <c r="J52" s="34">
        <f t="shared" ref="J52:J54" si="31">G52*H52</f>
        <v>26666666.666666664</v>
      </c>
      <c r="K52" s="31">
        <f>115*130</f>
        <v>14950</v>
      </c>
      <c r="L52" s="31">
        <f>67*48</f>
        <v>3216</v>
      </c>
      <c r="M52" s="31">
        <v>0.6</v>
      </c>
      <c r="N52" s="31">
        <v>2850</v>
      </c>
      <c r="O52" s="34">
        <f>L52/1000000*N52*1000000000*F52+I52*1000000000*$N$2*L52/1000000*M52</f>
        <v>8.55456E+16</v>
      </c>
      <c r="P52" s="34">
        <f>G52*1000000000*N52*K52/1000000+J52*1000000000*K52*N52/1000000*0.6</f>
        <v>7.9533999999999987E+17</v>
      </c>
      <c r="Q52" s="51">
        <v>-6</v>
      </c>
      <c r="R52" s="47">
        <f t="shared" ref="R52:R67" si="32">((O52*1000)/44)/(E52*1000000)</f>
        <v>5718288770053.418</v>
      </c>
      <c r="S52" s="47">
        <f t="shared" ref="S52:S67" si="33">((P52*1000)/44)/(E52*1000000)</f>
        <v>53164438502673.25</v>
      </c>
    </row>
    <row r="53" spans="1:19" ht="18" customHeight="1" x14ac:dyDescent="0.25">
      <c r="B53" s="31" t="s">
        <v>44</v>
      </c>
      <c r="C53" s="33">
        <v>251.9</v>
      </c>
      <c r="D53" s="31">
        <v>251.48</v>
      </c>
      <c r="E53" s="33">
        <f t="shared" ref="E53:E54" si="34">C53-D53</f>
        <v>0.42000000000001592</v>
      </c>
      <c r="F53" s="34">
        <v>0</v>
      </c>
      <c r="G53" s="34">
        <v>0</v>
      </c>
      <c r="H53" s="31">
        <v>10</v>
      </c>
      <c r="I53" s="34">
        <f t="shared" si="30"/>
        <v>0</v>
      </c>
      <c r="J53" s="34">
        <f t="shared" si="31"/>
        <v>0</v>
      </c>
      <c r="K53" s="31"/>
      <c r="L53" s="31"/>
      <c r="M53" s="31"/>
      <c r="N53" s="31"/>
      <c r="O53" s="34">
        <f>L53/1000000*N53*1000000000*F53+I53*1000000000*$N$2*L53/1000000*M53</f>
        <v>0</v>
      </c>
      <c r="P53" s="34">
        <f>G53*1000000000*N53*K53/1000000+J53*1000000000*K53*N53/1000000*0.6</f>
        <v>0</v>
      </c>
      <c r="Q53" s="51">
        <v>-6</v>
      </c>
      <c r="R53" s="47">
        <f t="shared" si="32"/>
        <v>0</v>
      </c>
      <c r="S53" s="47">
        <f t="shared" si="33"/>
        <v>0</v>
      </c>
    </row>
    <row r="54" spans="1:19" ht="18" customHeight="1" x14ac:dyDescent="0.25">
      <c r="B54" s="31" t="s">
        <v>8</v>
      </c>
      <c r="C54" s="33">
        <v>251.48</v>
      </c>
      <c r="D54" s="31">
        <v>250.2</v>
      </c>
      <c r="E54" s="33">
        <f t="shared" si="34"/>
        <v>1.2800000000000011</v>
      </c>
      <c r="F54" s="34">
        <f>1/3*2000000</f>
        <v>666666.66666666663</v>
      </c>
      <c r="G54" s="34">
        <f>1/3*4000000</f>
        <v>1333333.3333333333</v>
      </c>
      <c r="H54" s="31">
        <v>10</v>
      </c>
      <c r="I54" s="34">
        <f t="shared" si="30"/>
        <v>6666666.666666666</v>
      </c>
      <c r="J54" s="34">
        <f t="shared" si="31"/>
        <v>13333333.333333332</v>
      </c>
      <c r="K54" s="31">
        <f>115*130</f>
        <v>14950</v>
      </c>
      <c r="L54" s="31">
        <f>67*48</f>
        <v>3216</v>
      </c>
      <c r="M54" s="31">
        <v>0.6</v>
      </c>
      <c r="N54" s="31">
        <v>2850</v>
      </c>
      <c r="O54" s="34">
        <f>L54/1000000*N54*1000000000*F54+I54*1000000000*$N$2*L54/1000000*M54</f>
        <v>4.27728E+16</v>
      </c>
      <c r="P54" s="34">
        <f>G54*1000000000*N54*K54/1000000+J54*1000000000*K54*N54/1000000*0.6</f>
        <v>3.9766999999999994E+17</v>
      </c>
      <c r="Q54" s="51">
        <v>-6</v>
      </c>
      <c r="R54" s="47">
        <f t="shared" si="32"/>
        <v>759460227272.72656</v>
      </c>
      <c r="S54" s="47">
        <f t="shared" si="33"/>
        <v>7060901988636.3564</v>
      </c>
    </row>
    <row r="55" spans="1:19" ht="18" customHeight="1" x14ac:dyDescent="0.25">
      <c r="A55" s="44" t="s">
        <v>96</v>
      </c>
      <c r="B55" s="35" t="s">
        <v>16</v>
      </c>
      <c r="C55" s="33">
        <v>66.423000000000002</v>
      </c>
      <c r="D55" s="35">
        <v>10000</v>
      </c>
      <c r="E55" s="36">
        <f>D55/1000000</f>
        <v>0.01</v>
      </c>
      <c r="F55" s="31">
        <v>10</v>
      </c>
      <c r="G55" s="31">
        <f>E55*F55</f>
        <v>0.1</v>
      </c>
      <c r="H55" s="37">
        <v>8659.2017940097285</v>
      </c>
      <c r="I55" s="37">
        <f>H55*130/48</f>
        <v>23452.004858776349</v>
      </c>
      <c r="J55" s="31">
        <v>0.6</v>
      </c>
      <c r="K55" s="31">
        <v>2850</v>
      </c>
      <c r="O55" s="34">
        <f t="shared" ref="O55:O65" si="35">E55*1000000000*K55*H55/1000000+G55*K55*1000000000*H55/1000000*J55</f>
        <v>1727510757.9049406</v>
      </c>
      <c r="P55" s="34">
        <f t="shared" ref="P55:P65" si="36">E55*1000000000*K55*I55/1000000+G55*K55*1000000000*I55/1000000*J55</f>
        <v>4678674969.325881</v>
      </c>
      <c r="Q55" s="51">
        <v>-6</v>
      </c>
      <c r="R55" s="47">
        <f>((O55*1000)/44)/(E55)</f>
        <v>3926160813420.3193</v>
      </c>
      <c r="S55" s="47">
        <f>((P55*1000)/44)/(E55)</f>
        <v>10633352203013.365</v>
      </c>
    </row>
    <row r="56" spans="1:19" ht="18" customHeight="1" x14ac:dyDescent="0.25">
      <c r="B56" s="35" t="s">
        <v>17</v>
      </c>
      <c r="C56" s="33">
        <v>66.412999999999997</v>
      </c>
      <c r="D56" s="37">
        <v>61000</v>
      </c>
      <c r="E56" s="36">
        <f t="shared" ref="E56:E65" si="37">D56/1000000</f>
        <v>6.0999999999999999E-2</v>
      </c>
      <c r="F56" s="31">
        <v>10</v>
      </c>
      <c r="G56" s="31">
        <f t="shared" ref="G56:G65" si="38">E56*F56</f>
        <v>0.61</v>
      </c>
      <c r="H56" s="37">
        <v>5500</v>
      </c>
      <c r="I56" s="37">
        <f t="shared" ref="I56:I65" si="39">H56*130/48</f>
        <v>14895.833333333334</v>
      </c>
      <c r="J56" s="31">
        <v>0.6</v>
      </c>
      <c r="K56" s="31">
        <v>2850</v>
      </c>
      <c r="O56" s="34">
        <f t="shared" si="35"/>
        <v>6693225000</v>
      </c>
      <c r="P56" s="34">
        <f t="shared" si="36"/>
        <v>18127484375</v>
      </c>
      <c r="Q56" s="51">
        <v>-6</v>
      </c>
      <c r="R56" s="47">
        <f t="shared" ref="R56:R65" si="40">((O56*1000)/44)/(E56)</f>
        <v>2493750000000</v>
      </c>
      <c r="S56" s="47">
        <f t="shared" ref="S56:S65" si="41">((P56*1000)/44)/(E56)</f>
        <v>6753906250000</v>
      </c>
    </row>
    <row r="57" spans="1:19" ht="18" customHeight="1" x14ac:dyDescent="0.25">
      <c r="B57" s="35" t="s">
        <v>18</v>
      </c>
      <c r="C57" s="33">
        <v>66.35199999999999</v>
      </c>
      <c r="D57" s="37">
        <v>52000</v>
      </c>
      <c r="E57" s="36">
        <f t="shared" si="37"/>
        <v>5.1999999999999998E-2</v>
      </c>
      <c r="F57" s="31">
        <v>10</v>
      </c>
      <c r="G57" s="31">
        <f t="shared" si="38"/>
        <v>0.52</v>
      </c>
      <c r="H57" s="37">
        <v>5300</v>
      </c>
      <c r="I57" s="37">
        <f t="shared" si="39"/>
        <v>14354.166666666666</v>
      </c>
      <c r="J57" s="31">
        <v>0.6</v>
      </c>
      <c r="K57" s="31">
        <v>2850</v>
      </c>
      <c r="O57" s="34">
        <f t="shared" si="35"/>
        <v>5498220000</v>
      </c>
      <c r="P57" s="34">
        <f t="shared" si="36"/>
        <v>14891012500</v>
      </c>
      <c r="Q57" s="51">
        <v>-6</v>
      </c>
      <c r="R57" s="47">
        <f t="shared" si="40"/>
        <v>2403068181818.1821</v>
      </c>
      <c r="S57" s="47">
        <f t="shared" si="41"/>
        <v>6508309659090.9102</v>
      </c>
    </row>
    <row r="58" spans="1:19" ht="18" customHeight="1" x14ac:dyDescent="0.25">
      <c r="B58" s="35" t="s">
        <v>19</v>
      </c>
      <c r="C58" s="33">
        <v>66.299999999999983</v>
      </c>
      <c r="D58" s="37">
        <v>25000</v>
      </c>
      <c r="E58" s="36">
        <f t="shared" si="37"/>
        <v>2.5000000000000001E-2</v>
      </c>
      <c r="F58" s="31">
        <v>10</v>
      </c>
      <c r="G58" s="31">
        <f t="shared" si="38"/>
        <v>0.25</v>
      </c>
      <c r="H58" s="37">
        <v>6000</v>
      </c>
      <c r="I58" s="37">
        <f t="shared" si="39"/>
        <v>16250</v>
      </c>
      <c r="J58" s="31">
        <v>0.6</v>
      </c>
      <c r="K58" s="31">
        <v>2850</v>
      </c>
      <c r="O58" s="34">
        <f t="shared" si="35"/>
        <v>2992500000</v>
      </c>
      <c r="P58" s="34">
        <f t="shared" si="36"/>
        <v>8104687500</v>
      </c>
      <c r="Q58" s="51">
        <v>-6</v>
      </c>
      <c r="R58" s="47">
        <f t="shared" si="40"/>
        <v>2720454545454.5454</v>
      </c>
      <c r="S58" s="47">
        <f t="shared" si="41"/>
        <v>7367897727272.7266</v>
      </c>
    </row>
    <row r="59" spans="1:19" ht="18" customHeight="1" x14ac:dyDescent="0.25">
      <c r="B59" s="35" t="s">
        <v>20</v>
      </c>
      <c r="C59" s="33">
        <v>66.274999999999977</v>
      </c>
      <c r="D59" s="37">
        <v>56000</v>
      </c>
      <c r="E59" s="36">
        <f t="shared" si="37"/>
        <v>5.6000000000000001E-2</v>
      </c>
      <c r="F59" s="31">
        <v>10</v>
      </c>
      <c r="G59" s="31">
        <f t="shared" si="38"/>
        <v>0.56000000000000005</v>
      </c>
      <c r="H59" s="37">
        <v>3937.0507073040844</v>
      </c>
      <c r="I59" s="37">
        <f t="shared" si="39"/>
        <v>10662.845665615228</v>
      </c>
      <c r="J59" s="31">
        <v>0.6</v>
      </c>
      <c r="K59" s="31">
        <v>2850</v>
      </c>
      <c r="O59" s="34">
        <f t="shared" si="35"/>
        <v>4398473050.2001238</v>
      </c>
      <c r="P59" s="34">
        <f t="shared" si="36"/>
        <v>11912531177.625336</v>
      </c>
      <c r="Q59" s="51">
        <v>-6</v>
      </c>
      <c r="R59" s="47">
        <f t="shared" si="40"/>
        <v>1785094582061.7388</v>
      </c>
      <c r="S59" s="47">
        <f t="shared" si="41"/>
        <v>4834631159750.542</v>
      </c>
    </row>
    <row r="60" spans="1:19" ht="18" customHeight="1" x14ac:dyDescent="0.25">
      <c r="B60" s="35" t="s">
        <v>21</v>
      </c>
      <c r="C60" s="33">
        <v>66.21899999999998</v>
      </c>
      <c r="D60" s="37">
        <v>39000</v>
      </c>
      <c r="E60" s="36">
        <f t="shared" si="37"/>
        <v>3.9E-2</v>
      </c>
      <c r="F60" s="31">
        <v>10</v>
      </c>
      <c r="G60" s="31">
        <f t="shared" si="38"/>
        <v>0.39</v>
      </c>
      <c r="H60" s="37">
        <v>5000</v>
      </c>
      <c r="I60" s="37">
        <f t="shared" si="39"/>
        <v>13541.666666666666</v>
      </c>
      <c r="J60" s="31">
        <v>0.6</v>
      </c>
      <c r="K60" s="31">
        <v>2850</v>
      </c>
      <c r="O60" s="34">
        <f t="shared" si="35"/>
        <v>3890250000</v>
      </c>
      <c r="P60" s="34">
        <f t="shared" si="36"/>
        <v>10536093750</v>
      </c>
      <c r="Q60" s="51">
        <v>-6</v>
      </c>
      <c r="R60" s="47">
        <f t="shared" si="40"/>
        <v>2267045454545.4546</v>
      </c>
      <c r="S60" s="47">
        <f t="shared" si="41"/>
        <v>6139914772727.2734</v>
      </c>
    </row>
    <row r="61" spans="1:19" ht="18" customHeight="1" x14ac:dyDescent="0.25">
      <c r="B61" s="35" t="s">
        <v>22</v>
      </c>
      <c r="C61" s="33">
        <v>66.179999999999978</v>
      </c>
      <c r="D61" s="37">
        <v>71000</v>
      </c>
      <c r="E61" s="36">
        <f t="shared" si="37"/>
        <v>7.0999999999999994E-2</v>
      </c>
      <c r="F61" s="31">
        <v>10</v>
      </c>
      <c r="G61" s="31">
        <f t="shared" si="38"/>
        <v>0.71</v>
      </c>
      <c r="H61" s="37">
        <v>2900</v>
      </c>
      <c r="I61" s="37">
        <f t="shared" si="39"/>
        <v>7854.166666666667</v>
      </c>
      <c r="J61" s="31">
        <v>0.6</v>
      </c>
      <c r="K61" s="31">
        <v>2850</v>
      </c>
      <c r="O61" s="34">
        <f t="shared" si="35"/>
        <v>4107705000</v>
      </c>
      <c r="P61" s="34">
        <f t="shared" si="36"/>
        <v>11125034375</v>
      </c>
      <c r="Q61" s="51">
        <v>-6</v>
      </c>
      <c r="R61" s="47">
        <f t="shared" si="40"/>
        <v>1314886363636.3638</v>
      </c>
      <c r="S61" s="47">
        <f t="shared" si="41"/>
        <v>3561150568181.8184</v>
      </c>
    </row>
    <row r="62" spans="1:19" ht="18" customHeight="1" x14ac:dyDescent="0.25">
      <c r="B62" s="35" t="s">
        <v>23</v>
      </c>
      <c r="C62" s="33">
        <v>66.10899999999998</v>
      </c>
      <c r="D62" s="37">
        <v>56000</v>
      </c>
      <c r="E62" s="36">
        <f t="shared" si="37"/>
        <v>5.6000000000000001E-2</v>
      </c>
      <c r="F62" s="31">
        <v>10</v>
      </c>
      <c r="G62" s="31">
        <f t="shared" si="38"/>
        <v>0.56000000000000005</v>
      </c>
      <c r="H62" s="37">
        <v>3500</v>
      </c>
      <c r="I62" s="37">
        <f t="shared" si="39"/>
        <v>9479.1666666666661</v>
      </c>
      <c r="J62" s="31">
        <v>0.6</v>
      </c>
      <c r="K62" s="31">
        <v>2850</v>
      </c>
      <c r="O62" s="34">
        <f t="shared" si="35"/>
        <v>3910200000.0000005</v>
      </c>
      <c r="P62" s="34">
        <f t="shared" si="36"/>
        <v>10590125000</v>
      </c>
      <c r="Q62" s="51">
        <v>-6</v>
      </c>
      <c r="R62" s="47">
        <f t="shared" si="40"/>
        <v>1586931818181.8184</v>
      </c>
      <c r="S62" s="47">
        <f t="shared" si="41"/>
        <v>4297940340909.0908</v>
      </c>
    </row>
    <row r="63" spans="1:19" ht="18" customHeight="1" x14ac:dyDescent="0.25">
      <c r="B63" s="35" t="s">
        <v>24</v>
      </c>
      <c r="C63" s="33">
        <v>66.052999999999983</v>
      </c>
      <c r="D63" s="37">
        <v>137000</v>
      </c>
      <c r="E63" s="36">
        <f t="shared" si="37"/>
        <v>0.13700000000000001</v>
      </c>
      <c r="F63" s="31">
        <v>10</v>
      </c>
      <c r="G63" s="31">
        <f t="shared" si="38"/>
        <v>1.37</v>
      </c>
      <c r="H63" s="37">
        <v>748.59750000000008</v>
      </c>
      <c r="I63" s="37">
        <f t="shared" si="39"/>
        <v>2027.4515625000004</v>
      </c>
      <c r="J63" s="31">
        <v>0.6</v>
      </c>
      <c r="K63" s="31">
        <v>2850</v>
      </c>
      <c r="O63" s="34">
        <f t="shared" si="35"/>
        <v>2046029257.1250002</v>
      </c>
      <c r="P63" s="34">
        <f t="shared" si="36"/>
        <v>5541329238.046876</v>
      </c>
      <c r="Q63" s="51">
        <v>-6</v>
      </c>
      <c r="R63" s="47">
        <f t="shared" si="40"/>
        <v>339420911931.81818</v>
      </c>
      <c r="S63" s="47">
        <f t="shared" si="41"/>
        <v>919264969815.34094</v>
      </c>
    </row>
    <row r="64" spans="1:19" ht="18" customHeight="1" x14ac:dyDescent="0.25">
      <c r="B64" s="35" t="s">
        <v>25</v>
      </c>
      <c r="C64" s="33">
        <v>65.915999999999983</v>
      </c>
      <c r="D64" s="37">
        <v>330000</v>
      </c>
      <c r="E64" s="36">
        <f t="shared" si="37"/>
        <v>0.33</v>
      </c>
      <c r="F64" s="31">
        <v>10</v>
      </c>
      <c r="G64" s="31">
        <f t="shared" si="38"/>
        <v>3.3000000000000003</v>
      </c>
      <c r="H64" s="37">
        <v>1120.32142857143</v>
      </c>
      <c r="I64" s="37">
        <f t="shared" si="39"/>
        <v>3034.2038690476234</v>
      </c>
      <c r="J64" s="31">
        <v>0.6</v>
      </c>
      <c r="K64" s="31">
        <v>2850</v>
      </c>
      <c r="O64" s="34">
        <f t="shared" si="35"/>
        <v>7375636125.0000105</v>
      </c>
      <c r="P64" s="34">
        <f t="shared" si="36"/>
        <v>19975681171.875027</v>
      </c>
      <c r="Q64" s="51">
        <v>-6</v>
      </c>
      <c r="R64" s="47">
        <f t="shared" si="40"/>
        <v>507963920454.54614</v>
      </c>
      <c r="S64" s="47">
        <f t="shared" si="41"/>
        <v>1375735617897.729</v>
      </c>
    </row>
    <row r="65" spans="1:19" ht="18" customHeight="1" x14ac:dyDescent="0.25">
      <c r="B65" s="39" t="s">
        <v>26</v>
      </c>
      <c r="C65" s="33">
        <v>65.585999999999984</v>
      </c>
      <c r="D65" s="37">
        <v>163000</v>
      </c>
      <c r="E65" s="36">
        <f t="shared" si="37"/>
        <v>0.16300000000000001</v>
      </c>
      <c r="F65" s="31">
        <v>10</v>
      </c>
      <c r="G65" s="31">
        <f t="shared" si="38"/>
        <v>1.6300000000000001</v>
      </c>
      <c r="H65" s="37">
        <v>927.10782608695604</v>
      </c>
      <c r="I65" s="37">
        <f t="shared" si="39"/>
        <v>2510.917028985506</v>
      </c>
      <c r="J65" s="31">
        <v>0.6</v>
      </c>
      <c r="K65" s="31">
        <v>2850</v>
      </c>
      <c r="O65" s="34">
        <f t="shared" si="35"/>
        <v>3014815584.2608681</v>
      </c>
      <c r="P65" s="34">
        <f t="shared" si="36"/>
        <v>8165125540.7065182</v>
      </c>
      <c r="Q65" s="51">
        <v>-6</v>
      </c>
      <c r="R65" s="47">
        <f t="shared" si="40"/>
        <v>420359116600.79034</v>
      </c>
      <c r="S65" s="47">
        <f t="shared" si="41"/>
        <v>1138472607460.4739</v>
      </c>
    </row>
    <row r="66" spans="1:19" s="31" customFormat="1" ht="18" customHeight="1" x14ac:dyDescent="0.25">
      <c r="A66" s="29" t="s">
        <v>97</v>
      </c>
      <c r="B66" s="31" t="s">
        <v>31</v>
      </c>
      <c r="C66" s="33">
        <v>61</v>
      </c>
      <c r="D66" s="31">
        <v>57</v>
      </c>
      <c r="E66" s="33">
        <f>C66-D66</f>
        <v>4</v>
      </c>
      <c r="F66" s="31">
        <v>150000</v>
      </c>
      <c r="G66" s="31">
        <v>10</v>
      </c>
      <c r="H66" s="31">
        <f>F66*G66</f>
        <v>1500000</v>
      </c>
      <c r="I66" s="31">
        <f>15*48</f>
        <v>720</v>
      </c>
      <c r="J66" s="31">
        <f>80*130</f>
        <v>10400</v>
      </c>
      <c r="K66" s="31">
        <v>0.6</v>
      </c>
      <c r="L66" s="31">
        <v>2850</v>
      </c>
      <c r="O66" s="34">
        <f>I66/1000000*L66*1000000000*F66+H66*1000000000*$L$2*I66/1000000*K66</f>
        <v>2391768000000000</v>
      </c>
      <c r="P66" s="34">
        <f>J66/1000000*L66*1000000000*F66+H66*1000000000*$L$2*J66/1000000*K66</f>
        <v>3.454776E+16</v>
      </c>
      <c r="Q66" s="52">
        <v>-6</v>
      </c>
      <c r="R66" s="47">
        <f t="shared" si="32"/>
        <v>13589590909.09091</v>
      </c>
      <c r="S66" s="47">
        <f t="shared" si="33"/>
        <v>196294090909.09091</v>
      </c>
    </row>
    <row r="67" spans="1:19" s="31" customFormat="1" ht="18" customHeight="1" x14ac:dyDescent="0.25">
      <c r="A67" s="29"/>
      <c r="B67" s="31" t="s">
        <v>33</v>
      </c>
      <c r="C67" s="33">
        <v>56</v>
      </c>
      <c r="D67" s="31">
        <v>55</v>
      </c>
      <c r="E67" s="33">
        <f>C67-D67</f>
        <v>1</v>
      </c>
      <c r="F67" s="34">
        <v>1800000</v>
      </c>
      <c r="G67" s="31">
        <v>10</v>
      </c>
      <c r="H67" s="31">
        <f>F67*G67</f>
        <v>18000000</v>
      </c>
      <c r="I67" s="31">
        <f>15*48</f>
        <v>720</v>
      </c>
      <c r="J67" s="31">
        <f>80*130</f>
        <v>10400</v>
      </c>
      <c r="K67" s="31">
        <v>0.6</v>
      </c>
      <c r="L67" s="31">
        <v>2850</v>
      </c>
      <c r="O67" s="34">
        <f>I67/1000000*L67*1000000000*F67+H67*1000000000*$L$2*I67/1000000*K67</f>
        <v>2.8701216E+16</v>
      </c>
      <c r="P67" s="34">
        <f>J67/1000000*L67*1000000000*F67+H67*1000000000*$L$2*J67/1000000*K67</f>
        <v>4.1457312E+17</v>
      </c>
      <c r="Q67" s="52">
        <v>-6</v>
      </c>
      <c r="R67" s="47">
        <f t="shared" si="32"/>
        <v>652300363636.36365</v>
      </c>
      <c r="S67" s="47">
        <f t="shared" si="33"/>
        <v>9422116363636.3633</v>
      </c>
    </row>
    <row r="68" spans="1:19" ht="18" customHeight="1" x14ac:dyDescent="0.2">
      <c r="A68" s="44" t="s">
        <v>98</v>
      </c>
      <c r="B68" s="41" t="s">
        <v>78</v>
      </c>
      <c r="C68" s="42">
        <v>30.51</v>
      </c>
      <c r="D68" s="41">
        <v>29.94</v>
      </c>
      <c r="E68" s="42">
        <f>(C68-D68)</f>
        <v>0.57000000000000028</v>
      </c>
      <c r="F68" s="41">
        <v>350000</v>
      </c>
      <c r="G68" s="41">
        <v>10</v>
      </c>
      <c r="H68" s="41">
        <f>F68*G68</f>
        <v>3500000</v>
      </c>
      <c r="I68" s="48">
        <v>4152</v>
      </c>
      <c r="J68" s="48">
        <v>11245</v>
      </c>
      <c r="K68" s="41">
        <v>0.6</v>
      </c>
      <c r="L68" s="41">
        <v>2850</v>
      </c>
      <c r="M68" s="43">
        <f>(I68/1000000*L68*1000000000*F68+H68*1000000000*$K$6*I68/1000000*K68)*1000/44.01/E68</f>
        <v>1.1556918882072251E+18</v>
      </c>
      <c r="N68" s="43">
        <f>(J68/1000000*L68*1000000000*F68+H68*1000000000*$K$6*J68/1000000*K68)*1000/44.01/E68</f>
        <v>3.1299988638945679E+18</v>
      </c>
      <c r="O68" s="41">
        <v>-6</v>
      </c>
      <c r="P68" s="34"/>
      <c r="Q68" s="51">
        <v>-6</v>
      </c>
      <c r="R68" s="47">
        <v>1155691888207.2253</v>
      </c>
      <c r="S68" s="47">
        <v>3129998863894.5679</v>
      </c>
    </row>
    <row r="69" spans="1:19" ht="18" customHeight="1" x14ac:dyDescent="0.25">
      <c r="A69" s="44" t="s">
        <v>99</v>
      </c>
      <c r="B69" s="31" t="s">
        <v>46</v>
      </c>
      <c r="C69" s="33">
        <v>16.649999999999999</v>
      </c>
      <c r="D69" s="31">
        <v>16.59</v>
      </c>
      <c r="E69" s="33">
        <f>C69-D69</f>
        <v>5.9999999999998721E-2</v>
      </c>
      <c r="F69" s="31">
        <v>31800</v>
      </c>
      <c r="G69" s="31">
        <v>10</v>
      </c>
      <c r="H69" s="31">
        <f>F69*G69</f>
        <v>318000</v>
      </c>
      <c r="I69" s="31">
        <f>178*48</f>
        <v>8544</v>
      </c>
      <c r="J69" s="31">
        <f>178*130</f>
        <v>23140</v>
      </c>
      <c r="K69" s="31">
        <v>0.6</v>
      </c>
      <c r="L69" s="31">
        <v>2850</v>
      </c>
      <c r="O69" s="34">
        <f>I69/1000000*L69*1000000000*F69+H69*1000000000*$L$2*I69/1000000*K69</f>
        <v>6017050483200000</v>
      </c>
      <c r="P69" s="34">
        <f>J69/1000000*L69*1000000000*F69+H69*1000000000*$L$2*J69/1000000*K69</f>
        <v>1.6296178392E+16</v>
      </c>
      <c r="Q69" s="51">
        <v>-6</v>
      </c>
      <c r="R69" s="47">
        <f>((O69*1000)/44)/(E69*1000000)</f>
        <v>2279185789090.9575</v>
      </c>
      <c r="S69" s="47">
        <f>((P69*1000)/44)/(E69*1000000)</f>
        <v>6172794845454.6768</v>
      </c>
    </row>
    <row r="70" spans="1:19" ht="18" customHeight="1" x14ac:dyDescent="0.25">
      <c r="B70" s="31" t="s">
        <v>47</v>
      </c>
      <c r="C70" s="33">
        <v>16.59</v>
      </c>
      <c r="D70" s="31">
        <v>16.57</v>
      </c>
      <c r="E70" s="33">
        <f t="shared" ref="E70:E73" si="42">C70-D70</f>
        <v>1.9999999999999574E-2</v>
      </c>
      <c r="F70" s="31">
        <v>11000</v>
      </c>
      <c r="G70" s="31">
        <v>10</v>
      </c>
      <c r="H70" s="31">
        <f t="shared" ref="H70:H73" si="43">F70*G70</f>
        <v>110000</v>
      </c>
      <c r="I70" s="31">
        <v>8544</v>
      </c>
      <c r="J70" s="31">
        <v>23140</v>
      </c>
      <c r="K70" s="31">
        <v>0.6</v>
      </c>
      <c r="L70" s="31">
        <v>2850</v>
      </c>
      <c r="O70" s="34">
        <f>I70/1000000*L70*1000000000*F70+H70*1000000000*$L$2*I70/1000000*K70</f>
        <v>2081369664000000</v>
      </c>
      <c r="P70" s="34">
        <f>J70/1000000*L70*1000000000*F70+H70*1000000000*$L$2*J70/1000000*K70</f>
        <v>5637042840000000</v>
      </c>
      <c r="Q70" s="51">
        <v>-6</v>
      </c>
      <c r="R70" s="47">
        <f>((O70*1000)/44)/(E70*1000000)</f>
        <v>2365192800000.0503</v>
      </c>
      <c r="S70" s="47">
        <f>((P70*1000)/44)/(E70*1000000)</f>
        <v>6405730500000.1367</v>
      </c>
    </row>
    <row r="71" spans="1:19" ht="18" customHeight="1" x14ac:dyDescent="0.25">
      <c r="B71" s="31" t="s">
        <v>48</v>
      </c>
      <c r="C71" s="33">
        <v>16.57</v>
      </c>
      <c r="D71" s="31">
        <v>16.065999999999999</v>
      </c>
      <c r="E71" s="33">
        <f t="shared" si="42"/>
        <v>0.50400000000000134</v>
      </c>
      <c r="F71" s="31">
        <v>149000</v>
      </c>
      <c r="G71" s="31">
        <v>10</v>
      </c>
      <c r="H71" s="31">
        <f t="shared" si="43"/>
        <v>1490000</v>
      </c>
      <c r="I71" s="31">
        <v>8544</v>
      </c>
      <c r="J71" s="31">
        <v>23140</v>
      </c>
      <c r="K71" s="31">
        <v>0.6</v>
      </c>
      <c r="L71" s="31">
        <v>2850</v>
      </c>
      <c r="O71" s="34">
        <f>I71/1000000*L71*1000000000*F71+H71*1000000000*$L$2*I71/1000000*K71</f>
        <v>2.8193098176000004E+16</v>
      </c>
      <c r="P71" s="34">
        <f>J71/1000000*L71*1000000000*F71+H71*1000000000*$L$2*J71/1000000*K71</f>
        <v>7.635630756E+16</v>
      </c>
      <c r="Q71" s="51">
        <v>-6</v>
      </c>
      <c r="R71" s="47">
        <f>((O71*1000)/44)/(E71*1000000)</f>
        <v>1271333792207.7891</v>
      </c>
      <c r="S71" s="47">
        <f>((P71*1000)/44)/(E71*1000000)</f>
        <v>3443195687229.4277</v>
      </c>
    </row>
    <row r="72" spans="1:19" ht="18" customHeight="1" x14ac:dyDescent="0.25">
      <c r="B72" s="31" t="s">
        <v>54</v>
      </c>
      <c r="C72" s="33">
        <v>16.065999999999999</v>
      </c>
      <c r="D72" s="31">
        <v>15.895</v>
      </c>
      <c r="E72" s="33">
        <f t="shared" si="42"/>
        <v>0.17099999999999937</v>
      </c>
      <c r="F72" s="31">
        <v>12175</v>
      </c>
      <c r="G72" s="31">
        <v>10</v>
      </c>
      <c r="H72" s="31">
        <f t="shared" si="43"/>
        <v>121750</v>
      </c>
      <c r="I72" s="31">
        <v>8544</v>
      </c>
      <c r="J72" s="31">
        <v>23140</v>
      </c>
      <c r="K72" s="31">
        <v>0.6</v>
      </c>
      <c r="L72" s="31">
        <v>2850</v>
      </c>
      <c r="O72" s="34">
        <f>I72/1000000*L72*1000000000*F72+H72*1000000000*$L$2*I72/1000000*K72</f>
        <v>2303697787200000</v>
      </c>
      <c r="P72" s="34">
        <f>J72/1000000*L72*1000000000*F72+H72*1000000000*$L$2*J72/1000000*K72</f>
        <v>6239181507000000</v>
      </c>
      <c r="Q72" s="51">
        <v>-6</v>
      </c>
      <c r="R72" s="47">
        <f>((O72*1000)/44)/(E72*1000000)</f>
        <v>306179929186.60394</v>
      </c>
      <c r="S72" s="47">
        <f>((P72*1000)/44)/(E72*1000000)</f>
        <v>829237308213.71912</v>
      </c>
    </row>
    <row r="73" spans="1:19" ht="18" customHeight="1" x14ac:dyDescent="0.25">
      <c r="B73" s="31" t="s">
        <v>49</v>
      </c>
      <c r="C73" s="33">
        <v>15.895</v>
      </c>
      <c r="D73" s="31">
        <v>6</v>
      </c>
      <c r="E73" s="33">
        <f t="shared" si="42"/>
        <v>9.8949999999999996</v>
      </c>
      <c r="F73" s="31">
        <v>2424</v>
      </c>
      <c r="G73" s="31">
        <v>10</v>
      </c>
      <c r="H73" s="31">
        <f t="shared" si="43"/>
        <v>24240</v>
      </c>
      <c r="I73" s="31">
        <v>8544</v>
      </c>
      <c r="J73" s="31">
        <v>23140</v>
      </c>
      <c r="K73" s="31">
        <v>0.6</v>
      </c>
      <c r="L73" s="31">
        <v>2850</v>
      </c>
      <c r="O73" s="34">
        <f>I73/1000000*L73*1000000000*F73+H73*1000000000*$L$2*I73/1000000*K73</f>
        <v>458658187776000</v>
      </c>
      <c r="P73" s="34">
        <f>J73/1000000*L73*1000000000*F73+H73*1000000000*$L$2*J73/1000000*K73</f>
        <v>1242199258560000</v>
      </c>
      <c r="Q73" s="51">
        <v>-6</v>
      </c>
      <c r="R73" s="47">
        <f>((O73*1000)/44)/(E73*1000000)</f>
        <v>1053466369.0936652</v>
      </c>
      <c r="S73" s="47">
        <f>((P73*1000)/44)/(E73*1000000)</f>
        <v>2853138082.9620104</v>
      </c>
    </row>
    <row r="74" spans="1:19" ht="18" customHeight="1" x14ac:dyDescent="0.25">
      <c r="R74" s="47"/>
      <c r="S74" s="47"/>
    </row>
    <row r="75" spans="1:19" ht="18" customHeight="1" x14ac:dyDescent="0.25">
      <c r="A75" s="32" t="s">
        <v>90</v>
      </c>
      <c r="C75" s="33"/>
      <c r="D75" s="31"/>
      <c r="E75" s="33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R75" s="47"/>
      <c r="S75" s="47"/>
    </row>
    <row r="76" spans="1:19" ht="18" customHeight="1" x14ac:dyDescent="0.25">
      <c r="A76" s="44" t="s">
        <v>101</v>
      </c>
      <c r="B76" s="31" t="s">
        <v>7</v>
      </c>
      <c r="C76" s="33">
        <v>252.24</v>
      </c>
      <c r="D76" s="31">
        <v>251.9</v>
      </c>
      <c r="E76" s="33">
        <f>C76-D76</f>
        <v>0.34000000000000341</v>
      </c>
      <c r="F76" s="34">
        <f>2/3*2000000</f>
        <v>1333333.3333333333</v>
      </c>
      <c r="G76" s="34">
        <f>2/3*4000000</f>
        <v>2666666.6666666665</v>
      </c>
      <c r="H76" s="31">
        <v>0</v>
      </c>
      <c r="I76" s="34">
        <f>F76*H76</f>
        <v>0</v>
      </c>
      <c r="J76" s="34">
        <f>G76*H76</f>
        <v>0</v>
      </c>
      <c r="K76" s="31">
        <f>115*130</f>
        <v>14950</v>
      </c>
      <c r="L76" s="31">
        <f>67*48</f>
        <v>3216</v>
      </c>
      <c r="M76" s="31">
        <v>0.6</v>
      </c>
      <c r="N76" s="31">
        <v>2850</v>
      </c>
      <c r="O76" s="34">
        <f>L76/1000000*N76*1000000000*F76+I76*1000000000*$N$2*L76/1000000*M76</f>
        <v>1.22208E+16</v>
      </c>
      <c r="P76" s="34">
        <f>G76*1000000000*N76*K76/1000000+J76*1000000000*K76*N76/1000000*0.6</f>
        <v>1.1362E+17</v>
      </c>
      <c r="Q76" s="51">
        <v>-6</v>
      </c>
      <c r="R76" s="47">
        <f t="shared" ref="R76:R82" si="44">((O76*1000)/44)/(E76*1000000)</f>
        <v>816898395721.91687</v>
      </c>
      <c r="S76" s="47">
        <f t="shared" ref="S76:S82" si="45">((P76*1000)/44)/(E76*1000000)</f>
        <v>7594919786096.1797</v>
      </c>
    </row>
    <row r="77" spans="1:19" ht="18" customHeight="1" x14ac:dyDescent="0.25">
      <c r="B77" s="31" t="s">
        <v>14</v>
      </c>
      <c r="C77" s="33">
        <v>251.9</v>
      </c>
      <c r="D77" s="31">
        <v>251.8</v>
      </c>
      <c r="E77" s="33">
        <v>0.1</v>
      </c>
      <c r="F77" s="34"/>
      <c r="G77" s="34"/>
      <c r="H77" s="31"/>
      <c r="I77" s="34"/>
      <c r="J77" s="34"/>
      <c r="K77" s="31"/>
      <c r="L77" s="31"/>
      <c r="M77" s="31"/>
      <c r="N77" s="31"/>
      <c r="O77" s="34">
        <v>1.3E+17</v>
      </c>
      <c r="P77" s="34">
        <v>1.3E+17</v>
      </c>
      <c r="Q77" s="51">
        <v>-15</v>
      </c>
      <c r="R77" s="47">
        <f t="shared" si="44"/>
        <v>29545454545454.547</v>
      </c>
      <c r="S77" s="47">
        <f t="shared" si="45"/>
        <v>29545454545454.547</v>
      </c>
    </row>
    <row r="78" spans="1:19" ht="18" customHeight="1" x14ac:dyDescent="0.25">
      <c r="B78" s="31" t="s">
        <v>44</v>
      </c>
      <c r="C78" s="33">
        <v>251.8</v>
      </c>
      <c r="D78" s="31">
        <v>251.48</v>
      </c>
      <c r="E78" s="33">
        <f t="shared" ref="E78:E79" si="46">C78-D78</f>
        <v>0.3200000000000216</v>
      </c>
      <c r="F78" s="34">
        <v>0</v>
      </c>
      <c r="G78" s="34">
        <v>0</v>
      </c>
      <c r="H78" s="31">
        <v>0</v>
      </c>
      <c r="I78" s="34">
        <f t="shared" ref="I78:I79" si="47">F78*H78</f>
        <v>0</v>
      </c>
      <c r="J78" s="34">
        <f t="shared" ref="J78:J79" si="48">G78*H78</f>
        <v>0</v>
      </c>
      <c r="K78" s="31"/>
      <c r="L78" s="31"/>
      <c r="M78" s="31"/>
      <c r="N78" s="31"/>
      <c r="O78" s="34">
        <f>L78/1000000*N78*1000000000*F78+I78*1000000000*$N$2*L78/1000000*M78</f>
        <v>0</v>
      </c>
      <c r="P78" s="34">
        <f>G78*1000000000*N78*K78/1000000+J78*1000000000*K78*N78/1000000*0.6</f>
        <v>0</v>
      </c>
      <c r="Q78" s="51">
        <v>-6</v>
      </c>
      <c r="R78" s="47">
        <f t="shared" si="44"/>
        <v>0</v>
      </c>
      <c r="S78" s="47">
        <f t="shared" si="45"/>
        <v>0</v>
      </c>
    </row>
    <row r="79" spans="1:19" ht="18" customHeight="1" x14ac:dyDescent="0.25">
      <c r="B79" s="31" t="s">
        <v>8</v>
      </c>
      <c r="C79" s="33">
        <v>251.48</v>
      </c>
      <c r="D79" s="31">
        <v>250.2</v>
      </c>
      <c r="E79" s="33">
        <f t="shared" si="46"/>
        <v>1.2800000000000011</v>
      </c>
      <c r="F79" s="34">
        <f>1/3*2000000</f>
        <v>666666.66666666663</v>
      </c>
      <c r="G79" s="34">
        <f>1/3*4000000</f>
        <v>1333333.3333333333</v>
      </c>
      <c r="H79" s="31">
        <v>0</v>
      </c>
      <c r="I79" s="34">
        <f t="shared" si="47"/>
        <v>0</v>
      </c>
      <c r="J79" s="34">
        <f t="shared" si="48"/>
        <v>0</v>
      </c>
      <c r="K79" s="31">
        <f>115*130</f>
        <v>14950</v>
      </c>
      <c r="L79" s="31">
        <f>67*48</f>
        <v>3216</v>
      </c>
      <c r="M79" s="31">
        <v>0.6</v>
      </c>
      <c r="N79" s="31">
        <v>2850</v>
      </c>
      <c r="O79" s="34">
        <f>L79/1000000*N79*1000000000*F79+I79*1000000000*$N$2*L79/1000000*M79</f>
        <v>6110400000000000</v>
      </c>
      <c r="P79" s="34">
        <f>G79*1000000000*N79*K79/1000000+J79*1000000000*K79*N79/1000000*0.6</f>
        <v>5.681E+16</v>
      </c>
      <c r="Q79" s="51">
        <v>-6</v>
      </c>
      <c r="R79" s="47">
        <f t="shared" si="44"/>
        <v>108494318181.81808</v>
      </c>
      <c r="S79" s="47">
        <f t="shared" si="45"/>
        <v>1008700284090.9081</v>
      </c>
    </row>
    <row r="80" spans="1:19" s="31" customFormat="1" ht="18" customHeight="1" x14ac:dyDescent="0.25">
      <c r="A80" s="29" t="s">
        <v>97</v>
      </c>
      <c r="B80" s="31" t="s">
        <v>31</v>
      </c>
      <c r="C80" s="33">
        <v>61</v>
      </c>
      <c r="D80" s="31">
        <v>57</v>
      </c>
      <c r="E80" s="33">
        <f>C80-D80</f>
        <v>4</v>
      </c>
      <c r="F80" s="31">
        <v>150000</v>
      </c>
      <c r="G80" s="31">
        <v>0</v>
      </c>
      <c r="H80" s="31">
        <f>F80*G80</f>
        <v>0</v>
      </c>
      <c r="I80" s="31">
        <f>15*48</f>
        <v>720</v>
      </c>
      <c r="J80" s="31">
        <f>80*130</f>
        <v>10400</v>
      </c>
      <c r="K80" s="31">
        <v>0.6</v>
      </c>
      <c r="L80" s="31">
        <v>2850</v>
      </c>
      <c r="O80" s="34">
        <f>I80/1000000*L80*1000000000*F80+H80*1000000000*$L$2*I80/1000000*K80</f>
        <v>307800000000000</v>
      </c>
      <c r="P80" s="34">
        <f>J80/1000000*L80*1000000000*F80+H80*1000000000*$L$2*J80/1000000*K80</f>
        <v>4445999999999999.5</v>
      </c>
      <c r="Q80" s="52">
        <v>-6</v>
      </c>
      <c r="R80" s="47">
        <f t="shared" si="44"/>
        <v>1748863636.3636363</v>
      </c>
      <c r="S80" s="47">
        <f t="shared" si="45"/>
        <v>25261363636.363632</v>
      </c>
    </row>
    <row r="81" spans="1:19" s="31" customFormat="1" ht="18" customHeight="1" x14ac:dyDescent="0.25">
      <c r="A81" s="29"/>
      <c r="B81" s="31" t="s">
        <v>43</v>
      </c>
      <c r="C81" s="33">
        <v>56</v>
      </c>
      <c r="D81" s="31">
        <v>55.95</v>
      </c>
      <c r="E81" s="33">
        <f>C81-D81</f>
        <v>4.9999999999997158E-2</v>
      </c>
      <c r="F81" s="31" t="s">
        <v>32</v>
      </c>
      <c r="O81" s="34">
        <f>12025*44/12*1000000000000</f>
        <v>4.4091666666666664E+16</v>
      </c>
      <c r="P81" s="34">
        <f>12025*44/12*1000000000000</f>
        <v>4.4091666666666664E+16</v>
      </c>
      <c r="Q81" s="52">
        <v>-15</v>
      </c>
      <c r="R81" s="47">
        <f t="shared" si="44"/>
        <v>20041666666667.805</v>
      </c>
      <c r="S81" s="47">
        <f t="shared" si="45"/>
        <v>20041666666667.805</v>
      </c>
    </row>
    <row r="82" spans="1:19" s="31" customFormat="1" ht="18" customHeight="1" x14ac:dyDescent="0.25">
      <c r="A82" s="29"/>
      <c r="B82" s="31" t="s">
        <v>33</v>
      </c>
      <c r="C82" s="33">
        <v>56</v>
      </c>
      <c r="D82" s="31">
        <v>55</v>
      </c>
      <c r="E82" s="33">
        <f>C82-D82</f>
        <v>1</v>
      </c>
      <c r="F82" s="34">
        <v>1800000</v>
      </c>
      <c r="G82" s="31">
        <v>0</v>
      </c>
      <c r="H82" s="31">
        <f>F82*G82</f>
        <v>0</v>
      </c>
      <c r="I82" s="31">
        <f>15*48</f>
        <v>720</v>
      </c>
      <c r="J82" s="31">
        <f>80*130</f>
        <v>10400</v>
      </c>
      <c r="K82" s="31">
        <v>0.6</v>
      </c>
      <c r="L82" s="31">
        <v>2850</v>
      </c>
      <c r="O82" s="34">
        <f>I82/1000000*L82*1000000000*F82+H82*1000000000*$L$2*I82/1000000*K82</f>
        <v>3693600000000000</v>
      </c>
      <c r="P82" s="34">
        <f>J82/1000000*L82*1000000000*F82+H82*1000000000*$L$2*J82/1000000*K82</f>
        <v>5.3351999999999992E+16</v>
      </c>
      <c r="Q82" s="52">
        <v>-6</v>
      </c>
      <c r="R82" s="47">
        <f t="shared" si="44"/>
        <v>83945454545.454544</v>
      </c>
      <c r="S82" s="47">
        <f t="shared" si="45"/>
        <v>1212545454545.4543</v>
      </c>
    </row>
    <row r="83" spans="1:19" ht="18" customHeight="1" x14ac:dyDescent="0.25">
      <c r="R83" s="47"/>
      <c r="S83" s="47"/>
    </row>
    <row r="84" spans="1:19" ht="18" customHeight="1" x14ac:dyDescent="0.25">
      <c r="A84" s="32" t="s">
        <v>91</v>
      </c>
      <c r="C84" s="33"/>
      <c r="D84" s="31"/>
      <c r="E84" s="33"/>
      <c r="F84" s="34"/>
      <c r="G84" s="34"/>
      <c r="H84" s="31"/>
      <c r="I84" s="31"/>
      <c r="J84" s="31"/>
      <c r="K84" s="31"/>
      <c r="L84" s="31"/>
      <c r="M84" s="31"/>
      <c r="N84" s="31"/>
      <c r="O84" s="31"/>
      <c r="P84" s="31"/>
      <c r="R84" s="47"/>
      <c r="S84" s="47"/>
    </row>
    <row r="85" spans="1:19" ht="18" customHeight="1" x14ac:dyDescent="0.25">
      <c r="A85" s="44" t="s">
        <v>101</v>
      </c>
      <c r="B85" s="31" t="s">
        <v>7</v>
      </c>
      <c r="C85" s="33">
        <v>252.24</v>
      </c>
      <c r="D85" s="31">
        <v>251.9</v>
      </c>
      <c r="E85" s="33">
        <f>C85-D85</f>
        <v>0.34000000000000341</v>
      </c>
      <c r="F85" s="34">
        <f>2/3*2000000</f>
        <v>1333333.3333333333</v>
      </c>
      <c r="G85" s="34">
        <f>2/3*4000000</f>
        <v>2666666.6666666665</v>
      </c>
      <c r="H85" s="31">
        <v>5</v>
      </c>
      <c r="I85" s="34">
        <f t="shared" ref="I85:I88" si="49">F85*H85</f>
        <v>6666666.666666666</v>
      </c>
      <c r="J85" s="34">
        <f t="shared" ref="J85:J88" si="50">G85*H85</f>
        <v>13333333.333333332</v>
      </c>
      <c r="K85" s="31">
        <f>115*130</f>
        <v>14950</v>
      </c>
      <c r="L85" s="31">
        <f>67*48</f>
        <v>3216</v>
      </c>
      <c r="M85" s="31">
        <v>0.6</v>
      </c>
      <c r="N85" s="31">
        <v>2850</v>
      </c>
      <c r="O85" s="34">
        <f>L85/1000000*N85*1000000000*F85+I85*1000000000*$N$2*L85/1000000*M85</f>
        <v>4.88832E+16</v>
      </c>
      <c r="P85" s="34">
        <f>G85*1000000000*N85*K85/1000000+J85*1000000000*K85*N85/1000000*0.6</f>
        <v>4.5447999999999994E+17</v>
      </c>
      <c r="Q85" s="51">
        <v>-6</v>
      </c>
      <c r="R85" s="47">
        <f t="shared" ref="R85:R91" si="51">((O85*1000)/44)/(E85*1000000)</f>
        <v>3267593582887.6675</v>
      </c>
      <c r="S85" s="47">
        <f t="shared" ref="S85:S91" si="52">((P85*1000)/44)/(E85*1000000)</f>
        <v>30379679144384.719</v>
      </c>
    </row>
    <row r="86" spans="1:19" ht="18" customHeight="1" x14ac:dyDescent="0.25">
      <c r="B86" s="31" t="s">
        <v>14</v>
      </c>
      <c r="C86" s="33">
        <v>251.9</v>
      </c>
      <c r="D86" s="31">
        <v>251.8</v>
      </c>
      <c r="E86" s="33">
        <v>0.1</v>
      </c>
      <c r="F86" s="34"/>
      <c r="G86" s="34"/>
      <c r="H86" s="31"/>
      <c r="I86" s="34"/>
      <c r="J86" s="34"/>
      <c r="K86" s="31"/>
      <c r="L86" s="31"/>
      <c r="M86" s="31"/>
      <c r="N86" s="31"/>
      <c r="O86" s="34">
        <v>1.3E+17</v>
      </c>
      <c r="P86" s="34">
        <v>1.3E+17</v>
      </c>
      <c r="Q86" s="51">
        <v>-15</v>
      </c>
      <c r="R86" s="47">
        <f t="shared" si="51"/>
        <v>29545454545454.547</v>
      </c>
      <c r="S86" s="47">
        <f t="shared" si="52"/>
        <v>29545454545454.547</v>
      </c>
    </row>
    <row r="87" spans="1:19" ht="18" customHeight="1" x14ac:dyDescent="0.25">
      <c r="B87" s="31" t="s">
        <v>44</v>
      </c>
      <c r="C87" s="33">
        <v>251.8</v>
      </c>
      <c r="D87" s="31">
        <v>251.48</v>
      </c>
      <c r="E87" s="33">
        <f t="shared" ref="E87:E88" si="53">C87-D87</f>
        <v>0.3200000000000216</v>
      </c>
      <c r="F87" s="34">
        <v>0</v>
      </c>
      <c r="G87" s="34">
        <v>0</v>
      </c>
      <c r="H87" s="31">
        <v>5</v>
      </c>
      <c r="I87" s="34">
        <f t="shared" si="49"/>
        <v>0</v>
      </c>
      <c r="J87" s="34">
        <f t="shared" si="50"/>
        <v>0</v>
      </c>
      <c r="K87" s="31"/>
      <c r="L87" s="31"/>
      <c r="M87" s="31"/>
      <c r="N87" s="31"/>
      <c r="O87" s="34">
        <f>L87/1000000*N87*1000000000*F87+I87*1000000000*$N$2*L87/1000000*M87</f>
        <v>0</v>
      </c>
      <c r="P87" s="34">
        <f>G87*1000000000*N87*K87/1000000+J87*1000000000*K87*N87/1000000*0.6</f>
        <v>0</v>
      </c>
      <c r="Q87" s="51">
        <v>-6</v>
      </c>
      <c r="R87" s="47">
        <f t="shared" si="51"/>
        <v>0</v>
      </c>
      <c r="S87" s="47">
        <f t="shared" si="52"/>
        <v>0</v>
      </c>
    </row>
    <row r="88" spans="1:19" ht="18" customHeight="1" x14ac:dyDescent="0.25">
      <c r="B88" s="31" t="s">
        <v>8</v>
      </c>
      <c r="C88" s="33">
        <v>251.48</v>
      </c>
      <c r="D88" s="31">
        <v>250.2</v>
      </c>
      <c r="E88" s="33">
        <f t="shared" si="53"/>
        <v>1.2800000000000011</v>
      </c>
      <c r="F88" s="34">
        <f>1/3*2000000</f>
        <v>666666.66666666663</v>
      </c>
      <c r="G88" s="34">
        <f>1/3*4000000</f>
        <v>1333333.3333333333</v>
      </c>
      <c r="H88" s="31">
        <v>5</v>
      </c>
      <c r="I88" s="34">
        <f t="shared" si="49"/>
        <v>3333333.333333333</v>
      </c>
      <c r="J88" s="34">
        <f t="shared" si="50"/>
        <v>6666666.666666666</v>
      </c>
      <c r="K88" s="31">
        <f>115*130</f>
        <v>14950</v>
      </c>
      <c r="L88" s="31">
        <f>67*48</f>
        <v>3216</v>
      </c>
      <c r="M88" s="31">
        <v>0.6</v>
      </c>
      <c r="N88" s="31">
        <v>2850</v>
      </c>
      <c r="O88" s="34">
        <f>L88/1000000*N88*1000000000*F88+I88*1000000000*$N$2*L88/1000000*M88</f>
        <v>2.44416E+16</v>
      </c>
      <c r="P88" s="34">
        <f>G88*1000000000*N88*K88/1000000+J88*1000000000*K88*N88/1000000*0.6</f>
        <v>2.2723999999999997E+17</v>
      </c>
      <c r="Q88" s="51">
        <v>-6</v>
      </c>
      <c r="R88" s="47">
        <f t="shared" si="51"/>
        <v>433977272727.27234</v>
      </c>
      <c r="S88" s="47">
        <f t="shared" si="52"/>
        <v>4034801136363.6323</v>
      </c>
    </row>
    <row r="89" spans="1:19" s="31" customFormat="1" ht="18" customHeight="1" x14ac:dyDescent="0.25">
      <c r="A89" s="29" t="s">
        <v>97</v>
      </c>
      <c r="B89" s="31" t="s">
        <v>31</v>
      </c>
      <c r="C89" s="33">
        <v>61</v>
      </c>
      <c r="D89" s="31">
        <v>57</v>
      </c>
      <c r="E89" s="33">
        <f>C89-D89</f>
        <v>4</v>
      </c>
      <c r="F89" s="31">
        <v>150000</v>
      </c>
      <c r="G89" s="31">
        <v>5</v>
      </c>
      <c r="H89" s="31">
        <f>F89*G89</f>
        <v>750000</v>
      </c>
      <c r="I89" s="31">
        <f>15*48</f>
        <v>720</v>
      </c>
      <c r="J89" s="31">
        <f>80*130</f>
        <v>10400</v>
      </c>
      <c r="K89" s="31">
        <v>0.6</v>
      </c>
      <c r="L89" s="31">
        <v>2850</v>
      </c>
      <c r="O89" s="34">
        <f>I89/1000000*L89*1000000000*F89+H89*1000000000*$L$2*I89/1000000*K89</f>
        <v>1349784000000000</v>
      </c>
      <c r="P89" s="34">
        <f>J89/1000000*L89*1000000000*F89+H89*1000000000*$L$2*J89/1000000*K89</f>
        <v>1.949688E+16</v>
      </c>
      <c r="Q89" s="52">
        <v>-6</v>
      </c>
      <c r="R89" s="47">
        <f t="shared" si="51"/>
        <v>7669227272.727273</v>
      </c>
      <c r="S89" s="47">
        <f t="shared" si="52"/>
        <v>110777727272.72728</v>
      </c>
    </row>
    <row r="90" spans="1:19" s="31" customFormat="1" ht="18" customHeight="1" x14ac:dyDescent="0.25">
      <c r="A90" s="29"/>
      <c r="B90" s="31" t="s">
        <v>43</v>
      </c>
      <c r="C90" s="33">
        <v>56</v>
      </c>
      <c r="D90" s="31">
        <v>55.95</v>
      </c>
      <c r="E90" s="33">
        <f>C90-D90</f>
        <v>4.9999999999997158E-2</v>
      </c>
      <c r="F90" s="31" t="s">
        <v>32</v>
      </c>
      <c r="O90" s="34">
        <f>12025*44/12*1000000000000</f>
        <v>4.4091666666666664E+16</v>
      </c>
      <c r="P90" s="34">
        <f>12025*44/12*1000000000000</f>
        <v>4.4091666666666664E+16</v>
      </c>
      <c r="Q90" s="52">
        <v>-15</v>
      </c>
      <c r="R90" s="47">
        <f t="shared" si="51"/>
        <v>20041666666667.805</v>
      </c>
      <c r="S90" s="47">
        <f t="shared" si="52"/>
        <v>20041666666667.805</v>
      </c>
    </row>
    <row r="91" spans="1:19" s="31" customFormat="1" ht="18" customHeight="1" x14ac:dyDescent="0.25">
      <c r="A91" s="29"/>
      <c r="B91" s="31" t="s">
        <v>33</v>
      </c>
      <c r="C91" s="33">
        <v>56</v>
      </c>
      <c r="D91" s="31">
        <v>55</v>
      </c>
      <c r="E91" s="33">
        <f>C91-D91</f>
        <v>1</v>
      </c>
      <c r="F91" s="34">
        <v>1800000</v>
      </c>
      <c r="G91" s="31">
        <v>5</v>
      </c>
      <c r="H91" s="31">
        <f>F91*G91</f>
        <v>9000000</v>
      </c>
      <c r="I91" s="31">
        <f>15*48</f>
        <v>720</v>
      </c>
      <c r="J91" s="31">
        <f>80*130</f>
        <v>10400</v>
      </c>
      <c r="K91" s="31">
        <v>0.6</v>
      </c>
      <c r="L91" s="31">
        <v>2850</v>
      </c>
      <c r="O91" s="34">
        <f>I91/1000000*L91*1000000000*F91+H91*1000000000*$L$2*I91/1000000*K91</f>
        <v>1.6197408E+16</v>
      </c>
      <c r="P91" s="34">
        <f>J91/1000000*L91*1000000000*F91+H91*1000000000*$L$2*J91/1000000*K91</f>
        <v>2.3396256E+17</v>
      </c>
      <c r="Q91" s="52">
        <v>-6</v>
      </c>
      <c r="R91" s="47">
        <f t="shared" si="51"/>
        <v>368122909090.90912</v>
      </c>
      <c r="S91" s="47">
        <f t="shared" si="52"/>
        <v>5317330909090.9092</v>
      </c>
    </row>
    <row r="92" spans="1:19" ht="18" customHeight="1" x14ac:dyDescent="0.25">
      <c r="R92" s="47"/>
      <c r="S92" s="47"/>
    </row>
    <row r="93" spans="1:19" ht="18" customHeight="1" x14ac:dyDescent="0.25">
      <c r="A93" s="32" t="s">
        <v>92</v>
      </c>
      <c r="C93" s="33"/>
      <c r="D93" s="31"/>
      <c r="E93" s="33"/>
      <c r="F93" s="34"/>
      <c r="G93" s="34"/>
      <c r="H93" s="31"/>
      <c r="I93" s="31"/>
      <c r="J93" s="31"/>
      <c r="K93" s="31"/>
      <c r="L93" s="31"/>
      <c r="M93" s="31"/>
      <c r="N93" s="31"/>
      <c r="O93" s="31"/>
      <c r="P93" s="31"/>
      <c r="R93" s="47"/>
      <c r="S93" s="47"/>
    </row>
    <row r="94" spans="1:19" ht="18" customHeight="1" x14ac:dyDescent="0.25">
      <c r="A94" s="44" t="s">
        <v>101</v>
      </c>
      <c r="B94" s="31" t="s">
        <v>7</v>
      </c>
      <c r="C94" s="33">
        <v>252.24</v>
      </c>
      <c r="D94" s="31">
        <v>251.9</v>
      </c>
      <c r="E94" s="33">
        <f>C94-D94</f>
        <v>0.34000000000000341</v>
      </c>
      <c r="F94" s="34">
        <f>2/3*2000000</f>
        <v>1333333.3333333333</v>
      </c>
      <c r="G94" s="34">
        <f>2/3*4000000</f>
        <v>2666666.6666666665</v>
      </c>
      <c r="H94" s="31">
        <v>10</v>
      </c>
      <c r="I94" s="34">
        <f t="shared" ref="I94" si="54">F94*H94</f>
        <v>13333333.333333332</v>
      </c>
      <c r="J94" s="34">
        <f t="shared" ref="J94" si="55">G94*H94</f>
        <v>26666666.666666664</v>
      </c>
      <c r="K94" s="31">
        <f>115*130</f>
        <v>14950</v>
      </c>
      <c r="L94" s="31">
        <f>67*48</f>
        <v>3216</v>
      </c>
      <c r="M94" s="31">
        <v>0.6</v>
      </c>
      <c r="N94" s="31">
        <v>2850</v>
      </c>
      <c r="O94" s="34">
        <f>L94/1000000*N94*1000000000*F94+I94*1000000000*$N$2*L94/1000000*M94</f>
        <v>8.55456E+16</v>
      </c>
      <c r="P94" s="34">
        <f>G94*1000000000*N94*K94/1000000+J94*1000000000*K94*N94/1000000*0.6</f>
        <v>7.9533999999999987E+17</v>
      </c>
      <c r="Q94" s="51">
        <v>-6</v>
      </c>
      <c r="R94" s="47">
        <f t="shared" ref="R94:R100" si="56">((O94*1000)/44)/(E94*1000000)</f>
        <v>5718288770053.418</v>
      </c>
      <c r="S94" s="47">
        <f t="shared" ref="S94:S100" si="57">((P94*1000)/44)/(E94*1000000)</f>
        <v>53164438502673.25</v>
      </c>
    </row>
    <row r="95" spans="1:19" ht="18" customHeight="1" x14ac:dyDescent="0.25">
      <c r="B95" s="31" t="s">
        <v>14</v>
      </c>
      <c r="C95" s="33">
        <v>251.9</v>
      </c>
      <c r="D95" s="31">
        <v>251.8</v>
      </c>
      <c r="E95" s="33">
        <v>0.1</v>
      </c>
      <c r="F95" s="34"/>
      <c r="G95" s="34"/>
      <c r="H95" s="31"/>
      <c r="I95" s="34"/>
      <c r="J95" s="34"/>
      <c r="K95" s="31"/>
      <c r="L95" s="31"/>
      <c r="M95" s="31"/>
      <c r="N95" s="31"/>
      <c r="O95" s="34">
        <v>1.3E+17</v>
      </c>
      <c r="P95" s="34">
        <v>1.3E+17</v>
      </c>
      <c r="Q95" s="51">
        <v>-15</v>
      </c>
      <c r="R95" s="47">
        <f t="shared" si="56"/>
        <v>29545454545454.547</v>
      </c>
      <c r="S95" s="47">
        <f t="shared" si="57"/>
        <v>29545454545454.547</v>
      </c>
    </row>
    <row r="96" spans="1:19" ht="18" customHeight="1" x14ac:dyDescent="0.25">
      <c r="B96" s="31" t="s">
        <v>44</v>
      </c>
      <c r="C96" s="33">
        <v>251.8</v>
      </c>
      <c r="D96" s="31">
        <v>251.48</v>
      </c>
      <c r="E96" s="33">
        <f t="shared" ref="E96:E97" si="58">C96-D96</f>
        <v>0.3200000000000216</v>
      </c>
      <c r="F96" s="34">
        <v>0</v>
      </c>
      <c r="G96" s="34">
        <v>0</v>
      </c>
      <c r="H96" s="31">
        <v>10</v>
      </c>
      <c r="I96" s="34">
        <f t="shared" ref="I96:I97" si="59">F96*H96</f>
        <v>0</v>
      </c>
      <c r="J96" s="34">
        <f t="shared" ref="J96:J97" si="60">G96*H96</f>
        <v>0</v>
      </c>
      <c r="K96" s="31"/>
      <c r="L96" s="31"/>
      <c r="M96" s="31"/>
      <c r="N96" s="31"/>
      <c r="O96" s="34">
        <f t="shared" ref="O96:O97" si="61">L96/1000000*N96*1000000000*F96+I96*1000000000*$N$2*L96/1000000*M96</f>
        <v>0</v>
      </c>
      <c r="P96" s="34">
        <f t="shared" ref="P96:P97" si="62">G96*1000000000*N96*K96/1000000+J96*1000000000*K96*N96/1000000*0.6</f>
        <v>0</v>
      </c>
      <c r="Q96" s="51">
        <v>-6</v>
      </c>
      <c r="R96" s="47">
        <f t="shared" si="56"/>
        <v>0</v>
      </c>
      <c r="S96" s="47">
        <f t="shared" si="57"/>
        <v>0</v>
      </c>
    </row>
    <row r="97" spans="1:19" ht="18" customHeight="1" x14ac:dyDescent="0.25">
      <c r="B97" s="31" t="s">
        <v>8</v>
      </c>
      <c r="C97" s="33">
        <v>251.48</v>
      </c>
      <c r="D97" s="31">
        <v>250.2</v>
      </c>
      <c r="E97" s="33">
        <f t="shared" si="58"/>
        <v>1.2800000000000011</v>
      </c>
      <c r="F97" s="34">
        <f>1/3*2000000</f>
        <v>666666.66666666663</v>
      </c>
      <c r="G97" s="34">
        <f>1/3*4000000</f>
        <v>1333333.3333333333</v>
      </c>
      <c r="H97" s="31">
        <v>10</v>
      </c>
      <c r="I97" s="34">
        <f t="shared" si="59"/>
        <v>6666666.666666666</v>
      </c>
      <c r="J97" s="34">
        <f t="shared" si="60"/>
        <v>13333333.333333332</v>
      </c>
      <c r="K97" s="31">
        <f>115*130</f>
        <v>14950</v>
      </c>
      <c r="L97" s="31">
        <f>67*48</f>
        <v>3216</v>
      </c>
      <c r="M97" s="31">
        <v>0.6</v>
      </c>
      <c r="N97" s="31">
        <v>2850</v>
      </c>
      <c r="O97" s="34">
        <f t="shared" si="61"/>
        <v>4.27728E+16</v>
      </c>
      <c r="P97" s="34">
        <f t="shared" si="62"/>
        <v>3.9766999999999994E+17</v>
      </c>
      <c r="Q97" s="51">
        <v>-6</v>
      </c>
      <c r="R97" s="47">
        <f t="shared" si="56"/>
        <v>759460227272.72656</v>
      </c>
      <c r="S97" s="47">
        <f t="shared" si="57"/>
        <v>7060901988636.3564</v>
      </c>
    </row>
    <row r="98" spans="1:19" s="31" customFormat="1" ht="18" customHeight="1" x14ac:dyDescent="0.25">
      <c r="A98" s="29" t="s">
        <v>97</v>
      </c>
      <c r="B98" s="31" t="s">
        <v>31</v>
      </c>
      <c r="C98" s="33">
        <v>61</v>
      </c>
      <c r="D98" s="31">
        <v>57</v>
      </c>
      <c r="E98" s="33">
        <f>C98-D98</f>
        <v>4</v>
      </c>
      <c r="F98" s="31">
        <v>150000</v>
      </c>
      <c r="G98" s="31">
        <v>10</v>
      </c>
      <c r="H98" s="31">
        <f>F98*G98</f>
        <v>1500000</v>
      </c>
      <c r="I98" s="31">
        <f>15*48</f>
        <v>720</v>
      </c>
      <c r="J98" s="31">
        <f>80*130</f>
        <v>10400</v>
      </c>
      <c r="K98" s="31">
        <v>0.6</v>
      </c>
      <c r="L98" s="31">
        <v>2850</v>
      </c>
      <c r="O98" s="34">
        <f>I98/1000000*L98*1000000000*F98+H98*1000000000*$L$2*I98/1000000*K98</f>
        <v>2391768000000000</v>
      </c>
      <c r="P98" s="34">
        <f>J98/1000000*L98*1000000000*F98+H98*1000000000*$L$2*J98/1000000*K98</f>
        <v>3.454776E+16</v>
      </c>
      <c r="Q98" s="52">
        <v>-6</v>
      </c>
      <c r="R98" s="47">
        <f t="shared" si="56"/>
        <v>13589590909.09091</v>
      </c>
      <c r="S98" s="47">
        <f t="shared" si="57"/>
        <v>196294090909.09091</v>
      </c>
    </row>
    <row r="99" spans="1:19" s="31" customFormat="1" ht="18" customHeight="1" x14ac:dyDescent="0.25">
      <c r="A99" s="29"/>
      <c r="B99" s="31" t="s">
        <v>43</v>
      </c>
      <c r="C99" s="33">
        <v>56</v>
      </c>
      <c r="D99" s="31">
        <v>55.95</v>
      </c>
      <c r="E99" s="33">
        <f>C99-D99</f>
        <v>4.9999999999997158E-2</v>
      </c>
      <c r="F99" s="31" t="s">
        <v>32</v>
      </c>
      <c r="O99" s="34">
        <f>12025*44/12*1000000000000</f>
        <v>4.4091666666666664E+16</v>
      </c>
      <c r="P99" s="34">
        <f>12025*44/12*1000000000000</f>
        <v>4.4091666666666664E+16</v>
      </c>
      <c r="Q99" s="52">
        <v>-15</v>
      </c>
      <c r="R99" s="47">
        <f t="shared" si="56"/>
        <v>20041666666667.805</v>
      </c>
      <c r="S99" s="47">
        <f t="shared" si="57"/>
        <v>20041666666667.805</v>
      </c>
    </row>
    <row r="100" spans="1:19" s="31" customFormat="1" ht="18" customHeight="1" x14ac:dyDescent="0.25">
      <c r="A100" s="29"/>
      <c r="B100" s="31" t="s">
        <v>33</v>
      </c>
      <c r="C100" s="33">
        <v>56</v>
      </c>
      <c r="D100" s="31">
        <v>55</v>
      </c>
      <c r="E100" s="33">
        <f>C100-D100</f>
        <v>1</v>
      </c>
      <c r="F100" s="34">
        <v>1800000</v>
      </c>
      <c r="G100" s="31">
        <v>10</v>
      </c>
      <c r="H100" s="31">
        <f>F100*G100</f>
        <v>18000000</v>
      </c>
      <c r="I100" s="31">
        <f>15*48</f>
        <v>720</v>
      </c>
      <c r="J100" s="31">
        <f>80*130</f>
        <v>10400</v>
      </c>
      <c r="K100" s="31">
        <v>0.6</v>
      </c>
      <c r="L100" s="31">
        <v>2850</v>
      </c>
      <c r="O100" s="34">
        <f>I100/1000000*L100*1000000000*F100+H100*1000000000*$L$2*I100/1000000*K100</f>
        <v>2.8701216E+16</v>
      </c>
      <c r="P100" s="34">
        <f>J100/1000000*L100*1000000000*F100+H100*1000000000*$L$2*J100/1000000*K100</f>
        <v>4.1457312E+17</v>
      </c>
      <c r="Q100" s="52">
        <v>-6</v>
      </c>
      <c r="R100" s="47">
        <f t="shared" si="56"/>
        <v>652300363636.36365</v>
      </c>
      <c r="S100" s="47">
        <f t="shared" si="57"/>
        <v>9422116363636.3633</v>
      </c>
    </row>
  </sheetData>
  <pageMargins left="0.7" right="0.7" top="0.75" bottom="0.75" header="0.3" footer="0.3"/>
  <ignoredErrors>
    <ignoredError sqref="E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E60C-CAA5-D24E-A149-6CDAA23F4DCE}">
  <dimension ref="A1:AD43"/>
  <sheetViews>
    <sheetView topLeftCell="A7" workbookViewId="0">
      <selection activeCell="D23" sqref="D23"/>
    </sheetView>
  </sheetViews>
  <sheetFormatPr defaultColWidth="11" defaultRowHeight="15.75" x14ac:dyDescent="0.25"/>
  <cols>
    <col min="1" max="1" width="14.125" customWidth="1"/>
    <col min="2" max="2" width="11" bestFit="1" customWidth="1"/>
    <col min="3" max="3" width="14.5" customWidth="1"/>
    <col min="4" max="4" width="16.625" customWidth="1"/>
    <col min="5" max="5" width="11" bestFit="1" customWidth="1"/>
    <col min="6" max="6" width="15.25" customWidth="1"/>
    <col min="7" max="7" width="14.25" customWidth="1"/>
    <col min="8" max="8" width="13.875" customWidth="1"/>
    <col min="9" max="9" width="14.75" customWidth="1"/>
    <col min="10" max="10" width="16.375" customWidth="1"/>
    <col min="11" max="11" width="20.625" customWidth="1"/>
    <col min="12" max="12" width="17.25" customWidth="1"/>
  </cols>
  <sheetData>
    <row r="1" spans="1:30" x14ac:dyDescent="0.25">
      <c r="A1" s="5" t="s">
        <v>30</v>
      </c>
    </row>
    <row r="3" spans="1:30" x14ac:dyDescent="0.25">
      <c r="A3" s="4" t="s">
        <v>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30" x14ac:dyDescent="0.25">
      <c r="A4" s="4" t="s">
        <v>0</v>
      </c>
      <c r="B4" s="4" t="s">
        <v>1</v>
      </c>
      <c r="C4" s="4" t="s">
        <v>27</v>
      </c>
      <c r="D4" s="4" t="s">
        <v>28</v>
      </c>
      <c r="E4" s="4" t="s">
        <v>10</v>
      </c>
      <c r="F4" s="4" t="s">
        <v>11</v>
      </c>
      <c r="G4" s="4" t="s">
        <v>5</v>
      </c>
      <c r="H4" s="4" t="s">
        <v>4</v>
      </c>
      <c r="I4" s="4" t="s">
        <v>9</v>
      </c>
      <c r="J4" s="4" t="s">
        <v>6</v>
      </c>
      <c r="K4" s="12" t="s">
        <v>13</v>
      </c>
      <c r="L4" s="14" t="s">
        <v>12</v>
      </c>
      <c r="M4" s="22" t="s">
        <v>82</v>
      </c>
      <c r="T4" s="1"/>
      <c r="U4" s="2"/>
      <c r="V4" s="2"/>
      <c r="W4" s="2"/>
      <c r="X4" s="1"/>
      <c r="Y4" s="2"/>
      <c r="Z4" s="2"/>
      <c r="AA4" s="2"/>
      <c r="AB4" s="3"/>
      <c r="AC4" s="5"/>
      <c r="AD4" s="3"/>
    </row>
    <row r="5" spans="1:30" x14ac:dyDescent="0.25">
      <c r="A5" s="6" t="s">
        <v>16</v>
      </c>
      <c r="B5" s="5">
        <v>66.423000000000002</v>
      </c>
      <c r="C5" s="7">
        <v>10000</v>
      </c>
      <c r="D5" s="7">
        <v>11000</v>
      </c>
      <c r="E5" s="5">
        <v>0</v>
      </c>
      <c r="F5" s="5">
        <f>D5*E5</f>
        <v>0</v>
      </c>
      <c r="G5" s="8">
        <v>8659.2017940097285</v>
      </c>
      <c r="H5" s="8">
        <f>G5*130/48</f>
        <v>23452.004858776349</v>
      </c>
      <c r="I5" s="5">
        <v>0.6</v>
      </c>
      <c r="J5" s="5">
        <v>2850</v>
      </c>
      <c r="K5" s="13">
        <f>D5*1000000000*J5*G5/1000000+F5*J5*1000000000*G5/1000000*I5</f>
        <v>271465976242205</v>
      </c>
      <c r="L5" s="15">
        <f>D5*1000000000*J5*H5/1000000+F5*J5*1000000000*H5/1000000*I5</f>
        <v>735220352322638.63</v>
      </c>
      <c r="M5" s="24">
        <v>-6</v>
      </c>
      <c r="N5" s="16"/>
      <c r="O5" s="16"/>
      <c r="P5" s="1"/>
      <c r="AC5" s="5"/>
    </row>
    <row r="6" spans="1:30" x14ac:dyDescent="0.25">
      <c r="A6" s="6" t="s">
        <v>17</v>
      </c>
      <c r="B6" s="5">
        <v>66.412999999999997</v>
      </c>
      <c r="C6" s="8">
        <v>61000</v>
      </c>
      <c r="D6" s="7">
        <v>36000</v>
      </c>
      <c r="E6" s="5">
        <v>0</v>
      </c>
      <c r="F6" s="5">
        <f t="shared" ref="F6:F15" si="0">D6*E6</f>
        <v>0</v>
      </c>
      <c r="G6" s="8">
        <v>5500</v>
      </c>
      <c r="H6" s="8">
        <f t="shared" ref="H6:H15" si="1">G6*130/48</f>
        <v>14895.833333333334</v>
      </c>
      <c r="I6" s="5">
        <v>0.6</v>
      </c>
      <c r="J6" s="5">
        <v>2850</v>
      </c>
      <c r="K6" s="13">
        <f t="shared" ref="K6:K15" si="2">D6*1000000000*J6*G6/1000000+F6*J6*1000000000*G6/1000000*I6</f>
        <v>564300000000000</v>
      </c>
      <c r="L6" s="15">
        <f t="shared" ref="L6:L15" si="3">D6*1000000000*J6*H6/1000000+F6*J6*1000000000*H6/1000000*I6</f>
        <v>1528312500000000</v>
      </c>
      <c r="M6" s="24">
        <v>-6</v>
      </c>
      <c r="N6" s="16"/>
      <c r="O6" s="16"/>
      <c r="P6" s="2"/>
    </row>
    <row r="7" spans="1:30" x14ac:dyDescent="0.25">
      <c r="A7" s="6" t="s">
        <v>18</v>
      </c>
      <c r="B7" s="5">
        <v>66.35199999999999</v>
      </c>
      <c r="C7" s="8">
        <v>52000</v>
      </c>
      <c r="D7" s="7">
        <v>9000</v>
      </c>
      <c r="E7" s="5">
        <v>0</v>
      </c>
      <c r="F7" s="5">
        <f t="shared" si="0"/>
        <v>0</v>
      </c>
      <c r="G7" s="8">
        <v>5300</v>
      </c>
      <c r="H7" s="8">
        <f t="shared" si="1"/>
        <v>14354.166666666666</v>
      </c>
      <c r="I7" s="5">
        <v>0.6</v>
      </c>
      <c r="J7" s="5">
        <v>2850</v>
      </c>
      <c r="K7" s="13">
        <f t="shared" si="2"/>
        <v>135945000000000</v>
      </c>
      <c r="L7" s="15">
        <f t="shared" si="3"/>
        <v>368184375000000</v>
      </c>
      <c r="M7" s="24">
        <v>-6</v>
      </c>
      <c r="N7" s="16"/>
      <c r="O7" s="16"/>
      <c r="P7" s="2"/>
    </row>
    <row r="8" spans="1:30" x14ac:dyDescent="0.25">
      <c r="A8" s="6" t="s">
        <v>19</v>
      </c>
      <c r="B8" s="5">
        <v>66.299999999999983</v>
      </c>
      <c r="C8" s="8">
        <v>25000</v>
      </c>
      <c r="D8" s="7">
        <v>9000</v>
      </c>
      <c r="E8" s="5">
        <v>0</v>
      </c>
      <c r="F8" s="5">
        <f t="shared" si="0"/>
        <v>0</v>
      </c>
      <c r="G8" s="8">
        <v>6000</v>
      </c>
      <c r="H8" s="8">
        <f t="shared" si="1"/>
        <v>16250</v>
      </c>
      <c r="I8" s="5">
        <v>0.6</v>
      </c>
      <c r="J8" s="5">
        <v>2850</v>
      </c>
      <c r="K8" s="13">
        <f t="shared" si="2"/>
        <v>153900000000000</v>
      </c>
      <c r="L8" s="15">
        <f t="shared" si="3"/>
        <v>416812500000000</v>
      </c>
      <c r="M8" s="24">
        <v>-6</v>
      </c>
      <c r="N8" s="16"/>
      <c r="O8" s="16"/>
      <c r="P8" s="2"/>
    </row>
    <row r="9" spans="1:30" x14ac:dyDescent="0.25">
      <c r="A9" s="6" t="s">
        <v>20</v>
      </c>
      <c r="B9" s="5">
        <v>66.274999999999977</v>
      </c>
      <c r="C9" s="8">
        <v>56000</v>
      </c>
      <c r="D9" s="7">
        <v>43000</v>
      </c>
      <c r="E9" s="5">
        <v>0</v>
      </c>
      <c r="F9" s="5">
        <f t="shared" si="0"/>
        <v>0</v>
      </c>
      <c r="G9" s="8">
        <v>3937.0507073040844</v>
      </c>
      <c r="H9" s="8">
        <f t="shared" si="1"/>
        <v>10662.845665615228</v>
      </c>
      <c r="I9" s="5">
        <v>0.6</v>
      </c>
      <c r="J9" s="5">
        <v>2850</v>
      </c>
      <c r="K9" s="13">
        <f t="shared" si="2"/>
        <v>482485564180115.56</v>
      </c>
      <c r="L9" s="15">
        <f t="shared" si="3"/>
        <v>1306731736321146.3</v>
      </c>
      <c r="M9" s="24">
        <v>-6</v>
      </c>
      <c r="N9" s="16"/>
      <c r="O9" s="16"/>
      <c r="P9" s="1"/>
    </row>
    <row r="10" spans="1:30" x14ac:dyDescent="0.25">
      <c r="A10" s="6" t="s">
        <v>21</v>
      </c>
      <c r="B10" s="5">
        <v>66.21899999999998</v>
      </c>
      <c r="C10" s="8">
        <v>39000</v>
      </c>
      <c r="D10" s="7">
        <v>9000</v>
      </c>
      <c r="E10" s="5">
        <v>0</v>
      </c>
      <c r="F10" s="5">
        <f t="shared" si="0"/>
        <v>0</v>
      </c>
      <c r="G10" s="8">
        <v>5000</v>
      </c>
      <c r="H10" s="8">
        <f t="shared" si="1"/>
        <v>13541.666666666666</v>
      </c>
      <c r="I10" s="5">
        <v>0.6</v>
      </c>
      <c r="J10" s="5">
        <v>2850</v>
      </c>
      <c r="K10" s="13">
        <f t="shared" si="2"/>
        <v>128250000000000</v>
      </c>
      <c r="L10" s="15">
        <f t="shared" si="3"/>
        <v>347343750000000</v>
      </c>
      <c r="M10" s="24">
        <v>-6</v>
      </c>
      <c r="N10" s="16"/>
      <c r="O10" s="16"/>
      <c r="P10" s="2"/>
    </row>
    <row r="11" spans="1:30" x14ac:dyDescent="0.25">
      <c r="A11" s="6" t="s">
        <v>22</v>
      </c>
      <c r="B11" s="5">
        <v>66.179999999999978</v>
      </c>
      <c r="C11" s="8">
        <v>71000</v>
      </c>
      <c r="D11" s="7">
        <v>12000</v>
      </c>
      <c r="E11" s="5">
        <v>0</v>
      </c>
      <c r="F11" s="5">
        <f t="shared" si="0"/>
        <v>0</v>
      </c>
      <c r="G11" s="8">
        <v>2900</v>
      </c>
      <c r="H11" s="8">
        <f t="shared" si="1"/>
        <v>7854.166666666667</v>
      </c>
      <c r="I11" s="5">
        <v>0.6</v>
      </c>
      <c r="J11" s="5">
        <v>2850</v>
      </c>
      <c r="K11" s="13">
        <f t="shared" si="2"/>
        <v>99180000000000</v>
      </c>
      <c r="L11" s="15">
        <f t="shared" si="3"/>
        <v>268612500000000.03</v>
      </c>
      <c r="M11" s="24">
        <v>-6</v>
      </c>
      <c r="N11" s="16"/>
      <c r="O11" s="16"/>
      <c r="P11" s="2"/>
    </row>
    <row r="12" spans="1:30" x14ac:dyDescent="0.25">
      <c r="A12" s="6" t="s">
        <v>23</v>
      </c>
      <c r="B12" s="5">
        <v>66.10899999999998</v>
      </c>
      <c r="C12" s="8">
        <v>56000</v>
      </c>
      <c r="D12" s="7">
        <v>22000</v>
      </c>
      <c r="E12" s="5">
        <v>0</v>
      </c>
      <c r="F12" s="5">
        <f t="shared" si="0"/>
        <v>0</v>
      </c>
      <c r="G12" s="8">
        <v>3500</v>
      </c>
      <c r="H12" s="8">
        <f t="shared" si="1"/>
        <v>9479.1666666666661</v>
      </c>
      <c r="I12" s="5">
        <v>0.6</v>
      </c>
      <c r="J12" s="5">
        <v>2850</v>
      </c>
      <c r="K12" s="13">
        <f t="shared" si="2"/>
        <v>219450000000000</v>
      </c>
      <c r="L12" s="15">
        <f t="shared" si="3"/>
        <v>594343750000000</v>
      </c>
      <c r="M12" s="24">
        <v>-6</v>
      </c>
      <c r="N12" s="16"/>
      <c r="O12" s="16"/>
      <c r="P12" s="2"/>
    </row>
    <row r="13" spans="1:30" x14ac:dyDescent="0.25">
      <c r="A13" s="6" t="s">
        <v>24</v>
      </c>
      <c r="B13" s="5">
        <v>66.052999999999983</v>
      </c>
      <c r="C13" s="8">
        <v>137000</v>
      </c>
      <c r="D13" s="9">
        <v>147000</v>
      </c>
      <c r="E13" s="5">
        <v>0</v>
      </c>
      <c r="F13" s="5">
        <f t="shared" si="0"/>
        <v>0</v>
      </c>
      <c r="G13" s="8">
        <v>748.59750000000008</v>
      </c>
      <c r="H13" s="8">
        <f t="shared" si="1"/>
        <v>2027.4515625000004</v>
      </c>
      <c r="I13" s="5">
        <v>0.6</v>
      </c>
      <c r="J13" s="5">
        <v>2850</v>
      </c>
      <c r="K13" s="13">
        <f t="shared" si="2"/>
        <v>313624922625000</v>
      </c>
      <c r="L13" s="15">
        <f t="shared" si="3"/>
        <v>849400832109375.13</v>
      </c>
      <c r="M13" s="24">
        <v>-6</v>
      </c>
      <c r="N13" s="16"/>
      <c r="O13" s="16"/>
      <c r="P13" s="3"/>
    </row>
    <row r="14" spans="1:30" x14ac:dyDescent="0.25">
      <c r="A14" s="6" t="s">
        <v>25</v>
      </c>
      <c r="B14" s="5">
        <v>65.915999999999983</v>
      </c>
      <c r="C14" s="8">
        <v>330000</v>
      </c>
      <c r="D14" s="9">
        <v>190000</v>
      </c>
      <c r="E14" s="5">
        <v>0</v>
      </c>
      <c r="F14" s="5">
        <f t="shared" si="0"/>
        <v>0</v>
      </c>
      <c r="G14" s="8">
        <v>1120.32142857143</v>
      </c>
      <c r="H14" s="8">
        <f t="shared" si="1"/>
        <v>3034.2038690476234</v>
      </c>
      <c r="I14" s="5">
        <v>0.6</v>
      </c>
      <c r="J14" s="5">
        <v>2850</v>
      </c>
      <c r="K14" s="13">
        <f t="shared" si="2"/>
        <v>606654053571429.38</v>
      </c>
      <c r="L14" s="15">
        <f t="shared" si="3"/>
        <v>1643021395089288</v>
      </c>
      <c r="M14" s="24">
        <v>-6</v>
      </c>
      <c r="N14" s="16"/>
      <c r="O14" s="16"/>
      <c r="P14" s="5"/>
      <c r="Q14" s="5"/>
      <c r="R14" s="5"/>
      <c r="S14" s="5"/>
      <c r="T14" s="5"/>
      <c r="U14" s="5"/>
      <c r="V14" s="5"/>
    </row>
    <row r="15" spans="1:30" x14ac:dyDescent="0.25">
      <c r="A15" s="6" t="s">
        <v>26</v>
      </c>
      <c r="B15" s="5">
        <v>65.585999999999984</v>
      </c>
      <c r="C15" s="8">
        <v>163000</v>
      </c>
      <c r="D15" s="10">
        <v>102000</v>
      </c>
      <c r="E15" s="5">
        <v>0</v>
      </c>
      <c r="F15" s="5">
        <f t="shared" si="0"/>
        <v>0</v>
      </c>
      <c r="G15" s="8">
        <v>927.10782608695604</v>
      </c>
      <c r="H15" s="8">
        <f t="shared" si="1"/>
        <v>2510.917028985506</v>
      </c>
      <c r="I15" s="5">
        <v>0.6</v>
      </c>
      <c r="J15" s="5">
        <v>2850</v>
      </c>
      <c r="K15" s="13">
        <f t="shared" si="2"/>
        <v>269510245043478.13</v>
      </c>
      <c r="L15" s="15">
        <f t="shared" si="3"/>
        <v>729923580326086.63</v>
      </c>
      <c r="M15" s="24">
        <v>-6</v>
      </c>
      <c r="N15" s="16"/>
      <c r="O15" s="16"/>
      <c r="P15" s="3"/>
    </row>
    <row r="17" spans="1:13" x14ac:dyDescent="0.25">
      <c r="A17" s="4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3" x14ac:dyDescent="0.25">
      <c r="A18" s="4" t="s">
        <v>0</v>
      </c>
      <c r="B18" s="4" t="s">
        <v>1</v>
      </c>
      <c r="C18" s="4" t="s">
        <v>27</v>
      </c>
      <c r="D18" s="4" t="s">
        <v>28</v>
      </c>
      <c r="E18" s="4" t="s">
        <v>10</v>
      </c>
      <c r="F18" s="4" t="s">
        <v>11</v>
      </c>
      <c r="G18" s="4" t="s">
        <v>5</v>
      </c>
      <c r="H18" s="4" t="s">
        <v>4</v>
      </c>
      <c r="I18" s="4" t="s">
        <v>9</v>
      </c>
      <c r="J18" s="4" t="s">
        <v>6</v>
      </c>
      <c r="K18" s="12" t="s">
        <v>13</v>
      </c>
      <c r="L18" s="14" t="s">
        <v>12</v>
      </c>
      <c r="M18" s="22" t="s">
        <v>82</v>
      </c>
    </row>
    <row r="19" spans="1:13" x14ac:dyDescent="0.25">
      <c r="A19" s="6" t="s">
        <v>16</v>
      </c>
      <c r="B19" s="5">
        <v>66.423000000000002</v>
      </c>
      <c r="C19" s="7">
        <v>10000</v>
      </c>
      <c r="D19" s="7">
        <v>11000</v>
      </c>
      <c r="E19" s="5">
        <v>5</v>
      </c>
      <c r="F19" s="5">
        <f>D19*E19</f>
        <v>55000</v>
      </c>
      <c r="G19" s="8">
        <v>8659.2017940097285</v>
      </c>
      <c r="H19" s="8">
        <f>G19*130/48</f>
        <v>23452.004858776349</v>
      </c>
      <c r="I19" s="5">
        <v>0.6</v>
      </c>
      <c r="J19" s="5">
        <v>2850</v>
      </c>
      <c r="K19" s="13">
        <f>D19*1000000000*J19*G19/1000000+F19*J19*1000000000*G19/1000000*I19</f>
        <v>1085863904968820</v>
      </c>
      <c r="L19" s="15">
        <f>D19*1000000000*J19*H19/1000000+F19*J19*1000000000*H19/1000000*I19</f>
        <v>2940881409290554.5</v>
      </c>
      <c r="M19" s="24">
        <v>-6</v>
      </c>
    </row>
    <row r="20" spans="1:13" x14ac:dyDescent="0.25">
      <c r="A20" s="6" t="s">
        <v>17</v>
      </c>
      <c r="B20" s="5">
        <v>66.412999999999997</v>
      </c>
      <c r="C20" s="8">
        <v>61000</v>
      </c>
      <c r="D20" s="7">
        <v>36000</v>
      </c>
      <c r="E20" s="5">
        <v>5</v>
      </c>
      <c r="F20" s="5">
        <f t="shared" ref="F20:F29" si="4">D20*E20</f>
        <v>180000</v>
      </c>
      <c r="G20" s="8">
        <v>5500</v>
      </c>
      <c r="H20" s="8">
        <f t="shared" ref="H20:H29" si="5">G20*130/48</f>
        <v>14895.833333333334</v>
      </c>
      <c r="I20" s="5">
        <v>0.6</v>
      </c>
      <c r="J20" s="5">
        <v>2850</v>
      </c>
      <c r="K20" s="13">
        <f t="shared" ref="K20:K29" si="6">D20*1000000000*J20*G20/1000000+F20*J20*1000000000*G20/1000000*I20</f>
        <v>2257200000000000</v>
      </c>
      <c r="L20" s="15">
        <f t="shared" ref="L20:L29" si="7">D20*1000000000*J20*H20/1000000+F20*J20*1000000000*H20/1000000*I20</f>
        <v>6113250000000000</v>
      </c>
      <c r="M20" s="24">
        <v>-6</v>
      </c>
    </row>
    <row r="21" spans="1:13" x14ac:dyDescent="0.25">
      <c r="A21" s="6" t="s">
        <v>18</v>
      </c>
      <c r="B21" s="5">
        <v>66.35199999999999</v>
      </c>
      <c r="C21" s="8">
        <v>52000</v>
      </c>
      <c r="D21" s="7">
        <v>9000</v>
      </c>
      <c r="E21" s="5">
        <v>5</v>
      </c>
      <c r="F21" s="5">
        <f t="shared" si="4"/>
        <v>45000</v>
      </c>
      <c r="G21" s="8">
        <v>5300</v>
      </c>
      <c r="H21" s="8">
        <f t="shared" si="5"/>
        <v>14354.166666666666</v>
      </c>
      <c r="I21" s="5">
        <v>0.6</v>
      </c>
      <c r="J21" s="5">
        <v>2850</v>
      </c>
      <c r="K21" s="13">
        <f t="shared" si="6"/>
        <v>543780000000000</v>
      </c>
      <c r="L21" s="15">
        <f t="shared" si="7"/>
        <v>1472737500000000</v>
      </c>
      <c r="M21" s="24">
        <v>-6</v>
      </c>
    </row>
    <row r="22" spans="1:13" x14ac:dyDescent="0.25">
      <c r="A22" s="6" t="s">
        <v>19</v>
      </c>
      <c r="B22" s="5">
        <v>66.299999999999983</v>
      </c>
      <c r="C22" s="8">
        <v>25000</v>
      </c>
      <c r="D22" s="7">
        <v>9000</v>
      </c>
      <c r="E22" s="5">
        <v>5</v>
      </c>
      <c r="F22" s="5">
        <f t="shared" si="4"/>
        <v>45000</v>
      </c>
      <c r="G22" s="8">
        <v>6000</v>
      </c>
      <c r="H22" s="8">
        <f t="shared" si="5"/>
        <v>16250</v>
      </c>
      <c r="I22" s="5">
        <v>0.6</v>
      </c>
      <c r="J22" s="5">
        <v>2850</v>
      </c>
      <c r="K22" s="13">
        <f t="shared" si="6"/>
        <v>615600000000000</v>
      </c>
      <c r="L22" s="15">
        <f t="shared" si="7"/>
        <v>1667250000000000</v>
      </c>
      <c r="M22" s="24">
        <v>-6</v>
      </c>
    </row>
    <row r="23" spans="1:13" x14ac:dyDescent="0.25">
      <c r="A23" s="6" t="s">
        <v>20</v>
      </c>
      <c r="B23" s="5">
        <v>66.274999999999977</v>
      </c>
      <c r="C23" s="8">
        <v>56000</v>
      </c>
      <c r="D23" s="7">
        <v>43000</v>
      </c>
      <c r="E23" s="5">
        <v>5</v>
      </c>
      <c r="F23" s="5">
        <f t="shared" si="4"/>
        <v>215000</v>
      </c>
      <c r="G23" s="8">
        <v>3937.0507073040844</v>
      </c>
      <c r="H23" s="8">
        <f t="shared" si="5"/>
        <v>10662.845665615228</v>
      </c>
      <c r="I23" s="5">
        <v>0.6</v>
      </c>
      <c r="J23" s="5">
        <v>2850</v>
      </c>
      <c r="K23" s="13">
        <f t="shared" si="6"/>
        <v>1929942256720462.3</v>
      </c>
      <c r="L23" s="15">
        <f t="shared" si="7"/>
        <v>5226926945284585</v>
      </c>
      <c r="M23" s="24">
        <v>-6</v>
      </c>
    </row>
    <row r="24" spans="1:13" x14ac:dyDescent="0.25">
      <c r="A24" s="6" t="s">
        <v>21</v>
      </c>
      <c r="B24" s="5">
        <v>66.21899999999998</v>
      </c>
      <c r="C24" s="8">
        <v>39000</v>
      </c>
      <c r="D24" s="7">
        <v>9000</v>
      </c>
      <c r="E24" s="5">
        <v>5</v>
      </c>
      <c r="F24" s="5">
        <f t="shared" si="4"/>
        <v>45000</v>
      </c>
      <c r="G24" s="8">
        <v>5000</v>
      </c>
      <c r="H24" s="8">
        <f t="shared" si="5"/>
        <v>13541.666666666666</v>
      </c>
      <c r="I24" s="5">
        <v>0.6</v>
      </c>
      <c r="J24" s="5">
        <v>2850</v>
      </c>
      <c r="K24" s="13">
        <f t="shared" si="6"/>
        <v>512999999999999.94</v>
      </c>
      <c r="L24" s="15">
        <f t="shared" si="7"/>
        <v>1389375000000000</v>
      </c>
      <c r="M24" s="24">
        <v>-6</v>
      </c>
    </row>
    <row r="25" spans="1:13" x14ac:dyDescent="0.25">
      <c r="A25" s="6" t="s">
        <v>22</v>
      </c>
      <c r="B25" s="5">
        <v>66.179999999999978</v>
      </c>
      <c r="C25" s="8">
        <v>71000</v>
      </c>
      <c r="D25" s="7">
        <v>12000</v>
      </c>
      <c r="E25" s="5">
        <v>5</v>
      </c>
      <c r="F25" s="5">
        <f t="shared" si="4"/>
        <v>60000</v>
      </c>
      <c r="G25" s="8">
        <v>2900</v>
      </c>
      <c r="H25" s="8">
        <f t="shared" si="5"/>
        <v>7854.166666666667</v>
      </c>
      <c r="I25" s="5">
        <v>0.6</v>
      </c>
      <c r="J25" s="5">
        <v>2850</v>
      </c>
      <c r="K25" s="13">
        <f t="shared" si="6"/>
        <v>396720000000000</v>
      </c>
      <c r="L25" s="15">
        <f t="shared" si="7"/>
        <v>1074450000000000</v>
      </c>
      <c r="M25" s="24">
        <v>-6</v>
      </c>
    </row>
    <row r="26" spans="1:13" x14ac:dyDescent="0.25">
      <c r="A26" s="6" t="s">
        <v>23</v>
      </c>
      <c r="B26" s="5">
        <v>66.10899999999998</v>
      </c>
      <c r="C26" s="8">
        <v>56000</v>
      </c>
      <c r="D26" s="7">
        <v>22000</v>
      </c>
      <c r="E26" s="5">
        <v>5</v>
      </c>
      <c r="F26" s="5">
        <f t="shared" si="4"/>
        <v>110000</v>
      </c>
      <c r="G26" s="8">
        <v>3500</v>
      </c>
      <c r="H26" s="8">
        <f t="shared" si="5"/>
        <v>9479.1666666666661</v>
      </c>
      <c r="I26" s="5">
        <v>0.6</v>
      </c>
      <c r="J26" s="5">
        <v>2850</v>
      </c>
      <c r="K26" s="13">
        <f t="shared" si="6"/>
        <v>877799999999999.88</v>
      </c>
      <c r="L26" s="15">
        <f t="shared" si="7"/>
        <v>2377375000000000</v>
      </c>
      <c r="M26" s="24">
        <v>-6</v>
      </c>
    </row>
    <row r="27" spans="1:13" x14ac:dyDescent="0.25">
      <c r="A27" s="6" t="s">
        <v>24</v>
      </c>
      <c r="B27" s="5">
        <v>66.052999999999983</v>
      </c>
      <c r="C27" s="8">
        <v>137000</v>
      </c>
      <c r="D27" s="9">
        <v>147000</v>
      </c>
      <c r="E27" s="5">
        <v>5</v>
      </c>
      <c r="F27" s="5">
        <f t="shared" si="4"/>
        <v>735000</v>
      </c>
      <c r="G27" s="8">
        <v>748.59750000000008</v>
      </c>
      <c r="H27" s="8">
        <f t="shared" si="5"/>
        <v>2027.4515625000004</v>
      </c>
      <c r="I27" s="5">
        <v>0.6</v>
      </c>
      <c r="J27" s="5">
        <v>2850</v>
      </c>
      <c r="K27" s="13">
        <f t="shared" si="6"/>
        <v>1254499690500000</v>
      </c>
      <c r="L27" s="15">
        <f t="shared" si="7"/>
        <v>3397603328437500.5</v>
      </c>
      <c r="M27" s="24">
        <v>-6</v>
      </c>
    </row>
    <row r="28" spans="1:13" x14ac:dyDescent="0.25">
      <c r="A28" s="6" t="s">
        <v>25</v>
      </c>
      <c r="B28" s="5">
        <v>65.915999999999983</v>
      </c>
      <c r="C28" s="8">
        <v>330000</v>
      </c>
      <c r="D28" s="9">
        <v>190000</v>
      </c>
      <c r="E28" s="5">
        <v>5</v>
      </c>
      <c r="F28" s="5">
        <f t="shared" si="4"/>
        <v>950000</v>
      </c>
      <c r="G28" s="8">
        <v>1120.32142857143</v>
      </c>
      <c r="H28" s="8">
        <f t="shared" si="5"/>
        <v>3034.2038690476234</v>
      </c>
      <c r="I28" s="5">
        <v>0.6</v>
      </c>
      <c r="J28" s="5">
        <v>2850</v>
      </c>
      <c r="K28" s="13">
        <f t="shared" si="6"/>
        <v>2426616214285717.5</v>
      </c>
      <c r="L28" s="15">
        <f t="shared" si="7"/>
        <v>6572085580357152</v>
      </c>
      <c r="M28" s="24">
        <v>-6</v>
      </c>
    </row>
    <row r="29" spans="1:13" x14ac:dyDescent="0.25">
      <c r="A29" s="6" t="s">
        <v>26</v>
      </c>
      <c r="B29" s="5">
        <v>65.585999999999984</v>
      </c>
      <c r="C29" s="8">
        <v>163000</v>
      </c>
      <c r="D29" s="10">
        <v>102000</v>
      </c>
      <c r="E29" s="5">
        <v>5</v>
      </c>
      <c r="F29" s="5">
        <f t="shared" si="4"/>
        <v>510000</v>
      </c>
      <c r="G29" s="8">
        <v>927.10782608695604</v>
      </c>
      <c r="H29" s="8">
        <f t="shared" si="5"/>
        <v>2510.917028985506</v>
      </c>
      <c r="I29" s="5">
        <v>0.6</v>
      </c>
      <c r="J29" s="5">
        <v>2850</v>
      </c>
      <c r="K29" s="13">
        <f t="shared" si="6"/>
        <v>1078040980173912.4</v>
      </c>
      <c r="L29" s="15">
        <f t="shared" si="7"/>
        <v>2919694321304346.5</v>
      </c>
      <c r="M29" s="24">
        <v>-6</v>
      </c>
    </row>
    <row r="31" spans="1:13" x14ac:dyDescent="0.25">
      <c r="A31" s="4" t="s">
        <v>83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3" x14ac:dyDescent="0.25">
      <c r="A32" s="4" t="s">
        <v>0</v>
      </c>
      <c r="B32" s="4" t="s">
        <v>1</v>
      </c>
      <c r="C32" s="4" t="s">
        <v>27</v>
      </c>
      <c r="D32" s="4" t="s">
        <v>28</v>
      </c>
      <c r="E32" s="4" t="s">
        <v>10</v>
      </c>
      <c r="F32" s="4" t="s">
        <v>11</v>
      </c>
      <c r="G32" s="4" t="s">
        <v>5</v>
      </c>
      <c r="H32" s="4" t="s">
        <v>4</v>
      </c>
      <c r="I32" s="4" t="s">
        <v>9</v>
      </c>
      <c r="J32" s="4" t="s">
        <v>6</v>
      </c>
      <c r="K32" s="12" t="s">
        <v>13</v>
      </c>
      <c r="L32" s="14" t="s">
        <v>12</v>
      </c>
      <c r="M32" s="22" t="s">
        <v>82</v>
      </c>
    </row>
    <row r="33" spans="1:13" x14ac:dyDescent="0.25">
      <c r="A33" s="6" t="s">
        <v>16</v>
      </c>
      <c r="B33" s="5">
        <v>66.423000000000002</v>
      </c>
      <c r="C33" s="7">
        <v>10000</v>
      </c>
      <c r="D33" s="7">
        <v>11000</v>
      </c>
      <c r="E33" s="5">
        <v>10</v>
      </c>
      <c r="F33" s="5">
        <f>D33*E33</f>
        <v>110000</v>
      </c>
      <c r="G33" s="8">
        <v>8659.2017940097285</v>
      </c>
      <c r="H33" s="8">
        <f>G33*130/48</f>
        <v>23452.004858776349</v>
      </c>
      <c r="I33" s="5">
        <v>0.6</v>
      </c>
      <c r="J33" s="5">
        <v>2850</v>
      </c>
      <c r="K33" s="13">
        <f>D33*1000000000*J33*G33/1000000+F33*J33*1000000000*G33/1000000*I33</f>
        <v>1900261833695435</v>
      </c>
      <c r="L33" s="15">
        <f>D33*1000000000*J33*H33/1000000+F33*J33*1000000000*H33/1000000*I33</f>
        <v>5146542466258470</v>
      </c>
      <c r="M33" s="24">
        <v>-6</v>
      </c>
    </row>
    <row r="34" spans="1:13" x14ac:dyDescent="0.25">
      <c r="A34" s="6" t="s">
        <v>17</v>
      </c>
      <c r="B34" s="5">
        <v>66.412999999999997</v>
      </c>
      <c r="C34" s="8">
        <v>61000</v>
      </c>
      <c r="D34" s="7">
        <v>36000</v>
      </c>
      <c r="E34" s="5">
        <v>10</v>
      </c>
      <c r="F34" s="5">
        <f t="shared" ref="F34:F43" si="8">D34*E34</f>
        <v>360000</v>
      </c>
      <c r="G34" s="8">
        <v>5500</v>
      </c>
      <c r="H34" s="8">
        <f t="shared" ref="H34:H43" si="9">G34*130/48</f>
        <v>14895.833333333334</v>
      </c>
      <c r="I34" s="5">
        <v>0.6</v>
      </c>
      <c r="J34" s="5">
        <v>2850</v>
      </c>
      <c r="K34" s="13">
        <f t="shared" ref="K34:K43" si="10">D34*1000000000*J34*G34/1000000+F34*J34*1000000000*G34/1000000*I34</f>
        <v>3950100000000000</v>
      </c>
      <c r="L34" s="15">
        <f t="shared" ref="L34:L43" si="11">D34*1000000000*J34*H34/1000000+F34*J34*1000000000*H34/1000000*I34</f>
        <v>1.06981875E+16</v>
      </c>
      <c r="M34" s="24">
        <v>-6</v>
      </c>
    </row>
    <row r="35" spans="1:13" x14ac:dyDescent="0.25">
      <c r="A35" s="6" t="s">
        <v>18</v>
      </c>
      <c r="B35" s="5">
        <v>66.35199999999999</v>
      </c>
      <c r="C35" s="8">
        <v>52000</v>
      </c>
      <c r="D35" s="7">
        <v>9000</v>
      </c>
      <c r="E35" s="5">
        <v>10</v>
      </c>
      <c r="F35" s="5">
        <f t="shared" si="8"/>
        <v>90000</v>
      </c>
      <c r="G35" s="8">
        <v>5300</v>
      </c>
      <c r="H35" s="8">
        <f t="shared" si="9"/>
        <v>14354.166666666666</v>
      </c>
      <c r="I35" s="5">
        <v>0.6</v>
      </c>
      <c r="J35" s="5">
        <v>2850</v>
      </c>
      <c r="K35" s="13">
        <f t="shared" si="10"/>
        <v>951615000000000</v>
      </c>
      <c r="L35" s="15">
        <f t="shared" si="11"/>
        <v>2577290625000000</v>
      </c>
      <c r="M35" s="24">
        <v>-6</v>
      </c>
    </row>
    <row r="36" spans="1:13" x14ac:dyDescent="0.25">
      <c r="A36" s="6" t="s">
        <v>19</v>
      </c>
      <c r="B36" s="5">
        <v>66.299999999999983</v>
      </c>
      <c r="C36" s="8">
        <v>25000</v>
      </c>
      <c r="D36" s="7">
        <v>9000</v>
      </c>
      <c r="E36" s="5">
        <v>10</v>
      </c>
      <c r="F36" s="5">
        <f t="shared" si="8"/>
        <v>90000</v>
      </c>
      <c r="G36" s="8">
        <v>6000</v>
      </c>
      <c r="H36" s="8">
        <f t="shared" si="9"/>
        <v>16250</v>
      </c>
      <c r="I36" s="5">
        <v>0.6</v>
      </c>
      <c r="J36" s="5">
        <v>2850</v>
      </c>
      <c r="K36" s="13">
        <f t="shared" si="10"/>
        <v>1077300000000000</v>
      </c>
      <c r="L36" s="15">
        <f t="shared" si="11"/>
        <v>2917687500000000</v>
      </c>
      <c r="M36" s="24">
        <v>-6</v>
      </c>
    </row>
    <row r="37" spans="1:13" x14ac:dyDescent="0.25">
      <c r="A37" s="6" t="s">
        <v>20</v>
      </c>
      <c r="B37" s="5">
        <v>66.274999999999977</v>
      </c>
      <c r="C37" s="8">
        <v>56000</v>
      </c>
      <c r="D37" s="7">
        <v>43000</v>
      </c>
      <c r="E37" s="5">
        <v>10</v>
      </c>
      <c r="F37" s="5">
        <f t="shared" si="8"/>
        <v>430000</v>
      </c>
      <c r="G37" s="8">
        <v>3937.0507073040844</v>
      </c>
      <c r="H37" s="8">
        <f t="shared" si="9"/>
        <v>10662.845665615228</v>
      </c>
      <c r="I37" s="5">
        <v>0.6</v>
      </c>
      <c r="J37" s="5">
        <v>2850</v>
      </c>
      <c r="K37" s="13">
        <f t="shared" si="10"/>
        <v>3377398949260809</v>
      </c>
      <c r="L37" s="15">
        <f t="shared" si="11"/>
        <v>9147122154248024</v>
      </c>
      <c r="M37" s="24">
        <v>-6</v>
      </c>
    </row>
    <row r="38" spans="1:13" x14ac:dyDescent="0.25">
      <c r="A38" s="6" t="s">
        <v>21</v>
      </c>
      <c r="B38" s="5">
        <v>66.21899999999998</v>
      </c>
      <c r="C38" s="8">
        <v>39000</v>
      </c>
      <c r="D38" s="7">
        <v>9000</v>
      </c>
      <c r="E38" s="5">
        <v>10</v>
      </c>
      <c r="F38" s="5">
        <f t="shared" si="8"/>
        <v>90000</v>
      </c>
      <c r="G38" s="8">
        <v>5000</v>
      </c>
      <c r="H38" s="8">
        <f t="shared" si="9"/>
        <v>13541.666666666666</v>
      </c>
      <c r="I38" s="5">
        <v>0.6</v>
      </c>
      <c r="J38" s="5">
        <v>2850</v>
      </c>
      <c r="K38" s="13">
        <f t="shared" si="10"/>
        <v>897749999999999.88</v>
      </c>
      <c r="L38" s="15">
        <f t="shared" si="11"/>
        <v>2431406250000000</v>
      </c>
      <c r="M38" s="24">
        <v>-6</v>
      </c>
    </row>
    <row r="39" spans="1:13" x14ac:dyDescent="0.25">
      <c r="A39" s="6" t="s">
        <v>22</v>
      </c>
      <c r="B39" s="5">
        <v>66.179999999999978</v>
      </c>
      <c r="C39" s="8">
        <v>71000</v>
      </c>
      <c r="D39" s="7">
        <v>12000</v>
      </c>
      <c r="E39" s="5">
        <v>10</v>
      </c>
      <c r="F39" s="5">
        <f t="shared" si="8"/>
        <v>120000</v>
      </c>
      <c r="G39" s="8">
        <v>2900</v>
      </c>
      <c r="H39" s="8">
        <f t="shared" si="9"/>
        <v>7854.166666666667</v>
      </c>
      <c r="I39" s="5">
        <v>0.6</v>
      </c>
      <c r="J39" s="5">
        <v>2850</v>
      </c>
      <c r="K39" s="13">
        <f t="shared" si="10"/>
        <v>694260000000000</v>
      </c>
      <c r="L39" s="15">
        <f t="shared" si="11"/>
        <v>1880287500000000</v>
      </c>
      <c r="M39" s="24">
        <v>-6</v>
      </c>
    </row>
    <row r="40" spans="1:13" x14ac:dyDescent="0.25">
      <c r="A40" s="6" t="s">
        <v>23</v>
      </c>
      <c r="B40" s="5">
        <v>66.10899999999998</v>
      </c>
      <c r="C40" s="8">
        <v>56000</v>
      </c>
      <c r="D40" s="7">
        <v>22000</v>
      </c>
      <c r="E40" s="5">
        <v>10</v>
      </c>
      <c r="F40" s="5">
        <f t="shared" si="8"/>
        <v>220000</v>
      </c>
      <c r="G40" s="8">
        <v>3500</v>
      </c>
      <c r="H40" s="8">
        <f t="shared" si="9"/>
        <v>9479.1666666666661</v>
      </c>
      <c r="I40" s="5">
        <v>0.6</v>
      </c>
      <c r="J40" s="5">
        <v>2850</v>
      </c>
      <c r="K40" s="13">
        <f t="shared" si="10"/>
        <v>1536149999999999.8</v>
      </c>
      <c r="L40" s="15">
        <f t="shared" si="11"/>
        <v>4160406249999999.5</v>
      </c>
      <c r="M40" s="24">
        <v>-6</v>
      </c>
    </row>
    <row r="41" spans="1:13" x14ac:dyDescent="0.25">
      <c r="A41" s="6" t="s">
        <v>24</v>
      </c>
      <c r="B41" s="5">
        <v>66.052999999999983</v>
      </c>
      <c r="C41" s="8">
        <v>137000</v>
      </c>
      <c r="D41" s="9">
        <v>147000</v>
      </c>
      <c r="E41" s="5">
        <v>10</v>
      </c>
      <c r="F41" s="5">
        <f t="shared" si="8"/>
        <v>1470000</v>
      </c>
      <c r="G41" s="8">
        <v>748.59750000000008</v>
      </c>
      <c r="H41" s="8">
        <f t="shared" si="9"/>
        <v>2027.4515625000004</v>
      </c>
      <c r="I41" s="5">
        <v>0.6</v>
      </c>
      <c r="J41" s="5">
        <v>2850</v>
      </c>
      <c r="K41" s="13">
        <f t="shared" si="10"/>
        <v>2195374458375000.3</v>
      </c>
      <c r="L41" s="15">
        <f t="shared" si="11"/>
        <v>5945805824765626</v>
      </c>
      <c r="M41" s="24">
        <v>-6</v>
      </c>
    </row>
    <row r="42" spans="1:13" x14ac:dyDescent="0.25">
      <c r="A42" s="6" t="s">
        <v>25</v>
      </c>
      <c r="B42" s="5">
        <v>65.915999999999983</v>
      </c>
      <c r="C42" s="8">
        <v>330000</v>
      </c>
      <c r="D42" s="9">
        <v>190000</v>
      </c>
      <c r="E42" s="5">
        <v>10</v>
      </c>
      <c r="F42" s="5">
        <f t="shared" si="8"/>
        <v>1900000</v>
      </c>
      <c r="G42" s="8">
        <v>1120.32142857143</v>
      </c>
      <c r="H42" s="8">
        <f t="shared" si="9"/>
        <v>3034.2038690476234</v>
      </c>
      <c r="I42" s="5">
        <v>0.6</v>
      </c>
      <c r="J42" s="5">
        <v>2850</v>
      </c>
      <c r="K42" s="13">
        <f t="shared" si="10"/>
        <v>4246578375000006</v>
      </c>
      <c r="L42" s="15">
        <f t="shared" si="11"/>
        <v>1.1501149765625016E+16</v>
      </c>
      <c r="M42" s="24">
        <v>-6</v>
      </c>
    </row>
    <row r="43" spans="1:13" x14ac:dyDescent="0.25">
      <c r="A43" s="6" t="s">
        <v>26</v>
      </c>
      <c r="B43" s="5">
        <v>65.585999999999984</v>
      </c>
      <c r="C43" s="8">
        <v>163000</v>
      </c>
      <c r="D43" s="10">
        <v>102000</v>
      </c>
      <c r="E43" s="5">
        <v>10</v>
      </c>
      <c r="F43" s="5">
        <f t="shared" si="8"/>
        <v>1020000</v>
      </c>
      <c r="G43" s="8">
        <v>927.10782608695604</v>
      </c>
      <c r="H43" s="8">
        <f t="shared" si="9"/>
        <v>2510.917028985506</v>
      </c>
      <c r="I43" s="5">
        <v>0.6</v>
      </c>
      <c r="J43" s="5">
        <v>2850</v>
      </c>
      <c r="K43" s="13">
        <f t="shared" si="10"/>
        <v>1886571715304346.5</v>
      </c>
      <c r="L43" s="15">
        <f t="shared" si="11"/>
        <v>5109465062282607</v>
      </c>
      <c r="M43" s="24">
        <v>-6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DBB9-1745-F141-9C7A-5396E2D1B307}">
  <dimension ref="A1:O33"/>
  <sheetViews>
    <sheetView workbookViewId="0">
      <selection activeCell="A29" sqref="A29:XFD33"/>
    </sheetView>
  </sheetViews>
  <sheetFormatPr defaultColWidth="10.875" defaultRowHeight="12.75" x14ac:dyDescent="0.2"/>
  <cols>
    <col min="1" max="11" width="10.875" style="5"/>
    <col min="12" max="12" width="17" style="5" customWidth="1"/>
    <col min="13" max="14" width="17.5" style="5" customWidth="1"/>
    <col min="15" max="16384" width="10.875" style="5"/>
  </cols>
  <sheetData>
    <row r="1" spans="1:14" x14ac:dyDescent="0.2">
      <c r="A1" s="4" t="s">
        <v>34</v>
      </c>
      <c r="C1" s="5" t="s">
        <v>35</v>
      </c>
      <c r="F1" s="5" t="s">
        <v>36</v>
      </c>
    </row>
    <row r="2" spans="1:14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37</v>
      </c>
      <c r="F2" s="4" t="s">
        <v>10</v>
      </c>
      <c r="G2" s="4" t="s">
        <v>11</v>
      </c>
      <c r="H2" s="4" t="s">
        <v>39</v>
      </c>
      <c r="I2" s="4" t="s">
        <v>38</v>
      </c>
      <c r="J2" s="4" t="s">
        <v>9</v>
      </c>
      <c r="K2" s="4" t="s">
        <v>6</v>
      </c>
      <c r="L2" s="12" t="s">
        <v>13</v>
      </c>
      <c r="M2" s="14" t="s">
        <v>12</v>
      </c>
      <c r="N2" s="22" t="s">
        <v>82</v>
      </c>
    </row>
    <row r="3" spans="1:14" x14ac:dyDescent="0.2">
      <c r="A3" s="5" t="s">
        <v>31</v>
      </c>
      <c r="B3" s="5">
        <v>61</v>
      </c>
      <c r="C3" s="5">
        <v>57</v>
      </c>
      <c r="D3" s="5">
        <f>B3-C3</f>
        <v>4</v>
      </c>
      <c r="E3" s="5">
        <v>150000</v>
      </c>
      <c r="F3" s="5">
        <v>0</v>
      </c>
      <c r="G3" s="5">
        <f>E3*F3</f>
        <v>0</v>
      </c>
      <c r="H3" s="5">
        <f>15*48</f>
        <v>720</v>
      </c>
      <c r="I3" s="5">
        <f>80*130</f>
        <v>10400</v>
      </c>
      <c r="J3" s="5">
        <v>0.6</v>
      </c>
      <c r="K3" s="5">
        <v>2850</v>
      </c>
      <c r="L3" s="13">
        <f>H3/1000000*K3*1000000000*E3+G3*1000000000*$K$3*H3/1000000*J3</f>
        <v>307800000000000</v>
      </c>
      <c r="M3" s="15">
        <f>I3/1000000*K3*1000000000*E3+G3*1000000000*$K$3*I3/1000000*J3</f>
        <v>4445999999999999.5</v>
      </c>
      <c r="N3" s="23">
        <v>-5</v>
      </c>
    </row>
    <row r="4" spans="1:14" x14ac:dyDescent="0.2">
      <c r="A4" s="5" t="s">
        <v>33</v>
      </c>
      <c r="B4" s="5">
        <v>56</v>
      </c>
      <c r="C4" s="5">
        <v>55</v>
      </c>
      <c r="D4" s="5">
        <f>B4-C4</f>
        <v>1</v>
      </c>
      <c r="E4" s="11">
        <v>1800000</v>
      </c>
      <c r="F4" s="5">
        <v>0</v>
      </c>
      <c r="G4" s="5">
        <f>E4*F4</f>
        <v>0</v>
      </c>
      <c r="H4" s="5">
        <f>15*48</f>
        <v>720</v>
      </c>
      <c r="I4" s="5">
        <f>80*130</f>
        <v>10400</v>
      </c>
      <c r="J4" s="5">
        <v>0.6</v>
      </c>
      <c r="K4" s="5">
        <v>2850</v>
      </c>
      <c r="L4" s="13">
        <f>H4/1000000*K4*1000000000*E4+G4*1000000000*$K$3*H4/1000000*J4</f>
        <v>3693600000000000</v>
      </c>
      <c r="M4" s="15">
        <f>I4/1000000*K4*1000000000*E4+G4*1000000000*$K$3*I4/1000000*J4</f>
        <v>5.3351999999999992E+16</v>
      </c>
      <c r="N4" s="23">
        <v>-5</v>
      </c>
    </row>
    <row r="6" spans="1:14" x14ac:dyDescent="0.2">
      <c r="A6" s="4" t="s">
        <v>40</v>
      </c>
    </row>
    <row r="7" spans="1:14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37</v>
      </c>
      <c r="F7" s="4" t="s">
        <v>10</v>
      </c>
      <c r="G7" s="4" t="s">
        <v>11</v>
      </c>
      <c r="H7" s="4" t="s">
        <v>39</v>
      </c>
      <c r="I7" s="4" t="s">
        <v>38</v>
      </c>
      <c r="J7" s="4" t="s">
        <v>9</v>
      </c>
      <c r="K7" s="4" t="s">
        <v>6</v>
      </c>
      <c r="L7" s="12" t="s">
        <v>13</v>
      </c>
      <c r="M7" s="14" t="s">
        <v>12</v>
      </c>
      <c r="N7" s="22" t="s">
        <v>82</v>
      </c>
    </row>
    <row r="8" spans="1:14" x14ac:dyDescent="0.2">
      <c r="A8" s="5" t="s">
        <v>31</v>
      </c>
      <c r="B8" s="5">
        <v>61</v>
      </c>
      <c r="C8" s="5">
        <v>57</v>
      </c>
      <c r="D8" s="5">
        <f>B8-C8</f>
        <v>4</v>
      </c>
      <c r="E8" s="5">
        <v>150000</v>
      </c>
      <c r="F8" s="5">
        <v>5</v>
      </c>
      <c r="G8" s="5">
        <f>E8*F8</f>
        <v>750000</v>
      </c>
      <c r="H8" s="5">
        <f>15*48</f>
        <v>720</v>
      </c>
      <c r="I8" s="5">
        <f>80*130</f>
        <v>10400</v>
      </c>
      <c r="J8" s="5">
        <v>0.6</v>
      </c>
      <c r="K8" s="5">
        <v>2850</v>
      </c>
      <c r="L8" s="13">
        <f>H8/1000000*K8*1000000000*E8+G8*1000000000*$K$3*H8/1000000*J8</f>
        <v>1231200000000000</v>
      </c>
      <c r="M8" s="15">
        <f>I8/1000000*K8*1000000000*E8+G8*1000000000*$K$3*I8/1000000*J8</f>
        <v>1.7784E+16</v>
      </c>
      <c r="N8" s="23">
        <v>-6</v>
      </c>
    </row>
    <row r="9" spans="1:14" x14ac:dyDescent="0.2">
      <c r="A9" s="5" t="s">
        <v>33</v>
      </c>
      <c r="B9" s="5">
        <v>56</v>
      </c>
      <c r="C9" s="5">
        <v>55</v>
      </c>
      <c r="D9" s="5">
        <f>B9-C9</f>
        <v>1</v>
      </c>
      <c r="E9" s="11">
        <v>1800000</v>
      </c>
      <c r="F9" s="5">
        <v>5</v>
      </c>
      <c r="G9" s="5">
        <f>E9*F9</f>
        <v>9000000</v>
      </c>
      <c r="H9" s="5">
        <f>15*48</f>
        <v>720</v>
      </c>
      <c r="I9" s="5">
        <f>80*130</f>
        <v>10400</v>
      </c>
      <c r="J9" s="5">
        <v>0.6</v>
      </c>
      <c r="K9" s="5">
        <v>2850</v>
      </c>
      <c r="L9" s="13">
        <f>H9/1000000*K9*1000000000*E9+G9*1000000000*$K$3*H9/1000000*J9</f>
        <v>1.47744E+16</v>
      </c>
      <c r="M9" s="15">
        <f>I9/1000000*K9*1000000000*E9+G9*1000000000*$K$3*I9/1000000*J9</f>
        <v>2.13408E+17</v>
      </c>
      <c r="N9" s="23">
        <v>-6</v>
      </c>
    </row>
    <row r="11" spans="1:14" x14ac:dyDescent="0.2">
      <c r="A11" s="4" t="s">
        <v>84</v>
      </c>
    </row>
    <row r="12" spans="1:14" x14ac:dyDescent="0.2">
      <c r="A12" s="4" t="s">
        <v>0</v>
      </c>
      <c r="B12" s="4" t="s">
        <v>1</v>
      </c>
      <c r="C12" s="4" t="s">
        <v>2</v>
      </c>
      <c r="D12" s="4" t="s">
        <v>3</v>
      </c>
      <c r="E12" s="4" t="s">
        <v>37</v>
      </c>
      <c r="F12" s="4" t="s">
        <v>10</v>
      </c>
      <c r="G12" s="4" t="s">
        <v>11</v>
      </c>
      <c r="H12" s="4" t="s">
        <v>39</v>
      </c>
      <c r="I12" s="4" t="s">
        <v>38</v>
      </c>
      <c r="J12" s="4" t="s">
        <v>9</v>
      </c>
      <c r="K12" s="4" t="s">
        <v>6</v>
      </c>
      <c r="L12" s="12" t="s">
        <v>13</v>
      </c>
      <c r="M12" s="14" t="s">
        <v>12</v>
      </c>
      <c r="N12" s="22" t="s">
        <v>82</v>
      </c>
    </row>
    <row r="13" spans="1:14" x14ac:dyDescent="0.2">
      <c r="A13" s="5" t="s">
        <v>31</v>
      </c>
      <c r="B13" s="5">
        <v>61</v>
      </c>
      <c r="C13" s="5">
        <v>57</v>
      </c>
      <c r="D13" s="5">
        <f>B13-C13</f>
        <v>4</v>
      </c>
      <c r="E13" s="5">
        <v>150000</v>
      </c>
      <c r="F13" s="5">
        <v>10</v>
      </c>
      <c r="G13" s="5">
        <f>E13*F13</f>
        <v>1500000</v>
      </c>
      <c r="H13" s="5">
        <f>15*48</f>
        <v>720</v>
      </c>
      <c r="I13" s="5">
        <f>80*130</f>
        <v>10400</v>
      </c>
      <c r="J13" s="5">
        <v>0.6</v>
      </c>
      <c r="K13" s="5">
        <v>2850</v>
      </c>
      <c r="L13" s="13">
        <f>H13/1000000*K13*1000000000*E13+G13*1000000000*$K$3*H13/1000000*J13</f>
        <v>2154600000000000</v>
      </c>
      <c r="M13" s="15">
        <f>I13/1000000*K13*1000000000*E13+G13*1000000000*$K$3*I13/1000000*J13</f>
        <v>3.1122E+16</v>
      </c>
      <c r="N13" s="23">
        <v>-6</v>
      </c>
    </row>
    <row r="14" spans="1:14" x14ac:dyDescent="0.2">
      <c r="A14" s="5" t="s">
        <v>33</v>
      </c>
      <c r="B14" s="5">
        <v>56</v>
      </c>
      <c r="C14" s="5">
        <v>55</v>
      </c>
      <c r="D14" s="5">
        <f>B14-C14</f>
        <v>1</v>
      </c>
      <c r="E14" s="11">
        <v>1800000</v>
      </c>
      <c r="F14" s="5">
        <v>10</v>
      </c>
      <c r="G14" s="5">
        <f>E14*F14</f>
        <v>18000000</v>
      </c>
      <c r="H14" s="5">
        <f>15*48</f>
        <v>720</v>
      </c>
      <c r="I14" s="5">
        <f>80*130</f>
        <v>10400</v>
      </c>
      <c r="J14" s="5">
        <v>0.6</v>
      </c>
      <c r="K14" s="5">
        <v>2850</v>
      </c>
      <c r="L14" s="13">
        <f>H14/1000000*K14*1000000000*E14+G14*1000000000*$K$3*H14/1000000*J14</f>
        <v>2.58552E+16</v>
      </c>
      <c r="M14" s="15">
        <f>I14/1000000*K14*1000000000*E14+G14*1000000000*$K$3*I14/1000000*J14</f>
        <v>3.73464E+17</v>
      </c>
      <c r="N14" s="23">
        <v>-6</v>
      </c>
    </row>
    <row r="17" spans="1:15" x14ac:dyDescent="0.2">
      <c r="A17" s="4" t="s">
        <v>41</v>
      </c>
    </row>
    <row r="18" spans="1:15" x14ac:dyDescent="0.2">
      <c r="A18" s="4" t="s">
        <v>0</v>
      </c>
      <c r="B18" s="4" t="s">
        <v>1</v>
      </c>
      <c r="C18" s="4" t="s">
        <v>2</v>
      </c>
      <c r="D18" s="4" t="s">
        <v>3</v>
      </c>
      <c r="E18" s="4" t="s">
        <v>37</v>
      </c>
      <c r="F18" s="4" t="s">
        <v>10</v>
      </c>
      <c r="G18" s="4" t="s">
        <v>11</v>
      </c>
      <c r="H18" s="4" t="s">
        <v>39</v>
      </c>
      <c r="I18" s="4" t="s">
        <v>38</v>
      </c>
      <c r="J18" s="4" t="s">
        <v>9</v>
      </c>
      <c r="K18" s="4" t="s">
        <v>6</v>
      </c>
      <c r="L18" s="12" t="s">
        <v>13</v>
      </c>
      <c r="M18" s="14" t="s">
        <v>12</v>
      </c>
      <c r="N18" s="22" t="s">
        <v>82</v>
      </c>
    </row>
    <row r="19" spans="1:15" x14ac:dyDescent="0.2">
      <c r="A19" s="5" t="s">
        <v>31</v>
      </c>
      <c r="B19" s="5">
        <v>61</v>
      </c>
      <c r="C19" s="5">
        <v>57</v>
      </c>
      <c r="D19" s="5">
        <f>B19-C19</f>
        <v>4</v>
      </c>
      <c r="E19" s="5">
        <v>150000</v>
      </c>
      <c r="F19" s="5">
        <v>0</v>
      </c>
      <c r="G19" s="5">
        <f>E19*F19</f>
        <v>0</v>
      </c>
      <c r="H19" s="5">
        <f>15*48</f>
        <v>720</v>
      </c>
      <c r="I19" s="5">
        <f>80*130</f>
        <v>10400</v>
      </c>
      <c r="J19" s="5">
        <v>0.6</v>
      </c>
      <c r="K19" s="5">
        <v>2850</v>
      </c>
      <c r="L19" s="13">
        <f>H19/1000000*K19*1000000000*E19+G19*1000000000*$K$3*H19/1000000*J19</f>
        <v>307800000000000</v>
      </c>
      <c r="M19" s="15">
        <f>I19/1000000*K19*1000000000*E19+G19*1000000000*$K$3*I19/1000000*J19</f>
        <v>4445999999999999.5</v>
      </c>
      <c r="N19" s="23">
        <v>-6</v>
      </c>
    </row>
    <row r="20" spans="1:15" x14ac:dyDescent="0.2">
      <c r="A20" s="5" t="s">
        <v>43</v>
      </c>
      <c r="B20" s="5">
        <v>56</v>
      </c>
      <c r="C20" s="5">
        <v>55.95</v>
      </c>
      <c r="D20" s="5">
        <f>B20-C20</f>
        <v>4.9999999999997158E-2</v>
      </c>
      <c r="E20" s="5" t="s">
        <v>32</v>
      </c>
      <c r="L20" s="13">
        <f>12025*44/12*1000000000000</f>
        <v>4.4091666666666664E+16</v>
      </c>
      <c r="M20" s="15">
        <f>12025*44/12*1000000000000</f>
        <v>4.4091666666666664E+16</v>
      </c>
      <c r="N20" s="23">
        <v>-15</v>
      </c>
      <c r="O20" s="5" t="s">
        <v>42</v>
      </c>
    </row>
    <row r="21" spans="1:15" x14ac:dyDescent="0.2">
      <c r="A21" s="5" t="s">
        <v>33</v>
      </c>
      <c r="B21" s="5">
        <v>56</v>
      </c>
      <c r="C21" s="5">
        <v>55</v>
      </c>
      <c r="D21" s="5">
        <f>B21-C21</f>
        <v>1</v>
      </c>
      <c r="E21" s="11">
        <v>1800000</v>
      </c>
      <c r="F21" s="5">
        <v>0</v>
      </c>
      <c r="G21" s="5">
        <f>E21*F21</f>
        <v>0</v>
      </c>
      <c r="H21" s="5">
        <f>15*48</f>
        <v>720</v>
      </c>
      <c r="I21" s="5">
        <f>80*130</f>
        <v>10400</v>
      </c>
      <c r="J21" s="5">
        <v>0.6</v>
      </c>
      <c r="K21" s="5">
        <v>2850</v>
      </c>
      <c r="L21" s="13">
        <f>H21/1000000*K21*1000000000*E21+G21*1000000000*$K$3*H21/1000000*J21</f>
        <v>3693600000000000</v>
      </c>
      <c r="M21" s="15">
        <f>I21/1000000*K21*1000000000*E21+G21*1000000000*$K$3*I21/1000000*J21</f>
        <v>5.3351999999999992E+16</v>
      </c>
      <c r="N21" s="23">
        <v>-6</v>
      </c>
    </row>
    <row r="23" spans="1:15" x14ac:dyDescent="0.2">
      <c r="A23" s="4" t="s">
        <v>53</v>
      </c>
    </row>
    <row r="24" spans="1:15" x14ac:dyDescent="0.2">
      <c r="A24" s="4" t="s">
        <v>0</v>
      </c>
      <c r="B24" s="4" t="s">
        <v>1</v>
      </c>
      <c r="C24" s="4" t="s">
        <v>2</v>
      </c>
      <c r="D24" s="4" t="s">
        <v>3</v>
      </c>
      <c r="E24" s="4" t="s">
        <v>37</v>
      </c>
      <c r="F24" s="4" t="s">
        <v>10</v>
      </c>
      <c r="G24" s="4" t="s">
        <v>11</v>
      </c>
      <c r="H24" s="4" t="s">
        <v>39</v>
      </c>
      <c r="I24" s="4" t="s">
        <v>38</v>
      </c>
      <c r="J24" s="4" t="s">
        <v>9</v>
      </c>
      <c r="K24" s="4" t="s">
        <v>6</v>
      </c>
      <c r="L24" s="12" t="s">
        <v>13</v>
      </c>
      <c r="M24" s="14" t="s">
        <v>12</v>
      </c>
      <c r="N24" s="22" t="s">
        <v>82</v>
      </c>
    </row>
    <row r="25" spans="1:15" x14ac:dyDescent="0.2">
      <c r="A25" s="5" t="s">
        <v>31</v>
      </c>
      <c r="B25" s="5">
        <v>61</v>
      </c>
      <c r="C25" s="5">
        <v>57</v>
      </c>
      <c r="D25" s="5">
        <f>B25-C25</f>
        <v>4</v>
      </c>
      <c r="E25" s="5">
        <v>150000</v>
      </c>
      <c r="F25" s="5">
        <v>5</v>
      </c>
      <c r="G25" s="5">
        <f>E25*F25</f>
        <v>750000</v>
      </c>
      <c r="H25" s="5">
        <f>15*48</f>
        <v>720</v>
      </c>
      <c r="I25" s="5">
        <f>80*130</f>
        <v>10400</v>
      </c>
      <c r="J25" s="5">
        <v>0.6</v>
      </c>
      <c r="K25" s="5">
        <v>2850</v>
      </c>
      <c r="L25" s="13">
        <f>H25/1000000*K25*1000000000*E25+G25*1000000000*$K$3*H25/1000000*J25</f>
        <v>1231200000000000</v>
      </c>
      <c r="M25" s="15">
        <f>I25/1000000*K25*1000000000*E25+G25*1000000000*$K$3*I25/1000000*J25</f>
        <v>1.7784E+16</v>
      </c>
      <c r="N25" s="23">
        <v>-6</v>
      </c>
    </row>
    <row r="26" spans="1:15" x14ac:dyDescent="0.2">
      <c r="A26" s="5" t="s">
        <v>43</v>
      </c>
      <c r="B26" s="5">
        <v>56</v>
      </c>
      <c r="C26" s="5">
        <v>55.95</v>
      </c>
      <c r="D26" s="5">
        <f>B26-C26</f>
        <v>4.9999999999997158E-2</v>
      </c>
      <c r="E26" s="5" t="s">
        <v>32</v>
      </c>
      <c r="L26" s="13">
        <f>12025*44/12*1000000000000</f>
        <v>4.4091666666666664E+16</v>
      </c>
      <c r="M26" s="15">
        <f>12025*44/12*1000000000000</f>
        <v>4.4091666666666664E+16</v>
      </c>
      <c r="N26" s="23">
        <v>-15</v>
      </c>
      <c r="O26" s="5" t="s">
        <v>42</v>
      </c>
    </row>
    <row r="27" spans="1:15" x14ac:dyDescent="0.2">
      <c r="A27" s="5" t="s">
        <v>33</v>
      </c>
      <c r="B27" s="5">
        <v>56</v>
      </c>
      <c r="C27" s="5">
        <v>55</v>
      </c>
      <c r="D27" s="5">
        <f>B27-C27</f>
        <v>1</v>
      </c>
      <c r="E27" s="11">
        <v>1800000</v>
      </c>
      <c r="F27" s="5">
        <v>5</v>
      </c>
      <c r="G27" s="5">
        <f>E27*F27</f>
        <v>9000000</v>
      </c>
      <c r="H27" s="5">
        <f>15*48</f>
        <v>720</v>
      </c>
      <c r="I27" s="5">
        <f>80*130</f>
        <v>10400</v>
      </c>
      <c r="J27" s="5">
        <v>0.6</v>
      </c>
      <c r="K27" s="5">
        <v>2850</v>
      </c>
      <c r="L27" s="13">
        <f>H27/1000000*K27*1000000000*E27+G27*1000000000*$K$3*H27/1000000*J27</f>
        <v>1.47744E+16</v>
      </c>
      <c r="M27" s="15">
        <f>I27/1000000*K27*1000000000*E27+G27*1000000000*$K$3*I27/1000000*J27</f>
        <v>2.13408E+17</v>
      </c>
      <c r="N27" s="23">
        <v>-6</v>
      </c>
    </row>
    <row r="29" spans="1:15" x14ac:dyDescent="0.2">
      <c r="A29" s="4" t="s">
        <v>85</v>
      </c>
    </row>
    <row r="30" spans="1:15" x14ac:dyDescent="0.2">
      <c r="A30" s="4" t="s">
        <v>0</v>
      </c>
      <c r="B30" s="4" t="s">
        <v>1</v>
      </c>
      <c r="C30" s="4" t="s">
        <v>2</v>
      </c>
      <c r="D30" s="4" t="s">
        <v>3</v>
      </c>
      <c r="E30" s="4" t="s">
        <v>37</v>
      </c>
      <c r="F30" s="4" t="s">
        <v>10</v>
      </c>
      <c r="G30" s="4" t="s">
        <v>11</v>
      </c>
      <c r="H30" s="4" t="s">
        <v>39</v>
      </c>
      <c r="I30" s="4" t="s">
        <v>38</v>
      </c>
      <c r="J30" s="4" t="s">
        <v>9</v>
      </c>
      <c r="K30" s="4" t="s">
        <v>6</v>
      </c>
      <c r="L30" s="12" t="s">
        <v>13</v>
      </c>
      <c r="M30" s="14" t="s">
        <v>12</v>
      </c>
      <c r="N30" s="22" t="s">
        <v>82</v>
      </c>
    </row>
    <row r="31" spans="1:15" x14ac:dyDescent="0.2">
      <c r="A31" s="5" t="s">
        <v>31</v>
      </c>
      <c r="B31" s="5">
        <v>61</v>
      </c>
      <c r="C31" s="5">
        <v>57</v>
      </c>
      <c r="D31" s="5">
        <f>B31-C31</f>
        <v>4</v>
      </c>
      <c r="E31" s="5">
        <v>150000</v>
      </c>
      <c r="F31" s="5">
        <v>10</v>
      </c>
      <c r="G31" s="5">
        <f>E31*F31</f>
        <v>1500000</v>
      </c>
      <c r="H31" s="5">
        <f>15*48</f>
        <v>720</v>
      </c>
      <c r="I31" s="5">
        <f>80*130</f>
        <v>10400</v>
      </c>
      <c r="J31" s="5">
        <v>0.6</v>
      </c>
      <c r="K31" s="5">
        <v>2850</v>
      </c>
      <c r="L31" s="13">
        <f>H31/1000000*K31*1000000000*E31+G31*1000000000*$K$3*H31/1000000*J31</f>
        <v>2154600000000000</v>
      </c>
      <c r="M31" s="15">
        <f>I31/1000000*K31*1000000000*E31+G31*1000000000*$K$3*I31/1000000*J31</f>
        <v>3.1122E+16</v>
      </c>
      <c r="N31" s="23">
        <v>-6</v>
      </c>
    </row>
    <row r="32" spans="1:15" x14ac:dyDescent="0.2">
      <c r="A32" s="5" t="s">
        <v>43</v>
      </c>
      <c r="B32" s="5">
        <v>56</v>
      </c>
      <c r="C32" s="5">
        <v>55.95</v>
      </c>
      <c r="D32" s="5">
        <f>B32-C32</f>
        <v>4.9999999999997158E-2</v>
      </c>
      <c r="E32" s="5" t="s">
        <v>32</v>
      </c>
      <c r="L32" s="13">
        <f>12025*44/12*1000000000000</f>
        <v>4.4091666666666664E+16</v>
      </c>
      <c r="M32" s="15">
        <f>12025*44/12*1000000000000</f>
        <v>4.4091666666666664E+16</v>
      </c>
      <c r="N32" s="23">
        <v>-15</v>
      </c>
      <c r="O32" s="5" t="s">
        <v>42</v>
      </c>
    </row>
    <row r="33" spans="1:14" x14ac:dyDescent="0.2">
      <c r="A33" s="5" t="s">
        <v>33</v>
      </c>
      <c r="B33" s="5">
        <v>56</v>
      </c>
      <c r="C33" s="5">
        <v>55</v>
      </c>
      <c r="D33" s="5">
        <f>B33-C33</f>
        <v>1</v>
      </c>
      <c r="E33" s="11">
        <v>1800000</v>
      </c>
      <c r="F33" s="5">
        <v>10</v>
      </c>
      <c r="G33" s="5">
        <f>E33*F33</f>
        <v>18000000</v>
      </c>
      <c r="H33" s="5">
        <f>15*48</f>
        <v>720</v>
      </c>
      <c r="I33" s="5">
        <f>80*130</f>
        <v>10400</v>
      </c>
      <c r="J33" s="5">
        <v>0.6</v>
      </c>
      <c r="K33" s="5">
        <v>2850</v>
      </c>
      <c r="L33" s="13">
        <f>H33/1000000*K33*1000000000*E33+G33*1000000000*$K$3*H33/1000000*J33</f>
        <v>2.58552E+16</v>
      </c>
      <c r="M33" s="15">
        <f>I33/1000000*K33*1000000000*E33+G33*1000000000*$K$3*I33/1000000*J33</f>
        <v>3.73464E+17</v>
      </c>
      <c r="N33" s="23">
        <v>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6E82-E1D8-214E-84F7-4DCFC8742087}">
  <dimension ref="A1:N32"/>
  <sheetViews>
    <sheetView topLeftCell="A10" workbookViewId="0">
      <selection activeCell="N22" sqref="A22:N22"/>
    </sheetView>
  </sheetViews>
  <sheetFormatPr defaultColWidth="11" defaultRowHeight="15.75" x14ac:dyDescent="0.25"/>
  <sheetData>
    <row r="1" spans="1:6" x14ac:dyDescent="0.25">
      <c r="A1" s="17" t="s">
        <v>55</v>
      </c>
      <c r="B1" s="17"/>
      <c r="C1" s="17"/>
      <c r="D1" s="17"/>
      <c r="E1" s="17"/>
      <c r="F1" s="17"/>
    </row>
    <row r="2" spans="1:6" x14ac:dyDescent="0.25">
      <c r="A2" s="17" t="s">
        <v>56</v>
      </c>
      <c r="B2" s="17"/>
      <c r="C2" s="17"/>
      <c r="D2" s="17"/>
      <c r="E2" s="17"/>
      <c r="F2" s="17"/>
    </row>
    <row r="3" spans="1:6" x14ac:dyDescent="0.25">
      <c r="A3" s="17" t="s">
        <v>57</v>
      </c>
      <c r="B3" s="17"/>
      <c r="C3" s="17"/>
      <c r="D3" s="17"/>
      <c r="E3" s="17"/>
      <c r="F3" s="17"/>
    </row>
    <row r="4" spans="1:6" x14ac:dyDescent="0.25">
      <c r="A4" s="17" t="s">
        <v>58</v>
      </c>
      <c r="B4" s="17"/>
      <c r="C4" s="17"/>
      <c r="D4" s="17"/>
      <c r="E4" s="17"/>
      <c r="F4" s="17"/>
    </row>
    <row r="5" spans="1:6" x14ac:dyDescent="0.25">
      <c r="A5" s="17" t="s">
        <v>59</v>
      </c>
      <c r="B5" s="17"/>
      <c r="C5" s="17"/>
      <c r="D5" s="17"/>
      <c r="E5" s="17"/>
      <c r="F5" s="17"/>
    </row>
    <row r="6" spans="1:6" x14ac:dyDescent="0.25">
      <c r="A6" s="17" t="s">
        <v>60</v>
      </c>
      <c r="B6" s="17"/>
      <c r="C6" s="17"/>
      <c r="D6" s="17"/>
      <c r="E6" s="17"/>
      <c r="F6" s="17"/>
    </row>
    <row r="7" spans="1:6" x14ac:dyDescent="0.25">
      <c r="A7" s="17"/>
      <c r="B7" s="17"/>
      <c r="C7" s="17"/>
      <c r="D7" s="17"/>
      <c r="E7" s="17"/>
      <c r="F7" s="17"/>
    </row>
    <row r="8" spans="1:6" x14ac:dyDescent="0.25">
      <c r="A8" s="18" t="s">
        <v>61</v>
      </c>
      <c r="B8" s="18" t="s">
        <v>62</v>
      </c>
      <c r="C8" s="18" t="s">
        <v>63</v>
      </c>
      <c r="D8" s="18" t="s">
        <v>64</v>
      </c>
      <c r="E8" s="18" t="s">
        <v>65</v>
      </c>
      <c r="F8" s="18" t="s">
        <v>66</v>
      </c>
    </row>
    <row r="9" spans="1:6" x14ac:dyDescent="0.25">
      <c r="A9" s="17" t="s">
        <v>67</v>
      </c>
      <c r="B9" s="17" t="s">
        <v>68</v>
      </c>
      <c r="C9" s="17">
        <v>8.3000000000000007</v>
      </c>
      <c r="D9" s="17">
        <v>100</v>
      </c>
      <c r="E9" s="19">
        <f>D9*48</f>
        <v>4800</v>
      </c>
      <c r="F9" s="19">
        <f>D9*130</f>
        <v>13000</v>
      </c>
    </row>
    <row r="10" spans="1:6" x14ac:dyDescent="0.25">
      <c r="A10" s="17" t="s">
        <v>69</v>
      </c>
      <c r="B10" s="17" t="s">
        <v>70</v>
      </c>
      <c r="C10" s="17">
        <v>9.3000000000000007</v>
      </c>
      <c r="D10" s="17">
        <v>57</v>
      </c>
      <c r="E10" s="19">
        <f t="shared" ref="E10:E12" si="0">D10*48</f>
        <v>2736</v>
      </c>
      <c r="F10" s="19">
        <f t="shared" ref="F10:F12" si="1">D10*130</f>
        <v>7410</v>
      </c>
    </row>
    <row r="11" spans="1:6" x14ac:dyDescent="0.25">
      <c r="A11" s="17" t="s">
        <v>71</v>
      </c>
      <c r="B11" s="17" t="s">
        <v>70</v>
      </c>
      <c r="C11" s="17">
        <v>5.6</v>
      </c>
      <c r="D11" s="17">
        <v>142</v>
      </c>
      <c r="E11" s="19">
        <f t="shared" si="0"/>
        <v>6816</v>
      </c>
      <c r="F11" s="19">
        <f t="shared" si="1"/>
        <v>18460</v>
      </c>
    </row>
    <row r="12" spans="1:6" x14ac:dyDescent="0.25">
      <c r="A12" s="17" t="s">
        <v>72</v>
      </c>
      <c r="B12" s="17" t="s">
        <v>68</v>
      </c>
      <c r="C12" s="17">
        <v>8.6999999999999993</v>
      </c>
      <c r="D12" s="17">
        <v>47</v>
      </c>
      <c r="E12" s="19">
        <f t="shared" si="0"/>
        <v>2256</v>
      </c>
      <c r="F12" s="19">
        <f t="shared" si="1"/>
        <v>6110</v>
      </c>
    </row>
    <row r="13" spans="1:6" x14ac:dyDescent="0.25">
      <c r="A13" s="20" t="s">
        <v>73</v>
      </c>
      <c r="B13" s="17"/>
      <c r="C13" s="17"/>
      <c r="D13" s="20">
        <f>AVERAGE(D9:D12)</f>
        <v>86.5</v>
      </c>
      <c r="E13" s="21">
        <f>AVERAGE(E9:E12)</f>
        <v>4152</v>
      </c>
      <c r="F13" s="21">
        <f>AVERAGE(F9:F12)</f>
        <v>11245</v>
      </c>
    </row>
    <row r="17" spans="1:14" x14ac:dyDescent="0.25">
      <c r="A17" s="5" t="s">
        <v>74</v>
      </c>
    </row>
    <row r="18" spans="1:14" x14ac:dyDescent="0.25">
      <c r="A18" s="5" t="s">
        <v>81</v>
      </c>
    </row>
    <row r="19" spans="1:14" x14ac:dyDescent="0.25">
      <c r="A19" s="5"/>
    </row>
    <row r="20" spans="1:14" x14ac:dyDescent="0.25">
      <c r="A20" s="4" t="s">
        <v>75</v>
      </c>
      <c r="H20" s="5"/>
    </row>
    <row r="21" spans="1:14" x14ac:dyDescent="0.25">
      <c r="A21" s="4" t="s">
        <v>0</v>
      </c>
      <c r="B21" s="4" t="s">
        <v>1</v>
      </c>
      <c r="C21" s="4" t="s">
        <v>2</v>
      </c>
      <c r="D21" s="4" t="s">
        <v>27</v>
      </c>
      <c r="E21" s="4" t="s">
        <v>37</v>
      </c>
      <c r="F21" s="4" t="s">
        <v>10</v>
      </c>
      <c r="G21" s="4" t="s">
        <v>11</v>
      </c>
      <c r="H21" s="4" t="s">
        <v>5</v>
      </c>
      <c r="I21" s="4" t="s">
        <v>4</v>
      </c>
      <c r="J21" s="4" t="s">
        <v>9</v>
      </c>
      <c r="K21" s="4" t="s">
        <v>51</v>
      </c>
      <c r="L21" s="12" t="s">
        <v>76</v>
      </c>
      <c r="M21" s="14" t="s">
        <v>77</v>
      </c>
      <c r="N21" s="22" t="s">
        <v>82</v>
      </c>
    </row>
    <row r="22" spans="1:14" x14ac:dyDescent="0.25">
      <c r="A22" s="5" t="s">
        <v>78</v>
      </c>
      <c r="B22" s="5">
        <v>30.51</v>
      </c>
      <c r="C22" s="5">
        <v>29.94</v>
      </c>
      <c r="D22" s="5">
        <f>(B22-C22)*1000000</f>
        <v>570000.00000000023</v>
      </c>
      <c r="E22" s="5">
        <v>350000</v>
      </c>
      <c r="F22" s="5">
        <v>0</v>
      </c>
      <c r="G22" s="5">
        <f>E22*F22</f>
        <v>0</v>
      </c>
      <c r="H22" s="25">
        <v>4152</v>
      </c>
      <c r="I22" s="25">
        <v>11245</v>
      </c>
      <c r="J22" s="5">
        <v>0.6</v>
      </c>
      <c r="K22" s="5">
        <v>2850</v>
      </c>
      <c r="L22" s="13">
        <f>(H22/1000000*K22*1000000000*E22+G22*1000000000*$K$6*H22/1000000*J22)*1000/44.01/D22</f>
        <v>165098841172.46075</v>
      </c>
      <c r="M22" s="15">
        <f>(I22/1000000*K22*1000000000*E22+G22*1000000000*$K$6*I22/1000000*J22)*1000/44.01/D22</f>
        <v>447142694842.08112</v>
      </c>
      <c r="N22" s="24">
        <v>-6</v>
      </c>
    </row>
    <row r="23" spans="1:14" x14ac:dyDescent="0.25">
      <c r="A23" s="5"/>
      <c r="B23" s="5"/>
      <c r="C23" s="5"/>
      <c r="D23" s="5"/>
      <c r="E23" s="5"/>
      <c r="F23" s="5"/>
      <c r="G23" s="5"/>
      <c r="H23" s="26"/>
      <c r="I23" s="26"/>
      <c r="J23" s="5"/>
      <c r="K23" s="5"/>
      <c r="L23" s="11"/>
      <c r="M23" s="11"/>
    </row>
    <row r="24" spans="1:14" x14ac:dyDescent="0.25">
      <c r="A24" s="5"/>
      <c r="B24" s="5"/>
      <c r="C24" s="5"/>
      <c r="D24" s="5"/>
      <c r="E24" s="5"/>
      <c r="F24" s="5"/>
      <c r="G24" s="5"/>
      <c r="H24" s="26"/>
      <c r="I24" s="26"/>
      <c r="J24" s="5"/>
      <c r="K24" s="5"/>
      <c r="L24" s="11"/>
      <c r="M24" s="11"/>
    </row>
    <row r="25" spans="1:14" x14ac:dyDescent="0.25">
      <c r="A25" s="4" t="s">
        <v>79</v>
      </c>
      <c r="H25" s="26"/>
      <c r="I25" s="27"/>
    </row>
    <row r="26" spans="1:14" x14ac:dyDescent="0.25">
      <c r="A26" s="4" t="s">
        <v>0</v>
      </c>
      <c r="B26" s="4" t="s">
        <v>1</v>
      </c>
      <c r="C26" s="4" t="s">
        <v>2</v>
      </c>
      <c r="D26" s="4" t="s">
        <v>27</v>
      </c>
      <c r="E26" s="4" t="s">
        <v>37</v>
      </c>
      <c r="F26" s="4" t="s">
        <v>10</v>
      </c>
      <c r="G26" s="4" t="s">
        <v>11</v>
      </c>
      <c r="H26" s="28" t="s">
        <v>5</v>
      </c>
      <c r="I26" s="28" t="s">
        <v>4</v>
      </c>
      <c r="J26" s="4" t="s">
        <v>9</v>
      </c>
      <c r="K26" s="4" t="s">
        <v>51</v>
      </c>
      <c r="L26" s="12" t="s">
        <v>76</v>
      </c>
      <c r="M26" s="14" t="s">
        <v>77</v>
      </c>
      <c r="N26" s="22" t="s">
        <v>82</v>
      </c>
    </row>
    <row r="27" spans="1:14" x14ac:dyDescent="0.25">
      <c r="A27" s="5" t="s">
        <v>78</v>
      </c>
      <c r="B27" s="5">
        <v>30.51</v>
      </c>
      <c r="C27" s="5">
        <v>29.94</v>
      </c>
      <c r="D27" s="5">
        <f>(B27-C27)*1000000</f>
        <v>570000.00000000023</v>
      </c>
      <c r="E27" s="5">
        <v>350000</v>
      </c>
      <c r="F27" s="5">
        <v>5</v>
      </c>
      <c r="G27" s="5">
        <f>E27*F27</f>
        <v>1750000</v>
      </c>
      <c r="H27" s="25">
        <v>4152</v>
      </c>
      <c r="I27" s="25">
        <v>11245</v>
      </c>
      <c r="J27" s="5">
        <v>0.6</v>
      </c>
      <c r="K27" s="5">
        <v>2850</v>
      </c>
      <c r="L27" s="13">
        <f>(H27/1000000*K27*1000000000*E27+G27*1000000000*$K$6*H27/1000000*J27)*1000/44.01/D27</f>
        <v>165098841172.46075</v>
      </c>
      <c r="M27" s="15">
        <f>(I27/1000000*K27*1000000000*E27+G27*1000000000*$K$6*I27/1000000*J27)*1000/44.01/D27</f>
        <v>447142694842.08112</v>
      </c>
      <c r="N27" s="24">
        <v>-6</v>
      </c>
    </row>
    <row r="28" spans="1:14" x14ac:dyDescent="0.25">
      <c r="A28" s="4"/>
      <c r="H28" s="26"/>
      <c r="I28" s="27"/>
    </row>
    <row r="29" spans="1:14" x14ac:dyDescent="0.25">
      <c r="A29" s="4"/>
      <c r="B29" s="4"/>
      <c r="C29" s="4"/>
      <c r="D29" s="4"/>
      <c r="E29" s="4"/>
      <c r="F29" s="4"/>
      <c r="G29" s="4"/>
      <c r="H29" s="28"/>
      <c r="I29" s="28"/>
      <c r="J29" s="4"/>
      <c r="K29" s="4"/>
      <c r="L29" s="4"/>
      <c r="M29" s="4"/>
    </row>
    <row r="30" spans="1:14" x14ac:dyDescent="0.25">
      <c r="A30" s="4" t="s">
        <v>80</v>
      </c>
      <c r="H30" s="26"/>
      <c r="I30" s="27"/>
    </row>
    <row r="31" spans="1:14" x14ac:dyDescent="0.25">
      <c r="A31" s="4" t="s">
        <v>0</v>
      </c>
      <c r="B31" s="4" t="s">
        <v>1</v>
      </c>
      <c r="C31" s="4" t="s">
        <v>2</v>
      </c>
      <c r="D31" s="4" t="s">
        <v>27</v>
      </c>
      <c r="E31" s="4" t="s">
        <v>37</v>
      </c>
      <c r="F31" s="4" t="s">
        <v>10</v>
      </c>
      <c r="G31" s="4" t="s">
        <v>11</v>
      </c>
      <c r="H31" s="28" t="s">
        <v>5</v>
      </c>
      <c r="I31" s="28" t="s">
        <v>4</v>
      </c>
      <c r="J31" s="4" t="s">
        <v>9</v>
      </c>
      <c r="K31" s="4" t="s">
        <v>51</v>
      </c>
      <c r="L31" s="12" t="s">
        <v>76</v>
      </c>
      <c r="M31" s="14" t="s">
        <v>77</v>
      </c>
      <c r="N31" s="22" t="s">
        <v>82</v>
      </c>
    </row>
    <row r="32" spans="1:14" x14ac:dyDescent="0.25">
      <c r="A32" s="5" t="s">
        <v>78</v>
      </c>
      <c r="B32" s="5">
        <v>30.51</v>
      </c>
      <c r="C32" s="5">
        <v>29.94</v>
      </c>
      <c r="D32" s="5">
        <f>(B32-C32)*1000000</f>
        <v>570000.00000000023</v>
      </c>
      <c r="E32" s="5">
        <v>350000</v>
      </c>
      <c r="F32" s="5">
        <v>10</v>
      </c>
      <c r="G32" s="5">
        <f>E32*F32</f>
        <v>3500000</v>
      </c>
      <c r="H32" s="25">
        <v>4152</v>
      </c>
      <c r="I32" s="25">
        <v>11245</v>
      </c>
      <c r="J32" s="5">
        <v>0.6</v>
      </c>
      <c r="K32" s="5">
        <v>2850</v>
      </c>
      <c r="L32" s="13">
        <f>(H32/1000000*K32*1000000000*E32+G32*1000000000*$K$6*H32/1000000*J32)*1000/44.01/D32</f>
        <v>165098841172.46075</v>
      </c>
      <c r="M32" s="15">
        <f>(I32/1000000*K32*1000000000*E32+G32*1000000000*$K$6*I32/1000000*J32)*1000/44.01/D32</f>
        <v>447142694842.08112</v>
      </c>
      <c r="N32" s="24">
        <v>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06A6-F094-1040-A3A2-E07AE57B4481}">
  <dimension ref="A1:T23"/>
  <sheetViews>
    <sheetView topLeftCell="A4" workbookViewId="0">
      <selection activeCell="A17" sqref="A17:XFD23"/>
    </sheetView>
  </sheetViews>
  <sheetFormatPr defaultColWidth="11" defaultRowHeight="15.75" x14ac:dyDescent="0.25"/>
  <cols>
    <col min="8" max="8" width="23.875" customWidth="1"/>
    <col min="12" max="13" width="17" customWidth="1"/>
  </cols>
  <sheetData>
    <row r="1" spans="1:20" x14ac:dyDescent="0.25">
      <c r="A1" s="4" t="s">
        <v>45</v>
      </c>
      <c r="H1" s="5" t="s">
        <v>50</v>
      </c>
    </row>
    <row r="2" spans="1:2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37</v>
      </c>
      <c r="F2" s="4" t="s">
        <v>10</v>
      </c>
      <c r="G2" s="4" t="s">
        <v>11</v>
      </c>
      <c r="H2" s="4" t="s">
        <v>5</v>
      </c>
      <c r="I2" s="4" t="s">
        <v>4</v>
      </c>
      <c r="J2" s="4" t="s">
        <v>9</v>
      </c>
      <c r="K2" s="4" t="s">
        <v>51</v>
      </c>
      <c r="L2" s="12" t="s">
        <v>13</v>
      </c>
      <c r="M2" s="14" t="s">
        <v>12</v>
      </c>
      <c r="N2" s="22" t="s">
        <v>82</v>
      </c>
    </row>
    <row r="3" spans="1:20" x14ac:dyDescent="0.25">
      <c r="A3" s="5" t="s">
        <v>46</v>
      </c>
      <c r="B3" s="5">
        <v>16.649999999999999</v>
      </c>
      <c r="C3" s="5">
        <v>16.59</v>
      </c>
      <c r="D3" s="5">
        <f>B3-C3</f>
        <v>5.9999999999998721E-2</v>
      </c>
      <c r="E3" s="5">
        <v>31800</v>
      </c>
      <c r="F3" s="5">
        <v>0</v>
      </c>
      <c r="G3" s="5">
        <f>E3*F3</f>
        <v>0</v>
      </c>
      <c r="H3" s="5">
        <f>178*48</f>
        <v>8544</v>
      </c>
      <c r="I3" s="5">
        <f>178*130</f>
        <v>23140</v>
      </c>
      <c r="J3" s="5">
        <v>0.6</v>
      </c>
      <c r="K3" s="5">
        <v>2850</v>
      </c>
      <c r="L3" s="13">
        <f>H3/1000000*K3*1000000000*E3+G3*1000000000*$K$3*H3/1000000*J3</f>
        <v>774342719999999.88</v>
      </c>
      <c r="M3" s="15">
        <f>I3/1000000*K3*1000000000*E3+G3*1000000000*$K$3*I3/1000000*J3</f>
        <v>2097178200000000</v>
      </c>
      <c r="N3" s="24">
        <v>-6</v>
      </c>
      <c r="O3" s="16"/>
      <c r="P3" s="16"/>
    </row>
    <row r="4" spans="1:20" x14ac:dyDescent="0.25">
      <c r="A4" s="5" t="s">
        <v>47</v>
      </c>
      <c r="B4" s="5">
        <v>16.59</v>
      </c>
      <c r="C4" s="5">
        <v>16.57</v>
      </c>
      <c r="D4" s="5">
        <f t="shared" ref="D4:D7" si="0">B4-C4</f>
        <v>1.9999999999999574E-2</v>
      </c>
      <c r="E4" s="5">
        <v>11000</v>
      </c>
      <c r="F4" s="5">
        <v>0</v>
      </c>
      <c r="G4" s="5">
        <f t="shared" ref="G4:G7" si="1">E4*F4</f>
        <v>0</v>
      </c>
      <c r="H4" s="5">
        <v>8544</v>
      </c>
      <c r="I4" s="5">
        <v>23140</v>
      </c>
      <c r="J4" s="5">
        <v>0.6</v>
      </c>
      <c r="K4" s="5">
        <v>2850</v>
      </c>
      <c r="L4" s="13">
        <f>H4/1000000*K4*1000000000*E4+G4*1000000000*$K$3*H4/1000000*J4</f>
        <v>267854399999999.97</v>
      </c>
      <c r="M4" s="15">
        <f>I4/1000000*K4*1000000000*E4+G4*1000000000*$K$3*I4/1000000*J4</f>
        <v>725439000000000</v>
      </c>
      <c r="N4" s="24">
        <v>-6</v>
      </c>
      <c r="O4" s="16"/>
      <c r="P4" s="16"/>
    </row>
    <row r="5" spans="1:20" x14ac:dyDescent="0.25">
      <c r="A5" s="5" t="s">
        <v>48</v>
      </c>
      <c r="B5" s="5">
        <v>16.57</v>
      </c>
      <c r="C5" s="5">
        <v>16.065999999999999</v>
      </c>
      <c r="D5" s="5">
        <f t="shared" si="0"/>
        <v>0.50400000000000134</v>
      </c>
      <c r="E5" s="5">
        <v>149000</v>
      </c>
      <c r="F5" s="5">
        <v>0</v>
      </c>
      <c r="G5" s="5">
        <f t="shared" si="1"/>
        <v>0</v>
      </c>
      <c r="H5" s="5">
        <v>8544</v>
      </c>
      <c r="I5" s="5">
        <v>23140</v>
      </c>
      <c r="J5" s="5">
        <v>0.6</v>
      </c>
      <c r="K5" s="5">
        <v>2850</v>
      </c>
      <c r="L5" s="13">
        <f t="shared" ref="L5:L7" si="2">H5/1000000*K5*1000000000*E5+G5*1000000000*$K$3*H5/1000000*J5</f>
        <v>3628209599999999.5</v>
      </c>
      <c r="M5" s="15">
        <f t="shared" ref="M5:M7" si="3">I5/1000000*K5*1000000000*E5+G5*1000000000*$K$3*I5/1000000*J5</f>
        <v>9826401000000000</v>
      </c>
      <c r="N5" s="24">
        <v>-6</v>
      </c>
      <c r="O5" s="16"/>
      <c r="P5" s="16"/>
    </row>
    <row r="6" spans="1:20" x14ac:dyDescent="0.25">
      <c r="A6" s="5" t="s">
        <v>54</v>
      </c>
      <c r="B6" s="5">
        <v>16.065999999999999</v>
      </c>
      <c r="C6" s="5">
        <v>15.895</v>
      </c>
      <c r="D6" s="5">
        <f t="shared" si="0"/>
        <v>0.17099999999999937</v>
      </c>
      <c r="E6" s="5">
        <v>12175</v>
      </c>
      <c r="F6" s="5">
        <v>0</v>
      </c>
      <c r="G6" s="5">
        <f t="shared" si="1"/>
        <v>0</v>
      </c>
      <c r="H6" s="5">
        <v>8544</v>
      </c>
      <c r="I6" s="5">
        <v>23140</v>
      </c>
      <c r="J6" s="5">
        <v>0.6</v>
      </c>
      <c r="K6" s="5">
        <v>2850</v>
      </c>
      <c r="L6" s="13">
        <f t="shared" si="2"/>
        <v>296466119999999.94</v>
      </c>
      <c r="M6" s="15">
        <f t="shared" si="3"/>
        <v>802929075000000</v>
      </c>
      <c r="N6" s="24">
        <v>-6</v>
      </c>
      <c r="O6" s="16"/>
      <c r="P6" s="16"/>
    </row>
    <row r="7" spans="1:20" x14ac:dyDescent="0.25">
      <c r="A7" s="5" t="s">
        <v>49</v>
      </c>
      <c r="B7" s="5">
        <v>15.895</v>
      </c>
      <c r="C7" s="5">
        <v>6</v>
      </c>
      <c r="D7" s="5">
        <f t="shared" si="0"/>
        <v>9.8949999999999996</v>
      </c>
      <c r="E7" s="5">
        <v>2424</v>
      </c>
      <c r="F7" s="5">
        <v>0</v>
      </c>
      <c r="G7" s="5">
        <f t="shared" si="1"/>
        <v>0</v>
      </c>
      <c r="H7" s="5">
        <v>8544</v>
      </c>
      <c r="I7" s="5">
        <v>23140</v>
      </c>
      <c r="J7" s="5">
        <v>0.6</v>
      </c>
      <c r="K7" s="5">
        <v>2850</v>
      </c>
      <c r="L7" s="13">
        <f t="shared" si="2"/>
        <v>59025369599999.992</v>
      </c>
      <c r="M7" s="15">
        <f t="shared" si="3"/>
        <v>159860376000000</v>
      </c>
      <c r="N7" s="24">
        <v>-6</v>
      </c>
      <c r="O7" s="16"/>
      <c r="P7" s="16"/>
    </row>
    <row r="8" spans="1:20" x14ac:dyDescent="0.25">
      <c r="P8" s="5"/>
      <c r="Q8" s="5"/>
      <c r="R8" s="5"/>
      <c r="S8" s="5"/>
      <c r="T8" s="5"/>
    </row>
    <row r="9" spans="1:20" x14ac:dyDescent="0.25">
      <c r="A9" s="4" t="s">
        <v>52</v>
      </c>
      <c r="H9" s="5"/>
    </row>
    <row r="10" spans="1:20" x14ac:dyDescent="0.25">
      <c r="A10" s="4" t="s">
        <v>0</v>
      </c>
      <c r="B10" s="4" t="s">
        <v>1</v>
      </c>
      <c r="C10" s="4" t="s">
        <v>2</v>
      </c>
      <c r="D10" s="4" t="s">
        <v>3</v>
      </c>
      <c r="E10" s="4" t="s">
        <v>37</v>
      </c>
      <c r="F10" s="4" t="s">
        <v>10</v>
      </c>
      <c r="G10" s="4" t="s">
        <v>11</v>
      </c>
      <c r="H10" s="4" t="s">
        <v>5</v>
      </c>
      <c r="I10" s="4" t="s">
        <v>4</v>
      </c>
      <c r="J10" s="4" t="s">
        <v>9</v>
      </c>
      <c r="K10" s="4" t="s">
        <v>51</v>
      </c>
      <c r="L10" s="12" t="s">
        <v>13</v>
      </c>
      <c r="M10" s="14" t="s">
        <v>12</v>
      </c>
      <c r="N10" s="22" t="s">
        <v>82</v>
      </c>
    </row>
    <row r="11" spans="1:20" x14ac:dyDescent="0.25">
      <c r="A11" s="5" t="s">
        <v>46</v>
      </c>
      <c r="B11" s="5">
        <v>16.649999999999999</v>
      </c>
      <c r="C11" s="5">
        <v>16.59</v>
      </c>
      <c r="D11" s="5">
        <f>B11-C11</f>
        <v>5.9999999999998721E-2</v>
      </c>
      <c r="E11" s="5">
        <v>31800</v>
      </c>
      <c r="F11" s="5">
        <v>5</v>
      </c>
      <c r="G11" s="5">
        <f>E11*F11</f>
        <v>159000</v>
      </c>
      <c r="H11" s="5">
        <f>178*48</f>
        <v>8544</v>
      </c>
      <c r="I11" s="5">
        <f>178*130</f>
        <v>23140</v>
      </c>
      <c r="J11" s="5">
        <v>0.6</v>
      </c>
      <c r="K11" s="5">
        <v>2850</v>
      </c>
      <c r="L11" s="13">
        <f>H11/1000000*K11*1000000000*E11+G11*1000000000*$K$3*H11/1000000*J11</f>
        <v>3097370879999999.5</v>
      </c>
      <c r="M11" s="15">
        <f>I11/1000000*K11*1000000000*E11+G11*1000000000*$K$3*I11/1000000*J11</f>
        <v>8388712800000000</v>
      </c>
      <c r="N11" s="24">
        <v>-6</v>
      </c>
    </row>
    <row r="12" spans="1:20" x14ac:dyDescent="0.25">
      <c r="A12" s="5" t="s">
        <v>47</v>
      </c>
      <c r="B12" s="5">
        <v>16.59</v>
      </c>
      <c r="C12" s="5">
        <v>16.57</v>
      </c>
      <c r="D12" s="5">
        <f t="shared" ref="D12:D15" si="4">B12-C12</f>
        <v>1.9999999999999574E-2</v>
      </c>
      <c r="E12" s="5">
        <v>11000</v>
      </c>
      <c r="F12" s="5">
        <v>5</v>
      </c>
      <c r="G12" s="5">
        <f t="shared" ref="G12:G15" si="5">E12*F12</f>
        <v>55000</v>
      </c>
      <c r="H12" s="5">
        <v>8544</v>
      </c>
      <c r="I12" s="5">
        <v>23140</v>
      </c>
      <c r="J12" s="5">
        <v>0.6</v>
      </c>
      <c r="K12" s="5">
        <v>2850</v>
      </c>
      <c r="L12" s="13">
        <f>H12/1000000*K12*1000000000*E12+G12*1000000000*$K$3*H12/1000000*J12</f>
        <v>1071417600000000</v>
      </c>
      <c r="M12" s="15">
        <f>I12/1000000*K12*1000000000*E12+G12*1000000000*$K$3*I12/1000000*J12</f>
        <v>2901756000000000</v>
      </c>
      <c r="N12" s="24">
        <v>-6</v>
      </c>
    </row>
    <row r="13" spans="1:20" x14ac:dyDescent="0.25">
      <c r="A13" s="5" t="s">
        <v>48</v>
      </c>
      <c r="B13" s="5">
        <v>16.57</v>
      </c>
      <c r="C13" s="5">
        <v>16.065999999999999</v>
      </c>
      <c r="D13" s="5">
        <f t="shared" si="4"/>
        <v>0.50400000000000134</v>
      </c>
      <c r="E13" s="5">
        <v>149000</v>
      </c>
      <c r="F13" s="5">
        <v>5</v>
      </c>
      <c r="G13" s="5">
        <f t="shared" si="5"/>
        <v>745000</v>
      </c>
      <c r="H13" s="5">
        <v>8544</v>
      </c>
      <c r="I13" s="5">
        <v>23140</v>
      </c>
      <c r="J13" s="5">
        <v>0.6</v>
      </c>
      <c r="K13" s="5">
        <v>2850</v>
      </c>
      <c r="L13" s="13">
        <f t="shared" ref="L13:L15" si="6">H13/1000000*K13*1000000000*E13+G13*1000000000*$K$3*H13/1000000*J13</f>
        <v>1.45128384E+16</v>
      </c>
      <c r="M13" s="15">
        <f t="shared" ref="M13:M15" si="7">I13/1000000*K13*1000000000*E13+G13*1000000000*$K$3*I13/1000000*J13</f>
        <v>3.9305604E+16</v>
      </c>
      <c r="N13" s="24">
        <v>-6</v>
      </c>
    </row>
    <row r="14" spans="1:20" x14ac:dyDescent="0.25">
      <c r="A14" s="5" t="s">
        <v>54</v>
      </c>
      <c r="B14" s="5">
        <v>16.065999999999999</v>
      </c>
      <c r="C14" s="5">
        <v>15.895</v>
      </c>
      <c r="D14" s="5">
        <f t="shared" si="4"/>
        <v>0.17099999999999937</v>
      </c>
      <c r="E14" s="5">
        <v>12175</v>
      </c>
      <c r="F14" s="5">
        <v>5</v>
      </c>
      <c r="G14" s="5">
        <f t="shared" si="5"/>
        <v>60875</v>
      </c>
      <c r="H14" s="5">
        <v>8544</v>
      </c>
      <c r="I14" s="5">
        <v>23140</v>
      </c>
      <c r="J14" s="5">
        <v>0.6</v>
      </c>
      <c r="K14" s="5">
        <v>2850</v>
      </c>
      <c r="L14" s="13">
        <f t="shared" si="6"/>
        <v>1185864480000000</v>
      </c>
      <c r="M14" s="15">
        <f t="shared" si="7"/>
        <v>3211716300000000</v>
      </c>
      <c r="N14" s="24">
        <v>-6</v>
      </c>
    </row>
    <row r="15" spans="1:20" x14ac:dyDescent="0.25">
      <c r="A15" s="5" t="s">
        <v>49</v>
      </c>
      <c r="B15" s="5">
        <v>15.895</v>
      </c>
      <c r="C15" s="5">
        <v>6</v>
      </c>
      <c r="D15" s="5">
        <f t="shared" si="4"/>
        <v>9.8949999999999996</v>
      </c>
      <c r="E15" s="5">
        <v>2424</v>
      </c>
      <c r="F15" s="5">
        <v>5</v>
      </c>
      <c r="G15" s="5">
        <f t="shared" si="5"/>
        <v>12120</v>
      </c>
      <c r="H15" s="5">
        <v>8544</v>
      </c>
      <c r="I15" s="5">
        <v>23140</v>
      </c>
      <c r="J15" s="5">
        <v>0.6</v>
      </c>
      <c r="K15" s="5">
        <v>2850</v>
      </c>
      <c r="L15" s="13">
        <f t="shared" si="6"/>
        <v>236101478400000</v>
      </c>
      <c r="M15" s="15">
        <f t="shared" si="7"/>
        <v>639441504000000</v>
      </c>
      <c r="N15" s="24">
        <v>-6</v>
      </c>
    </row>
    <row r="17" spans="1:14" x14ac:dyDescent="0.25">
      <c r="A17" s="4" t="s">
        <v>86</v>
      </c>
      <c r="H17" s="5"/>
    </row>
    <row r="18" spans="1:14" x14ac:dyDescent="0.25">
      <c r="A18" s="4" t="s">
        <v>0</v>
      </c>
      <c r="B18" s="4" t="s">
        <v>1</v>
      </c>
      <c r="C18" s="4" t="s">
        <v>2</v>
      </c>
      <c r="D18" s="4" t="s">
        <v>3</v>
      </c>
      <c r="E18" s="4" t="s">
        <v>37</v>
      </c>
      <c r="F18" s="4" t="s">
        <v>10</v>
      </c>
      <c r="G18" s="4" t="s">
        <v>11</v>
      </c>
      <c r="H18" s="4" t="s">
        <v>5</v>
      </c>
      <c r="I18" s="4" t="s">
        <v>4</v>
      </c>
      <c r="J18" s="4" t="s">
        <v>9</v>
      </c>
      <c r="K18" s="4" t="s">
        <v>51</v>
      </c>
      <c r="L18" s="12" t="s">
        <v>13</v>
      </c>
      <c r="M18" s="14" t="s">
        <v>12</v>
      </c>
      <c r="N18" s="24" t="s">
        <v>82</v>
      </c>
    </row>
    <row r="19" spans="1:14" x14ac:dyDescent="0.25">
      <c r="A19" s="5" t="s">
        <v>46</v>
      </c>
      <c r="B19" s="5">
        <v>16.649999999999999</v>
      </c>
      <c r="C19" s="5">
        <v>16.59</v>
      </c>
      <c r="D19" s="5">
        <f>B19-C19</f>
        <v>5.9999999999998721E-2</v>
      </c>
      <c r="E19" s="5">
        <v>31800</v>
      </c>
      <c r="F19" s="5">
        <v>10</v>
      </c>
      <c r="G19" s="5">
        <f>E19*F19</f>
        <v>318000</v>
      </c>
      <c r="H19" s="5">
        <f>178*48</f>
        <v>8544</v>
      </c>
      <c r="I19" s="5">
        <f>178*130</f>
        <v>23140</v>
      </c>
      <c r="J19" s="5">
        <v>0.6</v>
      </c>
      <c r="K19" s="5">
        <v>2850</v>
      </c>
      <c r="L19" s="13">
        <f>H19/1000000*K19*1000000000*E19+G19*1000000000*$K$3*H19/1000000*J19</f>
        <v>5420399039999999</v>
      </c>
      <c r="M19" s="15">
        <f>I19/1000000*K19*1000000000*E19+G19*1000000000*$K$3*I19/1000000*J19</f>
        <v>1.46802474E+16</v>
      </c>
      <c r="N19" s="24">
        <v>-6</v>
      </c>
    </row>
    <row r="20" spans="1:14" x14ac:dyDescent="0.25">
      <c r="A20" s="5" t="s">
        <v>47</v>
      </c>
      <c r="B20" s="5">
        <v>16.59</v>
      </c>
      <c r="C20" s="5">
        <v>16.57</v>
      </c>
      <c r="D20" s="5">
        <f t="shared" ref="D20:D23" si="8">B20-C20</f>
        <v>1.9999999999999574E-2</v>
      </c>
      <c r="E20" s="5">
        <v>11000</v>
      </c>
      <c r="F20" s="5">
        <v>10</v>
      </c>
      <c r="G20" s="5">
        <f t="shared" ref="G20:G23" si="9">E20*F20</f>
        <v>110000</v>
      </c>
      <c r="H20" s="5">
        <v>8544</v>
      </c>
      <c r="I20" s="5">
        <v>23140</v>
      </c>
      <c r="J20" s="5">
        <v>0.6</v>
      </c>
      <c r="K20" s="5">
        <v>2850</v>
      </c>
      <c r="L20" s="13">
        <f>H20/1000000*K20*1000000000*E20+G20*1000000000*$K$3*H20/1000000*J20</f>
        <v>1874980800000000</v>
      </c>
      <c r="M20" s="15">
        <f>I20/1000000*K20*1000000000*E20+G20*1000000000*$K$3*I20/1000000*J20</f>
        <v>5078073000000000</v>
      </c>
      <c r="N20" s="24">
        <v>-6</v>
      </c>
    </row>
    <row r="21" spans="1:14" x14ac:dyDescent="0.25">
      <c r="A21" s="5" t="s">
        <v>48</v>
      </c>
      <c r="B21" s="5">
        <v>16.57</v>
      </c>
      <c r="C21" s="5">
        <v>16.065999999999999</v>
      </c>
      <c r="D21" s="5">
        <f t="shared" si="8"/>
        <v>0.50400000000000134</v>
      </c>
      <c r="E21" s="5">
        <v>149000</v>
      </c>
      <c r="F21" s="5">
        <v>10</v>
      </c>
      <c r="G21" s="5">
        <f t="shared" si="9"/>
        <v>1490000</v>
      </c>
      <c r="H21" s="5">
        <v>8544</v>
      </c>
      <c r="I21" s="5">
        <v>23140</v>
      </c>
      <c r="J21" s="5">
        <v>0.6</v>
      </c>
      <c r="K21" s="5">
        <v>2850</v>
      </c>
      <c r="L21" s="13">
        <f t="shared" ref="L21:L23" si="10">H21/1000000*K21*1000000000*E21+G21*1000000000*$K$3*H21/1000000*J21</f>
        <v>2.53974672E+16</v>
      </c>
      <c r="M21" s="15">
        <f t="shared" ref="M21:M23" si="11">I21/1000000*K21*1000000000*E21+G21*1000000000*$K$3*I21/1000000*J21</f>
        <v>6.8784807E+16</v>
      </c>
      <c r="N21" s="24">
        <v>-6</v>
      </c>
    </row>
    <row r="22" spans="1:14" x14ac:dyDescent="0.25">
      <c r="A22" s="5" t="s">
        <v>54</v>
      </c>
      <c r="B22" s="5">
        <v>16.065999999999999</v>
      </c>
      <c r="C22" s="5">
        <v>15.895</v>
      </c>
      <c r="D22" s="5">
        <f t="shared" si="8"/>
        <v>0.17099999999999937</v>
      </c>
      <c r="E22" s="5">
        <v>12175</v>
      </c>
      <c r="F22" s="5">
        <v>10</v>
      </c>
      <c r="G22" s="5">
        <f t="shared" si="9"/>
        <v>121750</v>
      </c>
      <c r="H22" s="5">
        <v>8544</v>
      </c>
      <c r="I22" s="5">
        <v>23140</v>
      </c>
      <c r="J22" s="5">
        <v>0.6</v>
      </c>
      <c r="K22" s="5">
        <v>2850</v>
      </c>
      <c r="L22" s="13">
        <f t="shared" si="10"/>
        <v>2075262840000000</v>
      </c>
      <c r="M22" s="15">
        <f t="shared" si="11"/>
        <v>5620503525000000</v>
      </c>
      <c r="N22" s="24">
        <v>-6</v>
      </c>
    </row>
    <row r="23" spans="1:14" x14ac:dyDescent="0.25">
      <c r="A23" s="5" t="s">
        <v>49</v>
      </c>
      <c r="B23" s="5">
        <v>15.895</v>
      </c>
      <c r="C23" s="5">
        <v>6</v>
      </c>
      <c r="D23" s="5">
        <f t="shared" si="8"/>
        <v>9.8949999999999996</v>
      </c>
      <c r="E23" s="5">
        <v>2424</v>
      </c>
      <c r="F23" s="5">
        <v>10</v>
      </c>
      <c r="G23" s="5">
        <f t="shared" si="9"/>
        <v>24240</v>
      </c>
      <c r="H23" s="5">
        <v>8544</v>
      </c>
      <c r="I23" s="5">
        <v>23140</v>
      </c>
      <c r="J23" s="5">
        <v>0.6</v>
      </c>
      <c r="K23" s="5">
        <v>2850</v>
      </c>
      <c r="L23" s="13">
        <f t="shared" si="10"/>
        <v>413177587200000</v>
      </c>
      <c r="M23" s="15">
        <f t="shared" si="11"/>
        <v>1119022632000000</v>
      </c>
      <c r="N23" s="24">
        <v>-6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Siberian Traps</vt:lpstr>
      <vt:lpstr>Deccan Traps</vt:lpstr>
      <vt:lpstr>NAIP</vt:lpstr>
      <vt:lpstr>Ethiopian Traps</vt:lpstr>
      <vt:lpstr>CRB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Mills</cp:lastModifiedBy>
  <dcterms:created xsi:type="dcterms:W3CDTF">2023-02-20T22:02:42Z</dcterms:created>
  <dcterms:modified xsi:type="dcterms:W3CDTF">2024-03-02T22:19:06Z</dcterms:modified>
</cp:coreProperties>
</file>