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t\Documents\PlatformIO\Projects\Actuador-ESP32\.mio\"/>
    </mc:Choice>
  </mc:AlternateContent>
  <xr:revisionPtr revIDLastSave="0" documentId="13_ncr:1_{E956F69C-32DE-49ED-B6EE-38BF8CA24C25}" xr6:coauthVersionLast="47" xr6:coauthVersionMax="47" xr10:uidLastSave="{00000000-0000-0000-0000-000000000000}"/>
  <bookViews>
    <workbookView xWindow="-120" yWindow="-120" windowWidth="29040" windowHeight="16440" activeTab="1" xr2:uid="{A52EA33D-BD66-4045-9139-39A15A538EC9}"/>
  </bookViews>
  <sheets>
    <sheet name="esquema con gargador" sheetId="2" r:id="rId1"/>
    <sheet name="esquema con cargador y SPIFFS" sheetId="3" r:id="rId2"/>
    <sheet name="8Mb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H25" i="3"/>
  <c r="H26" i="3"/>
  <c r="H27" i="3"/>
  <c r="H23" i="3"/>
  <c r="I16" i="3"/>
  <c r="I17" i="3"/>
  <c r="I29" i="3" s="1"/>
  <c r="I30" i="3" s="1"/>
  <c r="K30" i="3" s="1"/>
  <c r="K31" i="3" s="1"/>
  <c r="L31" i="3" s="1"/>
  <c r="J17" i="3"/>
  <c r="J16" i="3"/>
  <c r="I15" i="3"/>
  <c r="M13" i="3"/>
  <c r="A27" i="3"/>
  <c r="A15" i="3"/>
  <c r="A16" i="3"/>
  <c r="J15" i="3"/>
  <c r="J14" i="3"/>
  <c r="J13" i="3"/>
  <c r="I14" i="3"/>
  <c r="I13" i="3"/>
  <c r="A39" i="4"/>
  <c r="A40" i="4"/>
  <c r="I16" i="4"/>
  <c r="V19" i="4"/>
  <c r="V20" i="4" s="1"/>
  <c r="V17" i="4"/>
  <c r="V15" i="4"/>
  <c r="I15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L16" i="3" l="1"/>
  <c r="K16" i="4"/>
  <c r="I17" i="4"/>
  <c r="K17" i="4"/>
  <c r="A33" i="4"/>
  <c r="A29" i="4"/>
  <c r="C29" i="4" s="1"/>
  <c r="M28" i="4"/>
  <c r="A28" i="4"/>
  <c r="C28" i="4" s="1"/>
  <c r="M27" i="4"/>
  <c r="B27" i="4"/>
  <c r="A27" i="4"/>
  <c r="E27" i="4" s="1"/>
  <c r="A26" i="4"/>
  <c r="C26" i="4" s="1"/>
  <c r="A25" i="4"/>
  <c r="C24" i="4"/>
  <c r="B24" i="4"/>
  <c r="A24" i="4"/>
  <c r="A23" i="4"/>
  <c r="C23" i="4" s="1"/>
  <c r="J20" i="4"/>
  <c r="L19" i="4"/>
  <c r="K19" i="4"/>
  <c r="J19" i="4"/>
  <c r="H19" i="4"/>
  <c r="A19" i="4"/>
  <c r="D19" i="4" s="1"/>
  <c r="L18" i="4"/>
  <c r="K18" i="4"/>
  <c r="J18" i="4"/>
  <c r="H18" i="4"/>
  <c r="A18" i="4"/>
  <c r="D18" i="4" s="1"/>
  <c r="C17" i="4"/>
  <c r="A17" i="4"/>
  <c r="B17" i="4" s="1"/>
  <c r="D17" i="4" s="1"/>
  <c r="A16" i="4"/>
  <c r="B16" i="4" s="1"/>
  <c r="K15" i="4"/>
  <c r="A15" i="4"/>
  <c r="C15" i="4" s="1"/>
  <c r="A14" i="4"/>
  <c r="C13" i="4"/>
  <c r="I13" i="4" s="1"/>
  <c r="K13" i="4" s="1"/>
  <c r="B13" i="4"/>
  <c r="H13" i="4" s="1"/>
  <c r="A13" i="4"/>
  <c r="N28" i="3"/>
  <c r="N27" i="3"/>
  <c r="L15" i="3"/>
  <c r="A33" i="3"/>
  <c r="A29" i="3"/>
  <c r="B29" i="3" s="1"/>
  <c r="A28" i="3"/>
  <c r="B28" i="3" s="1"/>
  <c r="B27" i="3"/>
  <c r="A26" i="3"/>
  <c r="B26" i="3" s="1"/>
  <c r="A25" i="3"/>
  <c r="C25" i="3" s="1"/>
  <c r="C24" i="3"/>
  <c r="A24" i="3"/>
  <c r="A23" i="3"/>
  <c r="B23" i="3" s="1"/>
  <c r="K20" i="3"/>
  <c r="L19" i="3"/>
  <c r="A19" i="3"/>
  <c r="D19" i="3" s="1"/>
  <c r="L18" i="3"/>
  <c r="B18" i="3"/>
  <c r="A18" i="3"/>
  <c r="D18" i="3" s="1"/>
  <c r="L17" i="3"/>
  <c r="C17" i="3"/>
  <c r="B17" i="3"/>
  <c r="A17" i="3"/>
  <c r="B16" i="3"/>
  <c r="A14" i="3"/>
  <c r="B14" i="3" s="1"/>
  <c r="C13" i="3"/>
  <c r="A13" i="3"/>
  <c r="S9" i="3" s="1"/>
  <c r="L13" i="3" l="1"/>
  <c r="B25" i="3"/>
  <c r="B13" i="3"/>
  <c r="H13" i="3" s="1"/>
  <c r="C16" i="3"/>
  <c r="D16" i="3"/>
  <c r="D17" i="3"/>
  <c r="B18" i="4"/>
  <c r="C18" i="4"/>
  <c r="C16" i="4"/>
  <c r="D16" i="4" s="1"/>
  <c r="B19" i="4"/>
  <c r="B29" i="4"/>
  <c r="C19" i="4"/>
  <c r="D28" i="4"/>
  <c r="K20" i="4"/>
  <c r="K21" i="4" s="1"/>
  <c r="K23" i="4" s="1"/>
  <c r="C27" i="4"/>
  <c r="D23" i="4"/>
  <c r="J13" i="4"/>
  <c r="H14" i="4" s="1"/>
  <c r="B14" i="4"/>
  <c r="E25" i="4"/>
  <c r="C14" i="4"/>
  <c r="I14" i="4" s="1"/>
  <c r="K14" i="4" s="1"/>
  <c r="E26" i="4"/>
  <c r="E28" i="4"/>
  <c r="D13" i="4"/>
  <c r="B15" i="4"/>
  <c r="D15" i="4" s="1"/>
  <c r="E23" i="4"/>
  <c r="B25" i="4"/>
  <c r="B23" i="4"/>
  <c r="A34" i="4" s="1"/>
  <c r="D24" i="4"/>
  <c r="C25" i="4"/>
  <c r="B26" i="4"/>
  <c r="B28" i="4"/>
  <c r="D29" i="4"/>
  <c r="E29" i="4"/>
  <c r="E26" i="3"/>
  <c r="C27" i="3"/>
  <c r="C28" i="3"/>
  <c r="K13" i="3"/>
  <c r="H14" i="3" s="1"/>
  <c r="E23" i="3"/>
  <c r="C26" i="3"/>
  <c r="E27" i="3"/>
  <c r="C29" i="3"/>
  <c r="D13" i="3"/>
  <c r="C14" i="3"/>
  <c r="L14" i="3" s="1"/>
  <c r="B15" i="3"/>
  <c r="C18" i="3"/>
  <c r="B19" i="3"/>
  <c r="C23" i="3"/>
  <c r="E24" i="3"/>
  <c r="C15" i="3"/>
  <c r="C19" i="3"/>
  <c r="D23" i="3"/>
  <c r="B24" i="3"/>
  <c r="E25" i="3"/>
  <c r="E32" i="3" s="1"/>
  <c r="E28" i="3"/>
  <c r="E29" i="3"/>
  <c r="K20" i="2"/>
  <c r="L15" i="2"/>
  <c r="L16" i="2"/>
  <c r="L17" i="2"/>
  <c r="L18" i="2"/>
  <c r="L19" i="2"/>
  <c r="L14" i="2"/>
  <c r="L13" i="2"/>
  <c r="K19" i="2"/>
  <c r="K18" i="2"/>
  <c r="K17" i="2"/>
  <c r="K16" i="2"/>
  <c r="K15" i="2"/>
  <c r="K14" i="2"/>
  <c r="K13" i="2"/>
  <c r="H26" i="2"/>
  <c r="I19" i="2"/>
  <c r="I16" i="2"/>
  <c r="I15" i="2"/>
  <c r="I17" i="2"/>
  <c r="L20" i="3" l="1"/>
  <c r="A34" i="3"/>
  <c r="D15" i="3"/>
  <c r="D14" i="4"/>
  <c r="L13" i="4"/>
  <c r="J14" i="4"/>
  <c r="E24" i="4"/>
  <c r="A35" i="4" s="1"/>
  <c r="D14" i="3"/>
  <c r="K14" i="3"/>
  <c r="D24" i="3"/>
  <c r="A35" i="3" s="1"/>
  <c r="I18" i="2"/>
  <c r="J20" i="2"/>
  <c r="L14" i="4" l="1"/>
  <c r="H15" i="4"/>
  <c r="M14" i="3"/>
  <c r="H15" i="3"/>
  <c r="A19" i="2"/>
  <c r="D19" i="2" s="1"/>
  <c r="A14" i="2"/>
  <c r="C14" i="2" s="1"/>
  <c r="I14" i="2" s="1"/>
  <c r="A15" i="2"/>
  <c r="B15" i="2" s="1"/>
  <c r="A16" i="2"/>
  <c r="A17" i="2"/>
  <c r="B17" i="2" s="1"/>
  <c r="A18" i="2"/>
  <c r="D18" i="2" s="1"/>
  <c r="A13" i="2"/>
  <c r="B13" i="2" s="1"/>
  <c r="H13" i="2" s="1"/>
  <c r="B19" i="2"/>
  <c r="B16" i="2"/>
  <c r="B28" i="2"/>
  <c r="A24" i="2"/>
  <c r="A25" i="2"/>
  <c r="E25" i="2" s="1"/>
  <c r="A26" i="2"/>
  <c r="C26" i="2" s="1"/>
  <c r="A27" i="2"/>
  <c r="C27" i="2" s="1"/>
  <c r="A28" i="2"/>
  <c r="A29" i="2"/>
  <c r="A23" i="2"/>
  <c r="B23" i="2" s="1"/>
  <c r="A33" i="2"/>
  <c r="J15" i="4" l="1"/>
  <c r="D25" i="4"/>
  <c r="A36" i="4" s="1"/>
  <c r="K15" i="3"/>
  <c r="D25" i="3"/>
  <c r="A36" i="3" s="1"/>
  <c r="C16" i="2"/>
  <c r="D16" i="2" s="1"/>
  <c r="C17" i="2"/>
  <c r="D17" i="2" s="1"/>
  <c r="C19" i="2"/>
  <c r="B18" i="2"/>
  <c r="C13" i="2"/>
  <c r="I13" i="2" s="1"/>
  <c r="C15" i="2"/>
  <c r="D15" i="2" s="1"/>
  <c r="E29" i="2"/>
  <c r="B14" i="2"/>
  <c r="D14" i="2" s="1"/>
  <c r="C18" i="2"/>
  <c r="C24" i="2"/>
  <c r="B26" i="2"/>
  <c r="C29" i="2"/>
  <c r="C25" i="2"/>
  <c r="E26" i="2"/>
  <c r="E28" i="2"/>
  <c r="B24" i="2"/>
  <c r="C23" i="2"/>
  <c r="B25" i="2"/>
  <c r="B29" i="2"/>
  <c r="B27" i="2"/>
  <c r="C28" i="2"/>
  <c r="E24" i="2"/>
  <c r="D23" i="2"/>
  <c r="H16" i="4" l="1"/>
  <c r="L15" i="4"/>
  <c r="M15" i="3"/>
  <c r="H16" i="3"/>
  <c r="E23" i="2"/>
  <c r="A34" i="2" s="1"/>
  <c r="J13" i="2"/>
  <c r="H14" i="2" s="1"/>
  <c r="J14" i="2" s="1"/>
  <c r="D13" i="2"/>
  <c r="E27" i="2"/>
  <c r="J16" i="4" l="1"/>
  <c r="D26" i="4"/>
  <c r="A37" i="4" s="1"/>
  <c r="K16" i="3"/>
  <c r="D26" i="3"/>
  <c r="A37" i="3" s="1"/>
  <c r="D24" i="2"/>
  <c r="A35" i="2" s="1"/>
  <c r="H15" i="2"/>
  <c r="H17" i="4" l="1"/>
  <c r="L16" i="4"/>
  <c r="H17" i="3"/>
  <c r="M16" i="3"/>
  <c r="J15" i="2"/>
  <c r="H16" i="2" s="1"/>
  <c r="D25" i="2"/>
  <c r="A36" i="2" s="1"/>
  <c r="J17" i="4" l="1"/>
  <c r="L17" i="4" s="1"/>
  <c r="D27" i="4"/>
  <c r="A38" i="4" s="1"/>
  <c r="K17" i="3"/>
  <c r="D27" i="3"/>
  <c r="A38" i="3" s="1"/>
  <c r="J16" i="2"/>
  <c r="H17" i="2" s="1"/>
  <c r="D26" i="2"/>
  <c r="A37" i="2" s="1"/>
  <c r="H18" i="3" l="1"/>
  <c r="M17" i="3"/>
  <c r="J17" i="2"/>
  <c r="H18" i="2" s="1"/>
  <c r="D27" i="2"/>
  <c r="A38" i="2" s="1"/>
  <c r="K18" i="3" l="1"/>
  <c r="D28" i="3"/>
  <c r="A39" i="3" s="1"/>
  <c r="J18" i="2"/>
  <c r="D28" i="2"/>
  <c r="A39" i="2" s="1"/>
  <c r="M18" i="3" l="1"/>
  <c r="H19" i="3"/>
  <c r="H19" i="2"/>
  <c r="K19" i="3" l="1"/>
  <c r="M19" i="3" s="1"/>
  <c r="D29" i="3"/>
  <c r="A40" i="3" s="1"/>
  <c r="J19" i="2"/>
  <c r="H23" i="2" s="1"/>
  <c r="D29" i="2"/>
  <c r="A40" i="2" s="1"/>
</calcChain>
</file>

<file path=xl/sharedStrings.xml><?xml version="1.0" encoding="utf-8"?>
<sst xmlns="http://schemas.openxmlformats.org/spreadsheetml/2006/main" count="354" uniqueCount="116">
  <si>
    <t>Flags</t>
  </si>
  <si>
    <t>Type</t>
  </si>
  <si>
    <t>SubType</t>
  </si>
  <si>
    <t>Offset</t>
  </si>
  <si>
    <t>Size</t>
  </si>
  <si>
    <t>nvs</t>
  </si>
  <si>
    <t>data</t>
  </si>
  <si>
    <t>0x9000</t>
  </si>
  <si>
    <t>0x5000</t>
  </si>
  <si>
    <t>otadata</t>
  </si>
  <si>
    <t>ota</t>
  </si>
  <si>
    <t>0xe000</t>
  </si>
  <si>
    <t>0x2000</t>
  </si>
  <si>
    <t>app0</t>
  </si>
  <si>
    <t>app</t>
  </si>
  <si>
    <t>ota_0</t>
  </si>
  <si>
    <t>0x10000</t>
  </si>
  <si>
    <t>0x290000</t>
  </si>
  <si>
    <t>spiffs</t>
  </si>
  <si>
    <t>Inicio</t>
  </si>
  <si>
    <t>Tamaño</t>
  </si>
  <si>
    <t>Fin</t>
  </si>
  <si>
    <t># Name</t>
  </si>
  <si>
    <t>app1</t>
  </si>
  <si>
    <t>ota_1</t>
  </si>
  <si>
    <t>0x140000</t>
  </si>
  <si>
    <t>0x170000</t>
  </si>
  <si>
    <t>#Name</t>
  </si>
  <si>
    <t>0x150000</t>
  </si>
  <si>
    <t>Copiados de origen</t>
  </si>
  <si>
    <t>DESTINO</t>
  </si>
  <si>
    <t>ORIGEN</t>
  </si>
  <si>
    <t>Por definicion</t>
  </si>
  <si>
    <t>Calculados</t>
  </si>
  <si>
    <t>Variables</t>
  </si>
  <si>
    <t>Loader</t>
  </si>
  <si>
    <t>fr</t>
  </si>
  <si>
    <t>eeprom</t>
  </si>
  <si>
    <t>0x99</t>
  </si>
  <si>
    <t>Tamaño (kB)</t>
  </si>
  <si>
    <t>Sobra (kB)</t>
  </si>
  <si>
    <t>0x330000</t>
  </si>
  <si>
    <t>0x340000</t>
  </si>
  <si>
    <t>0x670000</t>
  </si>
  <si>
    <t>0x190000</t>
  </si>
  <si>
    <t>OFFSET validos</t>
  </si>
  <si>
    <t>0x20000</t>
  </si>
  <si>
    <t>0x30000</t>
  </si>
  <si>
    <t>0x40000</t>
  </si>
  <si>
    <t>0x50000</t>
  </si>
  <si>
    <t>0x60000</t>
  </si>
  <si>
    <t>0x70000</t>
  </si>
  <si>
    <t>0x80000</t>
  </si>
  <si>
    <t>0x90000</t>
  </si>
  <si>
    <t>0xA0000</t>
  </si>
  <si>
    <t>0xB0000</t>
  </si>
  <si>
    <t>0xC0000</t>
  </si>
  <si>
    <t>0xD0000</t>
  </si>
  <si>
    <t>0xE0000</t>
  </si>
  <si>
    <t>0xF0000</t>
  </si>
  <si>
    <t>0x100000</t>
  </si>
  <si>
    <t>0x110000</t>
  </si>
  <si>
    <t>0x120000</t>
  </si>
  <si>
    <t>0x130000</t>
  </si>
  <si>
    <t>0x160000</t>
  </si>
  <si>
    <t>0x180000</t>
  </si>
  <si>
    <t>0x200000</t>
  </si>
  <si>
    <t>0x210000</t>
  </si>
  <si>
    <t>0x220000</t>
  </si>
  <si>
    <t>0x230000</t>
  </si>
  <si>
    <t>0x240000</t>
  </si>
  <si>
    <t>0x250000</t>
  </si>
  <si>
    <t>0x260000</t>
  </si>
  <si>
    <t>0x270000</t>
  </si>
  <si>
    <t>0x280000</t>
  </si>
  <si>
    <t>0x300000</t>
  </si>
  <si>
    <t>0x310000</t>
  </si>
  <si>
    <t>0x320000</t>
  </si>
  <si>
    <t>0x350000</t>
  </si>
  <si>
    <t>0x360000</t>
  </si>
  <si>
    <t>0x370000</t>
  </si>
  <si>
    <t>0x380000</t>
  </si>
  <si>
    <t>0x390000</t>
  </si>
  <si>
    <t>0x400000</t>
  </si>
  <si>
    <t xml:space="preserve"> Type</t>
  </si>
  <si>
    <t xml:space="preserve"> SubType</t>
  </si>
  <si>
    <t xml:space="preserve"> Offset</t>
  </si>
  <si>
    <t xml:space="preserve"> Size</t>
  </si>
  <si>
    <t xml:space="preserve"> Flags</t>
  </si>
  <si>
    <t xml:space="preserve"> data</t>
  </si>
  <si>
    <t xml:space="preserve"> nvs</t>
  </si>
  <si>
    <t xml:space="preserve"> 0x009000</t>
  </si>
  <si>
    <t xml:space="preserve"> 0x005000</t>
  </si>
  <si>
    <t xml:space="preserve"> </t>
  </si>
  <si>
    <t xml:space="preserve"> ota</t>
  </si>
  <si>
    <t xml:space="preserve"> 0x00E000</t>
  </si>
  <si>
    <t xml:space="preserve"> 0x002000</t>
  </si>
  <si>
    <t xml:space="preserve"> app</t>
  </si>
  <si>
    <t xml:space="preserve"> ota_0</t>
  </si>
  <si>
    <t xml:space="preserve"> 0x010000</t>
  </si>
  <si>
    <t xml:space="preserve"> 0x0E0000</t>
  </si>
  <si>
    <t xml:space="preserve"> ota_1</t>
  </si>
  <si>
    <t xml:space="preserve"> 0x0F0000</t>
  </si>
  <si>
    <t xml:space="preserve"> 0x303800</t>
  </si>
  <si>
    <t xml:space="preserve"> spiffs</t>
  </si>
  <si>
    <t xml:space="preserve"> 0x3F3800</t>
  </si>
  <si>
    <t xml:space="preserve"> 0x00C800</t>
  </si>
  <si>
    <t>0x009000</t>
  </si>
  <si>
    <t>0x010000</t>
  </si>
  <si>
    <t>0x0F0000</t>
  </si>
  <si>
    <t>0x3F3800</t>
  </si>
  <si>
    <t>0x00C800</t>
  </si>
  <si>
    <t>0x0E0000</t>
  </si>
  <si>
    <t>0x303800</t>
  </si>
  <si>
    <t>Cargador OTA</t>
  </si>
  <si>
    <t>860246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</si>
</sst>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2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4" xfId="0" applyFill="1" applyBorder="1"/>
    <xf numFmtId="0" fontId="0" fillId="0" borderId="4" xfId="0" applyFill="1" applyBorder="1"/>
    <xf numFmtId="0" fontId="0" fillId="2" borderId="9" xfId="0" applyFill="1" applyBorder="1"/>
    <xf numFmtId="0" fontId="0" fillId="0" borderId="25" xfId="0" applyBorder="1"/>
    <xf numFmtId="0" fontId="0" fillId="0" borderId="26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0" fillId="3" borderId="9" xfId="0" applyFill="1" applyBorder="1"/>
    <xf numFmtId="0" fontId="0" fillId="3" borderId="0" xfId="0" applyFill="1"/>
    <xf numFmtId="0" fontId="0" fillId="0" borderId="0" xfId="0" applyFill="1"/>
    <xf numFmtId="0" fontId="0" fillId="4" borderId="4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0" xfId="0" applyFill="1"/>
    <xf numFmtId="0" fontId="0" fillId="5" borderId="4" xfId="0" applyFill="1" applyBorder="1"/>
    <xf numFmtId="0" fontId="0" fillId="5" borderId="0" xfId="0" applyFill="1"/>
    <xf numFmtId="0" fontId="0" fillId="4" borderId="14" xfId="0" applyFill="1" applyBorder="1"/>
    <xf numFmtId="0" fontId="0" fillId="4" borderId="15" xfId="0" applyFill="1" applyBorder="1"/>
    <xf numFmtId="0" fontId="0" fillId="5" borderId="14" xfId="0" applyFill="1" applyBorder="1"/>
    <xf numFmtId="164" fontId="0" fillId="0" borderId="0" xfId="0" applyNumberFormat="1"/>
    <xf numFmtId="0" fontId="0" fillId="0" borderId="32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FC8B-84AC-47C7-AF9F-2926E2701612}">
  <dimension ref="A1:T44"/>
  <sheetViews>
    <sheetView workbookViewId="0">
      <selection activeCell="I16" sqref="I16"/>
    </sheetView>
  </sheetViews>
  <sheetFormatPr baseColWidth="10" defaultRowHeight="15" x14ac:dyDescent="0.25"/>
  <cols>
    <col min="7" max="7" width="11.85546875" bestFit="1" customWidth="1"/>
    <col min="16" max="16" width="11.85546875" bestFit="1" customWidth="1"/>
  </cols>
  <sheetData>
    <row r="1" spans="1:20" ht="15.75" thickBot="1" x14ac:dyDescent="0.3">
      <c r="A1" s="7" t="s">
        <v>27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0</v>
      </c>
      <c r="O1" t="s">
        <v>27</v>
      </c>
      <c r="P1" t="s">
        <v>1</v>
      </c>
      <c r="Q1" t="s">
        <v>2</v>
      </c>
      <c r="R1" t="s">
        <v>3</v>
      </c>
      <c r="S1" t="s">
        <v>4</v>
      </c>
      <c r="T1" t="s">
        <v>0</v>
      </c>
    </row>
    <row r="2" spans="1:20" x14ac:dyDescent="0.25">
      <c r="A2" s="10" t="s">
        <v>5</v>
      </c>
      <c r="B2" s="11" t="s">
        <v>6</v>
      </c>
      <c r="C2" s="11" t="s">
        <v>5</v>
      </c>
      <c r="D2" s="11" t="s">
        <v>7</v>
      </c>
      <c r="E2" s="11" t="s">
        <v>8</v>
      </c>
      <c r="F2" s="12"/>
      <c r="O2" t="s">
        <v>5</v>
      </c>
      <c r="P2" t="s">
        <v>6</v>
      </c>
      <c r="Q2" t="s">
        <v>5</v>
      </c>
      <c r="R2" t="s">
        <v>7</v>
      </c>
      <c r="S2" t="s">
        <v>8</v>
      </c>
    </row>
    <row r="3" spans="1:20" x14ac:dyDescent="0.25">
      <c r="A3" s="13" t="s">
        <v>9</v>
      </c>
      <c r="B3" s="6" t="s">
        <v>6</v>
      </c>
      <c r="C3" s="6" t="s">
        <v>10</v>
      </c>
      <c r="D3" s="6" t="s">
        <v>11</v>
      </c>
      <c r="E3" s="6" t="s">
        <v>12</v>
      </c>
      <c r="F3" s="14"/>
      <c r="O3" t="s">
        <v>9</v>
      </c>
      <c r="P3" t="s">
        <v>6</v>
      </c>
      <c r="Q3" t="s">
        <v>10</v>
      </c>
      <c r="R3" t="s">
        <v>11</v>
      </c>
      <c r="S3" t="s">
        <v>12</v>
      </c>
    </row>
    <row r="4" spans="1:20" x14ac:dyDescent="0.25">
      <c r="A4" s="13" t="s">
        <v>13</v>
      </c>
      <c r="B4" s="6" t="s">
        <v>14</v>
      </c>
      <c r="C4" s="6" t="s">
        <v>15</v>
      </c>
      <c r="D4" s="6" t="s">
        <v>16</v>
      </c>
      <c r="E4" s="6" t="s">
        <v>25</v>
      </c>
      <c r="F4" s="14"/>
      <c r="O4" t="s">
        <v>13</v>
      </c>
      <c r="P4" t="s">
        <v>14</v>
      </c>
      <c r="Q4" t="s">
        <v>15</v>
      </c>
      <c r="R4" t="s">
        <v>16</v>
      </c>
      <c r="S4" t="s">
        <v>25</v>
      </c>
    </row>
    <row r="5" spans="1:20" x14ac:dyDescent="0.25">
      <c r="A5" s="13" t="s">
        <v>23</v>
      </c>
      <c r="B5" s="6" t="s">
        <v>14</v>
      </c>
      <c r="C5" s="6" t="s">
        <v>24</v>
      </c>
      <c r="D5" s="6" t="s">
        <v>28</v>
      </c>
      <c r="E5" s="6" t="s">
        <v>25</v>
      </c>
      <c r="F5" s="14"/>
      <c r="O5" t="s">
        <v>23</v>
      </c>
      <c r="P5" t="s">
        <v>14</v>
      </c>
      <c r="Q5" t="s">
        <v>24</v>
      </c>
      <c r="R5" t="s">
        <v>28</v>
      </c>
      <c r="S5" t="s">
        <v>25</v>
      </c>
    </row>
    <row r="6" spans="1:20" x14ac:dyDescent="0.25">
      <c r="A6" s="13" t="s">
        <v>18</v>
      </c>
      <c r="B6" s="6" t="s">
        <v>6</v>
      </c>
      <c r="C6" s="6" t="s">
        <v>18</v>
      </c>
      <c r="D6" s="6" t="s">
        <v>17</v>
      </c>
      <c r="E6" s="6" t="s">
        <v>26</v>
      </c>
      <c r="F6" s="14"/>
      <c r="O6" t="s">
        <v>18</v>
      </c>
      <c r="P6" t="s">
        <v>6</v>
      </c>
      <c r="Q6" t="s">
        <v>18</v>
      </c>
      <c r="R6" t="s">
        <v>17</v>
      </c>
      <c r="S6" t="s">
        <v>26</v>
      </c>
    </row>
    <row r="7" spans="1:20" x14ac:dyDescent="0.25">
      <c r="A7" s="13"/>
      <c r="B7" s="6"/>
      <c r="C7" s="6"/>
      <c r="D7" s="6"/>
      <c r="E7" s="6"/>
      <c r="F7" s="14"/>
    </row>
    <row r="8" spans="1:20" ht="15.75" thickBot="1" x14ac:dyDescent="0.3">
      <c r="A8" s="15"/>
      <c r="B8" s="16"/>
      <c r="C8" s="16"/>
      <c r="D8" s="16"/>
      <c r="E8" s="16"/>
      <c r="F8" s="17"/>
    </row>
    <row r="9" spans="1:20" x14ac:dyDescent="0.25">
      <c r="A9" s="5"/>
      <c r="B9" s="5"/>
      <c r="C9" s="5"/>
      <c r="D9" s="5"/>
      <c r="E9" s="5"/>
      <c r="F9" s="5"/>
    </row>
    <row r="10" spans="1:20" ht="15.75" thickBot="1" x14ac:dyDescent="0.3"/>
    <row r="11" spans="1:20" ht="15.75" thickBot="1" x14ac:dyDescent="0.3">
      <c r="A11" s="55" t="s">
        <v>31</v>
      </c>
      <c r="B11" s="56"/>
      <c r="C11" s="56"/>
      <c r="D11" s="57"/>
      <c r="E11" s="58" t="s">
        <v>30</v>
      </c>
      <c r="F11" s="59"/>
      <c r="G11" s="59"/>
      <c r="H11" s="59"/>
      <c r="I11" s="59"/>
      <c r="J11" s="60"/>
    </row>
    <row r="12" spans="1:20" ht="15.75" thickBot="1" x14ac:dyDescent="0.3">
      <c r="A12" s="20"/>
      <c r="B12" s="21" t="s">
        <v>19</v>
      </c>
      <c r="C12" s="21" t="s">
        <v>20</v>
      </c>
      <c r="D12" s="22" t="s">
        <v>21</v>
      </c>
      <c r="E12" s="3"/>
      <c r="F12" s="2" t="s">
        <v>1</v>
      </c>
      <c r="G12" s="37" t="s">
        <v>2</v>
      </c>
      <c r="H12" s="3" t="s">
        <v>19</v>
      </c>
      <c r="I12" s="3" t="s">
        <v>20</v>
      </c>
      <c r="J12" s="4" t="s">
        <v>21</v>
      </c>
      <c r="K12" t="s">
        <v>39</v>
      </c>
      <c r="L12" t="s">
        <v>40</v>
      </c>
      <c r="N12" s="39"/>
      <c r="O12" t="s">
        <v>32</v>
      </c>
    </row>
    <row r="13" spans="1:20" x14ac:dyDescent="0.25">
      <c r="A13" s="10" t="str">
        <f t="shared" ref="A13:A19" si="0">IF(A2&lt;&gt;"",+A2,"")</f>
        <v>nvs</v>
      </c>
      <c r="B13" s="11">
        <f t="shared" ref="B13:C19" si="1">+IF($A13&lt;&gt;"",HEX2DEC(RIGHT(D2,+LEN(D2)-2)),"")</f>
        <v>36864</v>
      </c>
      <c r="C13" s="11">
        <f t="shared" si="1"/>
        <v>20480</v>
      </c>
      <c r="D13" s="23">
        <f>+IF($A13&lt;&gt;"",+B13+C13,"")</f>
        <v>57344</v>
      </c>
      <c r="E13" s="33" t="s">
        <v>5</v>
      </c>
      <c r="F13" s="29" t="s">
        <v>6</v>
      </c>
      <c r="G13" s="11" t="s">
        <v>5</v>
      </c>
      <c r="H13" s="38">
        <f>+IF($E13&lt;&gt;"",+B13,"")</f>
        <v>36864</v>
      </c>
      <c r="I13" s="28">
        <f>+IF($E13&lt;&gt;"",+C13,"")</f>
        <v>20480</v>
      </c>
      <c r="J13" s="42">
        <f>+IF($E13&lt;&gt;"",+H13+I13,"")</f>
        <v>57344</v>
      </c>
      <c r="K13" s="50">
        <f t="shared" ref="K13:K19" si="2">+I13/1024</f>
        <v>20</v>
      </c>
      <c r="L13" s="50">
        <f>+IF($E13&lt;&gt;"",($J$20-J13)/1024,"")</f>
        <v>4040</v>
      </c>
      <c r="N13" s="18"/>
      <c r="O13" t="s">
        <v>29</v>
      </c>
    </row>
    <row r="14" spans="1:20" x14ac:dyDescent="0.25">
      <c r="A14" s="13" t="str">
        <f t="shared" si="0"/>
        <v>otadata</v>
      </c>
      <c r="B14" s="6">
        <f t="shared" si="1"/>
        <v>57344</v>
      </c>
      <c r="C14" s="6">
        <f t="shared" si="1"/>
        <v>8192</v>
      </c>
      <c r="D14" s="24">
        <f t="shared" ref="D14:D19" si="3">+IF($A14&lt;&gt;"",+B14+C14,"")</f>
        <v>65536</v>
      </c>
      <c r="E14" s="34" t="s">
        <v>9</v>
      </c>
      <c r="F14" s="30" t="s">
        <v>6</v>
      </c>
      <c r="G14" s="6" t="s">
        <v>10</v>
      </c>
      <c r="H14" s="41">
        <f t="shared" ref="H14:H19" si="4">+IF($E14&lt;&gt;"",+J13,"")</f>
        <v>57344</v>
      </c>
      <c r="I14" s="26">
        <f>+IF($E14&lt;&gt;"",+C14,"")</f>
        <v>8192</v>
      </c>
      <c r="J14" s="43">
        <f t="shared" ref="J14:J19" si="5">+IF($E14&lt;&gt;"",+H14+I14,"")</f>
        <v>65536</v>
      </c>
      <c r="K14" s="50">
        <f t="shared" si="2"/>
        <v>8</v>
      </c>
      <c r="L14" s="50">
        <f>+IF($E14&lt;&gt;"",($J$20-J14)/1024,"")</f>
        <v>4032</v>
      </c>
      <c r="N14" s="44"/>
      <c r="O14" t="s">
        <v>33</v>
      </c>
    </row>
    <row r="15" spans="1:20" x14ac:dyDescent="0.25">
      <c r="A15" s="13" t="str">
        <f t="shared" si="0"/>
        <v>app0</v>
      </c>
      <c r="B15" s="6">
        <f t="shared" si="1"/>
        <v>65536</v>
      </c>
      <c r="C15" s="6">
        <f t="shared" si="1"/>
        <v>1310720</v>
      </c>
      <c r="D15" s="24">
        <f t="shared" si="3"/>
        <v>1376256</v>
      </c>
      <c r="E15" s="34" t="s">
        <v>35</v>
      </c>
      <c r="F15" s="30" t="s">
        <v>14</v>
      </c>
      <c r="G15" s="6" t="s">
        <v>15</v>
      </c>
      <c r="H15" s="41">
        <f t="shared" si="4"/>
        <v>65536</v>
      </c>
      <c r="I15" s="45">
        <f>0.875*1024*1024</f>
        <v>917504</v>
      </c>
      <c r="J15" s="43">
        <f t="shared" si="5"/>
        <v>983040</v>
      </c>
      <c r="K15" s="50">
        <f t="shared" si="2"/>
        <v>896</v>
      </c>
      <c r="L15" s="50">
        <f t="shared" ref="L15:L19" si="6">+IF($E15&lt;&gt;"",($J$20-J15)/1024,"")</f>
        <v>3136</v>
      </c>
      <c r="N15" s="46"/>
      <c r="O15" t="s">
        <v>34</v>
      </c>
    </row>
    <row r="16" spans="1:20" x14ac:dyDescent="0.25">
      <c r="A16" s="13" t="str">
        <f t="shared" si="0"/>
        <v>app1</v>
      </c>
      <c r="B16" s="6">
        <f t="shared" si="1"/>
        <v>1376256</v>
      </c>
      <c r="C16" s="6">
        <f t="shared" si="1"/>
        <v>1310720</v>
      </c>
      <c r="D16" s="24">
        <f t="shared" si="3"/>
        <v>2686976</v>
      </c>
      <c r="E16" s="35" t="s">
        <v>14</v>
      </c>
      <c r="F16" s="31" t="s">
        <v>14</v>
      </c>
      <c r="G16" s="27" t="s">
        <v>24</v>
      </c>
      <c r="H16" s="41">
        <f t="shared" si="4"/>
        <v>983040</v>
      </c>
      <c r="I16" s="45">
        <f>3*1024*1024-14*1024</f>
        <v>3131392</v>
      </c>
      <c r="J16" s="43">
        <f t="shared" si="5"/>
        <v>4114432</v>
      </c>
      <c r="K16" s="50">
        <f t="shared" si="2"/>
        <v>3058</v>
      </c>
      <c r="L16" s="50">
        <f t="shared" si="6"/>
        <v>78</v>
      </c>
    </row>
    <row r="17" spans="1:17" x14ac:dyDescent="0.25">
      <c r="A17" s="13" t="str">
        <f t="shared" si="0"/>
        <v>spiffs</v>
      </c>
      <c r="B17" s="6">
        <f t="shared" si="1"/>
        <v>2686976</v>
      </c>
      <c r="C17" s="6">
        <f t="shared" si="1"/>
        <v>1507328</v>
      </c>
      <c r="D17" s="24">
        <f t="shared" si="3"/>
        <v>4194304</v>
      </c>
      <c r="E17" s="35" t="s">
        <v>36</v>
      </c>
      <c r="F17" s="31">
        <v>32</v>
      </c>
      <c r="G17" s="27">
        <v>32</v>
      </c>
      <c r="H17" s="41">
        <f t="shared" si="4"/>
        <v>4114432</v>
      </c>
      <c r="I17" s="45">
        <f>24*1024</f>
        <v>24576</v>
      </c>
      <c r="J17" s="43">
        <f t="shared" si="5"/>
        <v>4139008</v>
      </c>
      <c r="K17" s="50">
        <f t="shared" si="2"/>
        <v>24</v>
      </c>
      <c r="L17" s="50">
        <f t="shared" si="6"/>
        <v>54</v>
      </c>
    </row>
    <row r="18" spans="1:17" x14ac:dyDescent="0.25">
      <c r="A18" s="13" t="str">
        <f t="shared" si="0"/>
        <v/>
      </c>
      <c r="B18" s="6" t="str">
        <f t="shared" si="1"/>
        <v/>
      </c>
      <c r="C18" s="6" t="str">
        <f t="shared" si="1"/>
        <v/>
      </c>
      <c r="D18" s="24" t="str">
        <f>+IF($A18&lt;&gt;"",+B18+C18,"")</f>
        <v/>
      </c>
      <c r="E18" s="35" t="s">
        <v>37</v>
      </c>
      <c r="F18" s="31" t="s">
        <v>6</v>
      </c>
      <c r="G18" s="27" t="s">
        <v>38</v>
      </c>
      <c r="H18" s="41">
        <f t="shared" si="4"/>
        <v>4139008</v>
      </c>
      <c r="I18" s="45">
        <f>1024*1024/16/16</f>
        <v>4096</v>
      </c>
      <c r="J18" s="43">
        <f t="shared" si="5"/>
        <v>4143104</v>
      </c>
      <c r="K18" s="50">
        <f t="shared" si="2"/>
        <v>4</v>
      </c>
      <c r="L18" s="50">
        <f t="shared" si="6"/>
        <v>50</v>
      </c>
    </row>
    <row r="19" spans="1:17" ht="15.75" thickBot="1" x14ac:dyDescent="0.3">
      <c r="A19" s="15" t="str">
        <f t="shared" si="0"/>
        <v/>
      </c>
      <c r="B19" s="16" t="str">
        <f t="shared" si="1"/>
        <v/>
      </c>
      <c r="C19" s="16" t="str">
        <f t="shared" si="1"/>
        <v/>
      </c>
      <c r="D19" s="25" t="str">
        <f t="shared" si="3"/>
        <v/>
      </c>
      <c r="E19" s="36" t="s">
        <v>18</v>
      </c>
      <c r="F19" s="32" t="s">
        <v>6</v>
      </c>
      <c r="G19" s="16" t="s">
        <v>18</v>
      </c>
      <c r="H19" s="47">
        <f t="shared" si="4"/>
        <v>4143104</v>
      </c>
      <c r="I19" s="49">
        <f>50*1024</f>
        <v>51200</v>
      </c>
      <c r="J19" s="48">
        <f t="shared" si="5"/>
        <v>4194304</v>
      </c>
      <c r="K19" s="50">
        <f t="shared" si="2"/>
        <v>50</v>
      </c>
      <c r="L19" s="50">
        <f t="shared" si="6"/>
        <v>0</v>
      </c>
      <c r="Q19" s="19"/>
    </row>
    <row r="20" spans="1:17" x14ac:dyDescent="0.25">
      <c r="J20" s="1">
        <f>4*1024*1024</f>
        <v>4194304</v>
      </c>
      <c r="K20" s="19">
        <f>SUM(K13:K19)+H13/1024</f>
        <v>4096</v>
      </c>
      <c r="Q20" s="19"/>
    </row>
    <row r="21" spans="1:17" ht="15.75" thickBot="1" x14ac:dyDescent="0.3">
      <c r="K21" s="19"/>
    </row>
    <row r="22" spans="1:17" ht="15.75" thickBot="1" x14ac:dyDescent="0.3">
      <c r="A22" s="7" t="s">
        <v>22</v>
      </c>
      <c r="B22" s="8" t="s">
        <v>1</v>
      </c>
      <c r="C22" s="8" t="s">
        <v>2</v>
      </c>
      <c r="D22" s="8" t="s">
        <v>3</v>
      </c>
      <c r="E22" s="8" t="s">
        <v>4</v>
      </c>
      <c r="F22" s="9" t="s">
        <v>0</v>
      </c>
      <c r="H22" s="40"/>
      <c r="I22" s="40"/>
      <c r="J22" s="40"/>
      <c r="K22" s="40"/>
    </row>
    <row r="23" spans="1:17" x14ac:dyDescent="0.25">
      <c r="A23" s="10" t="str">
        <f t="shared" ref="A23:A29" si="7">+IF(E13&lt;&gt;"",E13,"")</f>
        <v>nvs</v>
      </c>
      <c r="B23" s="11" t="str">
        <f t="shared" ref="B23:C29" si="8">+IF($A23&lt;&gt;"",F13,"")</f>
        <v>data</v>
      </c>
      <c r="C23" s="11" t="str">
        <f t="shared" si="8"/>
        <v>nvs</v>
      </c>
      <c r="D23" s="11" t="str">
        <f t="shared" ref="D23:E29" si="9">+IF($A23&lt;&gt;"",CONCATENATE("0x",DEC2HEX(H13,6)),"")</f>
        <v>0x009000</v>
      </c>
      <c r="E23" s="11" t="str">
        <f t="shared" si="9"/>
        <v>0x005000</v>
      </c>
      <c r="F23" s="12"/>
      <c r="H23" s="40">
        <f>+L19*1024*1024</f>
        <v>0</v>
      </c>
      <c r="I23" s="40"/>
      <c r="J23" s="40"/>
      <c r="K23" s="40"/>
    </row>
    <row r="24" spans="1:17" x14ac:dyDescent="0.25">
      <c r="A24" s="13" t="str">
        <f t="shared" si="7"/>
        <v>otadata</v>
      </c>
      <c r="B24" s="6" t="str">
        <f t="shared" si="8"/>
        <v>data</v>
      </c>
      <c r="C24" s="6" t="str">
        <f t="shared" si="8"/>
        <v>ota</v>
      </c>
      <c r="D24" s="6" t="str">
        <f t="shared" si="9"/>
        <v>0x00E000</v>
      </c>
      <c r="E24" s="6" t="str">
        <f t="shared" si="9"/>
        <v>0x002000</v>
      </c>
      <c r="F24" s="14"/>
      <c r="H24" s="40"/>
      <c r="I24" s="40"/>
      <c r="J24" s="40"/>
      <c r="K24" s="40"/>
    </row>
    <row r="25" spans="1:17" x14ac:dyDescent="0.25">
      <c r="A25" s="13" t="str">
        <f t="shared" si="7"/>
        <v>Loader</v>
      </c>
      <c r="B25" s="6" t="str">
        <f t="shared" si="8"/>
        <v>app</v>
      </c>
      <c r="C25" s="6" t="str">
        <f t="shared" si="8"/>
        <v>ota_0</v>
      </c>
      <c r="D25" s="6" t="str">
        <f t="shared" si="9"/>
        <v>0x010000</v>
      </c>
      <c r="E25" s="6" t="str">
        <f t="shared" si="9"/>
        <v>0x0E0000</v>
      </c>
      <c r="F25" s="14"/>
      <c r="H25" s="40"/>
      <c r="I25" s="40"/>
      <c r="J25" s="40"/>
      <c r="K25" s="40"/>
    </row>
    <row r="26" spans="1:17" x14ac:dyDescent="0.25">
      <c r="A26" s="13" t="str">
        <f t="shared" si="7"/>
        <v>app</v>
      </c>
      <c r="B26" s="6" t="str">
        <f t="shared" si="8"/>
        <v>app</v>
      </c>
      <c r="C26" s="6" t="str">
        <f t="shared" si="8"/>
        <v>ota_1</v>
      </c>
      <c r="D26" s="6" t="str">
        <f t="shared" si="9"/>
        <v>0x0F0000</v>
      </c>
      <c r="E26" s="6" t="str">
        <f t="shared" si="9"/>
        <v>0x2FC800</v>
      </c>
      <c r="F26" s="14"/>
      <c r="H26" s="40">
        <f>13*64/1024</f>
        <v>0.8125</v>
      </c>
      <c r="I26" s="40"/>
      <c r="J26" s="40"/>
      <c r="K26" s="40"/>
    </row>
    <row r="27" spans="1:17" x14ac:dyDescent="0.25">
      <c r="A27" s="13" t="str">
        <f t="shared" si="7"/>
        <v>fr</v>
      </c>
      <c r="B27" s="6">
        <f t="shared" si="8"/>
        <v>32</v>
      </c>
      <c r="C27" s="6">
        <f t="shared" si="8"/>
        <v>32</v>
      </c>
      <c r="D27" s="6" t="str">
        <f t="shared" si="9"/>
        <v>0x3EC800</v>
      </c>
      <c r="E27" s="6" t="str">
        <f t="shared" si="9"/>
        <v>0x006000</v>
      </c>
      <c r="F27" s="14"/>
      <c r="H27" s="40"/>
      <c r="I27" s="40"/>
      <c r="J27" s="40"/>
      <c r="K27" s="40"/>
    </row>
    <row r="28" spans="1:17" x14ac:dyDescent="0.25">
      <c r="A28" s="13" t="str">
        <f t="shared" si="7"/>
        <v>eeprom</v>
      </c>
      <c r="B28" s="6" t="str">
        <f t="shared" si="8"/>
        <v>data</v>
      </c>
      <c r="C28" s="6" t="str">
        <f t="shared" si="8"/>
        <v>0x99</v>
      </c>
      <c r="D28" s="6" t="str">
        <f t="shared" si="9"/>
        <v>0x3F2800</v>
      </c>
      <c r="E28" s="6" t="str">
        <f t="shared" si="9"/>
        <v>0x001000</v>
      </c>
      <c r="F28" s="14"/>
      <c r="H28" s="40"/>
      <c r="I28" s="40"/>
      <c r="J28" s="40"/>
      <c r="K28" s="40"/>
    </row>
    <row r="29" spans="1:17" ht="15.75" thickBot="1" x14ac:dyDescent="0.3">
      <c r="A29" s="15" t="str">
        <f t="shared" si="7"/>
        <v>spiffs</v>
      </c>
      <c r="B29" s="16" t="str">
        <f t="shared" si="8"/>
        <v>data</v>
      </c>
      <c r="C29" s="16" t="str">
        <f t="shared" si="8"/>
        <v>spiffs</v>
      </c>
      <c r="D29" s="16" t="str">
        <f t="shared" si="9"/>
        <v>0x3F3800</v>
      </c>
      <c r="E29" s="16" t="str">
        <f t="shared" si="9"/>
        <v>0x00C800</v>
      </c>
      <c r="F29" s="17"/>
      <c r="H29" s="40"/>
      <c r="I29" s="40"/>
      <c r="J29" s="40"/>
      <c r="K29" s="40"/>
    </row>
    <row r="30" spans="1:17" x14ac:dyDescent="0.25">
      <c r="H30" s="40"/>
      <c r="I30" s="40"/>
      <c r="J30" s="40"/>
      <c r="K30" s="40"/>
    </row>
    <row r="31" spans="1:17" x14ac:dyDescent="0.25">
      <c r="H31" s="40"/>
      <c r="I31" s="40"/>
      <c r="J31" s="40"/>
      <c r="K31" s="40"/>
    </row>
    <row r="32" spans="1:17" x14ac:dyDescent="0.25">
      <c r="H32" s="40"/>
      <c r="I32" s="40"/>
      <c r="J32" s="40"/>
      <c r="K32" s="40"/>
    </row>
    <row r="33" spans="1:11" x14ac:dyDescent="0.25">
      <c r="A33" t="str">
        <f>+CONCATENATE(A22,", ",B22,", ",C22,", ",D22,", ",E22,", ",F22)</f>
        <v># Name, Type, SubType, Offset, Size, Flags</v>
      </c>
      <c r="H33" s="40"/>
      <c r="J33" s="40"/>
      <c r="K33" s="40"/>
    </row>
    <row r="34" spans="1:11" x14ac:dyDescent="0.25">
      <c r="A34" t="str">
        <f t="shared" ref="A34:A40" si="10">+CONCATENATE(A23,", ",B23,", ",C23,", ",D23,", ",E23,", ",F23)</f>
        <v xml:space="preserve">nvs, data, nvs, 0x009000, 0x005000, </v>
      </c>
      <c r="H34" s="40"/>
      <c r="J34" s="40"/>
      <c r="K34" s="40"/>
    </row>
    <row r="35" spans="1:11" x14ac:dyDescent="0.25">
      <c r="A35" t="str">
        <f t="shared" si="10"/>
        <v xml:space="preserve">otadata, data, ota, 0x00E000, 0x002000, </v>
      </c>
      <c r="H35" s="40"/>
      <c r="J35" s="40"/>
      <c r="K35" s="40"/>
    </row>
    <row r="36" spans="1:11" x14ac:dyDescent="0.25">
      <c r="A36" t="str">
        <f t="shared" si="10"/>
        <v xml:space="preserve">Loader, app, ota_0, 0x010000, 0x0E0000, </v>
      </c>
      <c r="H36" s="40"/>
      <c r="J36" s="40"/>
      <c r="K36" s="40"/>
    </row>
    <row r="37" spans="1:11" x14ac:dyDescent="0.25">
      <c r="A37" t="str">
        <f t="shared" si="10"/>
        <v xml:space="preserve">app, app, ota_1, 0x0F0000, 0x2FC800, </v>
      </c>
      <c r="H37" s="40"/>
      <c r="J37" s="40"/>
      <c r="K37" s="40"/>
    </row>
    <row r="38" spans="1:11" x14ac:dyDescent="0.25">
      <c r="A38" t="str">
        <f t="shared" si="10"/>
        <v xml:space="preserve">fr, 32, 32, 0x3EC800, 0x006000, </v>
      </c>
      <c r="H38" s="40"/>
      <c r="J38" s="40"/>
      <c r="K38" s="40"/>
    </row>
    <row r="39" spans="1:11" x14ac:dyDescent="0.25">
      <c r="A39" t="str">
        <f t="shared" si="10"/>
        <v xml:space="preserve">eeprom, data, 0x99, 0x3F2800, 0x001000, </v>
      </c>
      <c r="H39" s="40"/>
      <c r="J39" s="40"/>
      <c r="K39" s="40"/>
    </row>
    <row r="40" spans="1:11" x14ac:dyDescent="0.25">
      <c r="A40" t="str">
        <f t="shared" si="10"/>
        <v xml:space="preserve">spiffs, data, spiffs, 0x3F3800, 0x00C800, </v>
      </c>
      <c r="H40" s="40"/>
      <c r="J40" s="40"/>
      <c r="K40" s="40"/>
    </row>
    <row r="41" spans="1:11" x14ac:dyDescent="0.25">
      <c r="H41" s="40"/>
      <c r="I41" s="40"/>
      <c r="J41" s="40"/>
      <c r="K41" s="40"/>
    </row>
    <row r="42" spans="1:11" x14ac:dyDescent="0.25">
      <c r="H42" s="40"/>
      <c r="I42" s="40"/>
      <c r="J42" s="40"/>
      <c r="K42" s="40"/>
    </row>
    <row r="43" spans="1:11" x14ac:dyDescent="0.25">
      <c r="H43" s="40"/>
      <c r="I43" s="40"/>
      <c r="J43" s="40"/>
      <c r="K43" s="40"/>
    </row>
    <row r="44" spans="1:11" x14ac:dyDescent="0.25">
      <c r="H44" s="40"/>
      <c r="I44" s="40"/>
      <c r="J44" s="40"/>
      <c r="K44" s="40"/>
    </row>
  </sheetData>
  <mergeCells count="2">
    <mergeCell ref="A11:D11"/>
    <mergeCell ref="E11:J1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0F0D-4BA8-4CB5-ABCA-0D781BC6C59C}">
  <dimension ref="A1:U44"/>
  <sheetViews>
    <sheetView tabSelected="1" workbookViewId="0">
      <selection activeCell="J15" sqref="J15"/>
    </sheetView>
  </sheetViews>
  <sheetFormatPr baseColWidth="10" defaultRowHeight="15" x14ac:dyDescent="0.25"/>
  <cols>
    <col min="7" max="7" width="11.85546875" bestFit="1" customWidth="1"/>
    <col min="17" max="17" width="11.85546875" bestFit="1" customWidth="1"/>
  </cols>
  <sheetData>
    <row r="1" spans="1:21" ht="15.75" thickBot="1" x14ac:dyDescent="0.3">
      <c r="A1" s="7" t="s">
        <v>27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0</v>
      </c>
      <c r="P1" t="s">
        <v>22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</row>
    <row r="2" spans="1:21" x14ac:dyDescent="0.25">
      <c r="A2" s="10" t="s">
        <v>5</v>
      </c>
      <c r="B2" s="11" t="s">
        <v>6</v>
      </c>
      <c r="C2" s="11" t="s">
        <v>5</v>
      </c>
      <c r="D2" s="11" t="s">
        <v>107</v>
      </c>
      <c r="E2" s="11" t="s">
        <v>8</v>
      </c>
      <c r="F2" s="12"/>
      <c r="P2" t="s">
        <v>5</v>
      </c>
      <c r="Q2" t="s">
        <v>89</v>
      </c>
      <c r="R2" t="s">
        <v>90</v>
      </c>
      <c r="S2" t="s">
        <v>91</v>
      </c>
      <c r="T2" t="s">
        <v>92</v>
      </c>
      <c r="U2" t="s">
        <v>93</v>
      </c>
    </row>
    <row r="3" spans="1:21" x14ac:dyDescent="0.25">
      <c r="A3" s="13" t="s">
        <v>9</v>
      </c>
      <c r="B3" s="6" t="s">
        <v>6</v>
      </c>
      <c r="C3" s="6" t="s">
        <v>10</v>
      </c>
      <c r="D3" s="6" t="s">
        <v>11</v>
      </c>
      <c r="E3" s="6" t="s">
        <v>12</v>
      </c>
      <c r="F3" s="14"/>
      <c r="I3" t="s">
        <v>114</v>
      </c>
      <c r="J3" t="s">
        <v>115</v>
      </c>
      <c r="P3" t="s">
        <v>9</v>
      </c>
      <c r="Q3" t="s">
        <v>89</v>
      </c>
      <c r="R3" t="s">
        <v>94</v>
      </c>
      <c r="S3" t="s">
        <v>95</v>
      </c>
      <c r="T3" t="s">
        <v>96</v>
      </c>
      <c r="U3" t="s">
        <v>93</v>
      </c>
    </row>
    <row r="4" spans="1:21" x14ac:dyDescent="0.25">
      <c r="A4" s="13" t="s">
        <v>13</v>
      </c>
      <c r="B4" s="6" t="s">
        <v>14</v>
      </c>
      <c r="C4" s="6" t="s">
        <v>15</v>
      </c>
      <c r="D4" s="6" t="s">
        <v>108</v>
      </c>
      <c r="E4" s="6" t="s">
        <v>112</v>
      </c>
      <c r="F4" s="14"/>
      <c r="P4" t="s">
        <v>35</v>
      </c>
      <c r="Q4" t="s">
        <v>97</v>
      </c>
      <c r="R4" t="s">
        <v>98</v>
      </c>
      <c r="S4" t="s">
        <v>99</v>
      </c>
      <c r="T4" t="s">
        <v>100</v>
      </c>
      <c r="U4" t="s">
        <v>93</v>
      </c>
    </row>
    <row r="5" spans="1:21" x14ac:dyDescent="0.25">
      <c r="A5" s="13" t="s">
        <v>23</v>
      </c>
      <c r="B5" s="6" t="s">
        <v>14</v>
      </c>
      <c r="C5" s="6" t="s">
        <v>24</v>
      </c>
      <c r="D5" s="6" t="s">
        <v>109</v>
      </c>
      <c r="E5" s="6" t="s">
        <v>113</v>
      </c>
      <c r="F5" s="14"/>
      <c r="P5" t="s">
        <v>14</v>
      </c>
      <c r="Q5" t="s">
        <v>97</v>
      </c>
      <c r="R5" t="s">
        <v>101</v>
      </c>
      <c r="S5" t="s">
        <v>102</v>
      </c>
      <c r="T5" t="s">
        <v>103</v>
      </c>
      <c r="U5" t="s">
        <v>93</v>
      </c>
    </row>
    <row r="6" spans="1:21" x14ac:dyDescent="0.25">
      <c r="A6" s="13" t="s">
        <v>18</v>
      </c>
      <c r="B6" s="6" t="s">
        <v>6</v>
      </c>
      <c r="C6" s="6" t="s">
        <v>18</v>
      </c>
      <c r="D6" s="6" t="s">
        <v>110</v>
      </c>
      <c r="E6" s="6" t="s">
        <v>111</v>
      </c>
      <c r="F6" s="14"/>
      <c r="P6" t="s">
        <v>18</v>
      </c>
      <c r="Q6" t="s">
        <v>89</v>
      </c>
      <c r="R6" t="s">
        <v>104</v>
      </c>
      <c r="S6" t="s">
        <v>105</v>
      </c>
      <c r="T6" t="s">
        <v>106</v>
      </c>
    </row>
    <row r="7" spans="1:21" x14ac:dyDescent="0.25">
      <c r="A7" s="13"/>
      <c r="B7" s="6"/>
      <c r="C7" s="6"/>
      <c r="D7" s="6"/>
      <c r="E7" s="6"/>
      <c r="F7" s="14"/>
    </row>
    <row r="8" spans="1:21" ht="15.75" thickBot="1" x14ac:dyDescent="0.3">
      <c r="A8" s="15"/>
      <c r="B8" s="16"/>
      <c r="C8" s="16"/>
      <c r="D8" s="16"/>
      <c r="E8" s="16"/>
      <c r="F8" s="17"/>
    </row>
    <row r="9" spans="1:21" x14ac:dyDescent="0.25">
      <c r="A9" s="5"/>
      <c r="B9" s="5"/>
      <c r="C9" s="5"/>
      <c r="D9" s="5"/>
      <c r="E9" s="5"/>
      <c r="F9" s="5"/>
      <c r="S9">
        <f>+IF($A13&lt;&gt;"",HEX2DEC(RIGHT(S2,+LEN(D2)-2)),"")</f>
        <v>36864</v>
      </c>
    </row>
    <row r="10" spans="1:21" ht="15.75" thickBot="1" x14ac:dyDescent="0.3"/>
    <row r="11" spans="1:21" ht="15.75" thickBot="1" x14ac:dyDescent="0.3">
      <c r="A11" s="55" t="s">
        <v>31</v>
      </c>
      <c r="B11" s="56"/>
      <c r="C11" s="56"/>
      <c r="D11" s="57"/>
      <c r="E11" s="58" t="s">
        <v>30</v>
      </c>
      <c r="F11" s="59"/>
      <c r="G11" s="59"/>
      <c r="H11" s="59"/>
      <c r="I11" s="59"/>
      <c r="J11" s="59"/>
      <c r="K11" s="60"/>
    </row>
    <row r="12" spans="1:21" ht="15.75" thickBot="1" x14ac:dyDescent="0.3">
      <c r="A12" s="20"/>
      <c r="B12" s="21" t="s">
        <v>19</v>
      </c>
      <c r="C12" s="21" t="s">
        <v>20</v>
      </c>
      <c r="D12" s="22" t="s">
        <v>21</v>
      </c>
      <c r="E12" s="3"/>
      <c r="F12" s="2" t="s">
        <v>1</v>
      </c>
      <c r="G12" s="37" t="s">
        <v>2</v>
      </c>
      <c r="H12" s="3" t="s">
        <v>19</v>
      </c>
      <c r="I12" s="59" t="s">
        <v>20</v>
      </c>
      <c r="J12" s="59"/>
      <c r="K12" s="4" t="s">
        <v>21</v>
      </c>
      <c r="L12" t="s">
        <v>39</v>
      </c>
      <c r="M12" t="s">
        <v>40</v>
      </c>
      <c r="O12" s="39"/>
      <c r="P12" t="s">
        <v>32</v>
      </c>
    </row>
    <row r="13" spans="1:21" x14ac:dyDescent="0.25">
      <c r="A13" s="10" t="str">
        <f t="shared" ref="A13:A19" si="0">IF(A2&lt;&gt;"",+A2,"")</f>
        <v>nvs</v>
      </c>
      <c r="B13" s="11">
        <f t="shared" ref="B13:C19" si="1">+IF($A13&lt;&gt;"",HEX2DEC(RIGHT(D2,+LEN(D2)-2)),"")</f>
        <v>36864</v>
      </c>
      <c r="C13" s="11">
        <f t="shared" si="1"/>
        <v>20480</v>
      </c>
      <c r="D13" s="23">
        <f>+IF($A13&lt;&gt;"",+B13+C13,"")</f>
        <v>57344</v>
      </c>
      <c r="E13" s="33" t="s">
        <v>5</v>
      </c>
      <c r="F13" s="29" t="s">
        <v>6</v>
      </c>
      <c r="G13" s="11" t="s">
        <v>5</v>
      </c>
      <c r="H13" s="38">
        <f>+IF($E13&lt;&gt;"",+B13,"")</f>
        <v>36864</v>
      </c>
      <c r="I13" s="28">
        <f>+IF($E13&lt;&gt;"",+C13,"")/1024</f>
        <v>20</v>
      </c>
      <c r="J13" s="28">
        <f>+I13*1024</f>
        <v>20480</v>
      </c>
      <c r="K13" s="42">
        <f>+IF($E13&lt;&gt;"",+H13+J13,"")</f>
        <v>57344</v>
      </c>
      <c r="L13" s="50">
        <f t="shared" ref="L13:L19" si="2">+J13/1024</f>
        <v>20</v>
      </c>
      <c r="M13" s="50">
        <f>+IF($E13&lt;&gt;"",($K$20-K13)/1024,"")</f>
        <v>4040</v>
      </c>
      <c r="O13" s="18"/>
      <c r="P13" t="s">
        <v>29</v>
      </c>
    </row>
    <row r="14" spans="1:21" x14ac:dyDescent="0.25">
      <c r="A14" s="13" t="str">
        <f t="shared" si="0"/>
        <v>otadata</v>
      </c>
      <c r="B14" s="6">
        <f t="shared" si="1"/>
        <v>57344</v>
      </c>
      <c r="C14" s="6">
        <f t="shared" si="1"/>
        <v>8192</v>
      </c>
      <c r="D14" s="24">
        <f t="shared" ref="D14:D19" si="3">+IF($A14&lt;&gt;"",+B14+C14,"")</f>
        <v>65536</v>
      </c>
      <c r="E14" s="34" t="s">
        <v>9</v>
      </c>
      <c r="F14" s="30" t="s">
        <v>6</v>
      </c>
      <c r="G14" s="6" t="s">
        <v>10</v>
      </c>
      <c r="H14" s="41">
        <f t="shared" ref="H14:H19" si="4">+IF($E14&lt;&gt;"",+K13,"")</f>
        <v>57344</v>
      </c>
      <c r="I14" s="26">
        <f>+IF($E14&lt;&gt;"",+C14,"")/1024</f>
        <v>8</v>
      </c>
      <c r="J14" s="26">
        <f>+I14*1024</f>
        <v>8192</v>
      </c>
      <c r="K14" s="43">
        <f t="shared" ref="K14:K19" si="5">+IF($E14&lt;&gt;"",+H14+J14,"")</f>
        <v>65536</v>
      </c>
      <c r="L14" s="50">
        <f t="shared" si="2"/>
        <v>8</v>
      </c>
      <c r="M14" s="50">
        <f>+IF($E14&lt;&gt;"",($K$20-K14)/1024,"")</f>
        <v>4032</v>
      </c>
      <c r="O14" s="44"/>
      <c r="P14" t="s">
        <v>33</v>
      </c>
    </row>
    <row r="15" spans="1:21" x14ac:dyDescent="0.25">
      <c r="A15" s="13" t="str">
        <f t="shared" si="0"/>
        <v>app0</v>
      </c>
      <c r="B15" s="6">
        <f t="shared" si="1"/>
        <v>65536</v>
      </c>
      <c r="C15" s="6">
        <f t="shared" si="1"/>
        <v>917504</v>
      </c>
      <c r="D15" s="24">
        <f t="shared" si="3"/>
        <v>983040</v>
      </c>
      <c r="E15" s="34" t="s">
        <v>35</v>
      </c>
      <c r="F15" s="30" t="s">
        <v>14</v>
      </c>
      <c r="G15" s="6" t="s">
        <v>15</v>
      </c>
      <c r="H15" s="41">
        <f t="shared" si="4"/>
        <v>65536</v>
      </c>
      <c r="I15" s="45">
        <f>15*64</f>
        <v>960</v>
      </c>
      <c r="J15" s="45">
        <f>+I15*1024</f>
        <v>983040</v>
      </c>
      <c r="K15" s="43">
        <f t="shared" si="5"/>
        <v>1048576</v>
      </c>
      <c r="L15" s="50">
        <f t="shared" si="2"/>
        <v>960</v>
      </c>
      <c r="M15" s="50">
        <f t="shared" ref="M15:M19" si="6">+IF($E15&lt;&gt;"",($K$20-K15)/1024,"")</f>
        <v>3072</v>
      </c>
      <c r="O15" s="46"/>
      <c r="P15" t="s">
        <v>34</v>
      </c>
    </row>
    <row r="16" spans="1:21" x14ac:dyDescent="0.25">
      <c r="A16" s="13" t="str">
        <f t="shared" si="0"/>
        <v>app1</v>
      </c>
      <c r="B16" s="6">
        <f t="shared" si="1"/>
        <v>983040</v>
      </c>
      <c r="C16" s="6">
        <f t="shared" si="1"/>
        <v>3160064</v>
      </c>
      <c r="D16" s="24">
        <f t="shared" si="3"/>
        <v>4143104</v>
      </c>
      <c r="E16" s="35" t="s">
        <v>14</v>
      </c>
      <c r="F16" s="31" t="s">
        <v>14</v>
      </c>
      <c r="G16" s="27" t="s">
        <v>24</v>
      </c>
      <c r="H16" s="41">
        <f t="shared" si="4"/>
        <v>1048576</v>
      </c>
      <c r="I16" s="45">
        <f>46*64</f>
        <v>2944</v>
      </c>
      <c r="J16" s="45">
        <f>+I16*1024</f>
        <v>3014656</v>
      </c>
      <c r="K16" s="43">
        <f t="shared" si="5"/>
        <v>4063232</v>
      </c>
      <c r="L16" s="50">
        <f t="shared" si="2"/>
        <v>2944</v>
      </c>
      <c r="M16" s="50">
        <f t="shared" si="6"/>
        <v>128</v>
      </c>
    </row>
    <row r="17" spans="1:18" x14ac:dyDescent="0.25">
      <c r="A17" s="13" t="str">
        <f t="shared" si="0"/>
        <v>spiffs</v>
      </c>
      <c r="B17" s="6">
        <f t="shared" si="1"/>
        <v>4143104</v>
      </c>
      <c r="C17" s="6">
        <f t="shared" si="1"/>
        <v>51200</v>
      </c>
      <c r="D17" s="24">
        <f t="shared" si="3"/>
        <v>4194304</v>
      </c>
      <c r="E17" s="35" t="s">
        <v>18</v>
      </c>
      <c r="F17" s="31" t="s">
        <v>6</v>
      </c>
      <c r="G17" s="27" t="s">
        <v>18</v>
      </c>
      <c r="H17" s="41">
        <f t="shared" si="4"/>
        <v>4063232</v>
      </c>
      <c r="I17" s="45">
        <f>2*64</f>
        <v>128</v>
      </c>
      <c r="J17" s="45">
        <f>+I17*1024</f>
        <v>131072</v>
      </c>
      <c r="K17" s="43">
        <f t="shared" si="5"/>
        <v>4194304</v>
      </c>
      <c r="L17" s="50">
        <f t="shared" si="2"/>
        <v>128</v>
      </c>
      <c r="M17" s="50">
        <f t="shared" si="6"/>
        <v>0</v>
      </c>
    </row>
    <row r="18" spans="1:18" x14ac:dyDescent="0.25">
      <c r="A18" s="13" t="str">
        <f t="shared" si="0"/>
        <v/>
      </c>
      <c r="B18" s="6" t="str">
        <f t="shared" si="1"/>
        <v/>
      </c>
      <c r="C18" s="6" t="str">
        <f t="shared" si="1"/>
        <v/>
      </c>
      <c r="D18" s="24" t="str">
        <f>+IF($A18&lt;&gt;"",+B18+C18,"")</f>
        <v/>
      </c>
      <c r="E18" s="35"/>
      <c r="F18" s="31"/>
      <c r="G18" s="27"/>
      <c r="H18" s="41" t="str">
        <f t="shared" si="4"/>
        <v/>
      </c>
      <c r="I18" s="45"/>
      <c r="J18" s="45"/>
      <c r="K18" s="43" t="str">
        <f t="shared" si="5"/>
        <v/>
      </c>
      <c r="L18" s="50">
        <f t="shared" si="2"/>
        <v>0</v>
      </c>
      <c r="M18" s="50" t="str">
        <f t="shared" si="6"/>
        <v/>
      </c>
    </row>
    <row r="19" spans="1:18" ht="15.75" thickBot="1" x14ac:dyDescent="0.3">
      <c r="A19" s="15" t="str">
        <f t="shared" si="0"/>
        <v/>
      </c>
      <c r="B19" s="16" t="str">
        <f t="shared" si="1"/>
        <v/>
      </c>
      <c r="C19" s="16" t="str">
        <f t="shared" si="1"/>
        <v/>
      </c>
      <c r="D19" s="25" t="str">
        <f t="shared" si="3"/>
        <v/>
      </c>
      <c r="E19" s="36"/>
      <c r="F19" s="32"/>
      <c r="G19" s="16"/>
      <c r="H19" s="47" t="str">
        <f t="shared" si="4"/>
        <v/>
      </c>
      <c r="I19" s="49"/>
      <c r="J19" s="49"/>
      <c r="K19" s="48" t="str">
        <f t="shared" si="5"/>
        <v/>
      </c>
      <c r="L19" s="50">
        <f t="shared" si="2"/>
        <v>0</v>
      </c>
      <c r="M19" s="50" t="str">
        <f t="shared" si="6"/>
        <v/>
      </c>
      <c r="R19" s="19"/>
    </row>
    <row r="20" spans="1:18" x14ac:dyDescent="0.25">
      <c r="C20" s="54"/>
      <c r="K20" s="1">
        <f>4*1024*1024</f>
        <v>4194304</v>
      </c>
      <c r="L20" s="19">
        <f>SUM(L13:L19)+H13/1024</f>
        <v>4096</v>
      </c>
      <c r="R20" s="19"/>
    </row>
    <row r="21" spans="1:18" ht="15.75" thickBot="1" x14ac:dyDescent="0.3">
      <c r="L21" s="19"/>
    </row>
    <row r="22" spans="1:18" ht="15.75" thickBot="1" x14ac:dyDescent="0.3">
      <c r="A22" s="7" t="s">
        <v>22</v>
      </c>
      <c r="B22" s="8" t="s">
        <v>1</v>
      </c>
      <c r="C22" s="8" t="s">
        <v>2</v>
      </c>
      <c r="D22" s="8" t="s">
        <v>3</v>
      </c>
      <c r="E22" s="8" t="s">
        <v>4</v>
      </c>
      <c r="F22" s="9" t="s">
        <v>0</v>
      </c>
      <c r="H22" s="40"/>
      <c r="I22" s="40"/>
      <c r="J22" s="40"/>
      <c r="K22" s="40"/>
      <c r="L22" s="40"/>
    </row>
    <row r="23" spans="1:18" x14ac:dyDescent="0.25">
      <c r="A23" s="10" t="str">
        <f t="shared" ref="A23:A29" si="7">+IF(E13&lt;&gt;"",E13,"")</f>
        <v>nvs</v>
      </c>
      <c r="B23" s="11" t="str">
        <f t="shared" ref="B23:C29" si="8">+IF($A23&lt;&gt;"",F13,"")</f>
        <v>data</v>
      </c>
      <c r="C23" s="11" t="str">
        <f t="shared" si="8"/>
        <v>nvs</v>
      </c>
      <c r="D23" s="11" t="str">
        <f t="shared" ref="D23:D29" si="9">+IF($A23&lt;&gt;"",CONCATENATE("0x",DEC2HEX(H13,6)),"")</f>
        <v>0x009000</v>
      </c>
      <c r="E23" s="11" t="str">
        <f t="shared" ref="E23:E29" si="10">+IF($A23&lt;&gt;"",CONCATENATE("0x",DEC2HEX(J13,6)),"")</f>
        <v>0x005000</v>
      </c>
      <c r="F23" s="12"/>
      <c r="H23" s="40">
        <f>+IF($E23&lt;&gt;"",HEX2DEC(RIGHT(E23,+LEN(E23)-2)),"")</f>
        <v>20480</v>
      </c>
      <c r="I23" s="40"/>
      <c r="J23" s="40"/>
      <c r="K23" s="40"/>
      <c r="L23" s="40"/>
    </row>
    <row r="24" spans="1:18" x14ac:dyDescent="0.25">
      <c r="A24" s="13" t="str">
        <f t="shared" si="7"/>
        <v>otadata</v>
      </c>
      <c r="B24" s="6" t="str">
        <f t="shared" si="8"/>
        <v>data</v>
      </c>
      <c r="C24" s="6" t="str">
        <f t="shared" si="8"/>
        <v>ota</v>
      </c>
      <c r="D24" s="6" t="str">
        <f t="shared" si="9"/>
        <v>0x00E000</v>
      </c>
      <c r="E24" s="6" t="str">
        <f t="shared" si="10"/>
        <v>0x002000</v>
      </c>
      <c r="F24" s="14"/>
      <c r="H24" s="40">
        <f t="shared" ref="H24:H27" si="11">+IF($E24&lt;&gt;"",HEX2DEC(RIGHT(E24,+LEN(E24)-2)),"")</f>
        <v>8192</v>
      </c>
      <c r="I24" s="40"/>
      <c r="J24" s="40"/>
      <c r="K24" s="40"/>
      <c r="L24" s="40"/>
    </row>
    <row r="25" spans="1:18" x14ac:dyDescent="0.25">
      <c r="A25" s="13" t="str">
        <f t="shared" si="7"/>
        <v>Loader</v>
      </c>
      <c r="B25" s="6" t="str">
        <f t="shared" si="8"/>
        <v>app</v>
      </c>
      <c r="C25" s="6" t="str">
        <f t="shared" si="8"/>
        <v>ota_0</v>
      </c>
      <c r="D25" s="6" t="str">
        <f t="shared" si="9"/>
        <v>0x010000</v>
      </c>
      <c r="E25" s="6" t="str">
        <f t="shared" si="10"/>
        <v>0x0F0000</v>
      </c>
      <c r="F25" s="14"/>
      <c r="H25" s="40">
        <f t="shared" si="11"/>
        <v>983040</v>
      </c>
      <c r="I25" s="40"/>
      <c r="J25" s="40"/>
      <c r="K25" s="40"/>
      <c r="L25" s="40"/>
    </row>
    <row r="26" spans="1:18" x14ac:dyDescent="0.25">
      <c r="A26" s="13" t="str">
        <f t="shared" si="7"/>
        <v>app</v>
      </c>
      <c r="B26" s="6" t="str">
        <f t="shared" si="8"/>
        <v>app</v>
      </c>
      <c r="C26" s="6" t="str">
        <f t="shared" si="8"/>
        <v>ota_1</v>
      </c>
      <c r="D26" s="6" t="str">
        <f t="shared" si="9"/>
        <v>0x100000</v>
      </c>
      <c r="E26" s="6" t="str">
        <f t="shared" si="10"/>
        <v>0x2E0000</v>
      </c>
      <c r="F26" s="14"/>
      <c r="H26" s="40">
        <f t="shared" si="11"/>
        <v>3014656</v>
      </c>
      <c r="I26" s="40"/>
      <c r="J26" s="40"/>
      <c r="K26" s="40"/>
      <c r="L26" s="40"/>
    </row>
    <row r="27" spans="1:18" x14ac:dyDescent="0.25">
      <c r="A27" s="13" t="str">
        <f t="shared" si="7"/>
        <v>spiffs</v>
      </c>
      <c r="B27" s="6" t="str">
        <f t="shared" si="8"/>
        <v>data</v>
      </c>
      <c r="C27" s="6" t="str">
        <f t="shared" si="8"/>
        <v>spiffs</v>
      </c>
      <c r="D27" s="6" t="str">
        <f t="shared" si="9"/>
        <v>0x3E0000</v>
      </c>
      <c r="E27" s="6" t="str">
        <f t="shared" si="10"/>
        <v>0x020000</v>
      </c>
      <c r="F27" s="14"/>
      <c r="H27" s="40">
        <f t="shared" si="11"/>
        <v>131072</v>
      </c>
      <c r="I27" s="40"/>
      <c r="J27" s="40"/>
      <c r="K27" s="40"/>
      <c r="L27" s="40"/>
      <c r="N27">
        <f>0.875*1024</f>
        <v>896</v>
      </c>
    </row>
    <row r="28" spans="1:18" x14ac:dyDescent="0.25">
      <c r="A28" s="13" t="str">
        <f t="shared" si="7"/>
        <v/>
      </c>
      <c r="B28" s="6" t="str">
        <f t="shared" si="8"/>
        <v/>
      </c>
      <c r="C28" s="6" t="str">
        <f t="shared" si="8"/>
        <v/>
      </c>
      <c r="D28" s="6" t="str">
        <f t="shared" si="9"/>
        <v/>
      </c>
      <c r="E28" s="6" t="str">
        <f t="shared" si="10"/>
        <v/>
      </c>
      <c r="F28" s="14"/>
      <c r="H28" s="40"/>
      <c r="I28">
        <v>4096</v>
      </c>
      <c r="J28" s="40"/>
      <c r="K28" s="40"/>
      <c r="L28" s="40"/>
      <c r="N28">
        <f>900*1024</f>
        <v>921600</v>
      </c>
    </row>
    <row r="29" spans="1:18" ht="15.75" thickBot="1" x14ac:dyDescent="0.3">
      <c r="A29" s="15" t="str">
        <f t="shared" si="7"/>
        <v/>
      </c>
      <c r="B29" s="16" t="str">
        <f t="shared" si="8"/>
        <v/>
      </c>
      <c r="C29" s="16" t="str">
        <f t="shared" si="8"/>
        <v/>
      </c>
      <c r="D29" s="16" t="str">
        <f t="shared" si="9"/>
        <v/>
      </c>
      <c r="E29" s="16" t="str">
        <f t="shared" si="10"/>
        <v/>
      </c>
      <c r="F29" s="17"/>
      <c r="H29" s="40"/>
      <c r="I29" s="40">
        <f>36+I13+I14+I16+I17</f>
        <v>3136</v>
      </c>
      <c r="J29" s="40"/>
      <c r="K29" s="40"/>
      <c r="L29" s="40"/>
    </row>
    <row r="30" spans="1:18" x14ac:dyDescent="0.25">
      <c r="H30" s="40"/>
      <c r="I30" s="40">
        <f>+I28-I29</f>
        <v>960</v>
      </c>
      <c r="J30" s="40"/>
      <c r="K30" s="40">
        <f>+I30</f>
        <v>960</v>
      </c>
      <c r="L30" s="40"/>
    </row>
    <row r="31" spans="1:18" x14ac:dyDescent="0.25">
      <c r="H31" s="40"/>
      <c r="I31" s="40"/>
      <c r="J31" s="40"/>
      <c r="K31" s="40">
        <f>+INT(K30/64)*64</f>
        <v>960</v>
      </c>
      <c r="L31" s="40">
        <f>+K31+64</f>
        <v>1024</v>
      </c>
    </row>
    <row r="32" spans="1:18" x14ac:dyDescent="0.25">
      <c r="E32" t="e">
        <f>+D25+E25</f>
        <v>#VALUE!</v>
      </c>
      <c r="H32" s="40"/>
      <c r="I32" s="40"/>
      <c r="J32" s="40"/>
      <c r="K32" s="40"/>
      <c r="L32" s="40"/>
    </row>
    <row r="33" spans="1:12" x14ac:dyDescent="0.25">
      <c r="A33" t="str">
        <f>+CONCATENATE(A22,", ",B22,", ",C22,", ",D22,", ",E22,", ",F22)</f>
        <v># Name, Type, SubType, Offset, Size, Flags</v>
      </c>
      <c r="H33" s="40"/>
      <c r="I33" s="40"/>
      <c r="K33" s="40"/>
      <c r="L33" s="40"/>
    </row>
    <row r="34" spans="1:12" x14ac:dyDescent="0.25">
      <c r="A34" t="str">
        <f t="shared" ref="A34:A40" si="12">+CONCATENATE(A23,", ",B23,", ",C23,", ",D23,", ",E23,", ",F23)</f>
        <v xml:space="preserve">nvs, data, nvs, 0x009000, 0x005000, </v>
      </c>
      <c r="H34" s="40"/>
      <c r="I34" s="40"/>
      <c r="K34" s="40"/>
      <c r="L34" s="40"/>
    </row>
    <row r="35" spans="1:12" x14ac:dyDescent="0.25">
      <c r="A35" t="str">
        <f t="shared" si="12"/>
        <v xml:space="preserve">otadata, data, ota, 0x00E000, 0x002000, </v>
      </c>
      <c r="H35" s="40"/>
      <c r="I35" s="40"/>
      <c r="K35" s="40"/>
      <c r="L35" s="40"/>
    </row>
    <row r="36" spans="1:12" x14ac:dyDescent="0.25">
      <c r="A36" t="str">
        <f t="shared" si="12"/>
        <v xml:space="preserve">Loader, app, ota_0, 0x010000, 0x0F0000, </v>
      </c>
      <c r="H36" s="40"/>
      <c r="I36" s="40"/>
      <c r="K36" s="40"/>
      <c r="L36" s="40"/>
    </row>
    <row r="37" spans="1:12" x14ac:dyDescent="0.25">
      <c r="A37" t="str">
        <f t="shared" si="12"/>
        <v xml:space="preserve">app, app, ota_1, 0x100000, 0x2E0000, </v>
      </c>
      <c r="H37" s="40"/>
      <c r="I37" s="40"/>
      <c r="K37" s="40"/>
      <c r="L37" s="40"/>
    </row>
    <row r="38" spans="1:12" x14ac:dyDescent="0.25">
      <c r="A38" t="str">
        <f t="shared" si="12"/>
        <v xml:space="preserve">spiffs, data, spiffs, 0x3E0000, 0x020000, </v>
      </c>
      <c r="H38" s="40"/>
      <c r="I38" s="40"/>
      <c r="K38" s="40"/>
      <c r="L38" s="40"/>
    </row>
    <row r="39" spans="1:12" x14ac:dyDescent="0.25">
      <c r="A39" t="str">
        <f t="shared" si="12"/>
        <v xml:space="preserve">, , , , , </v>
      </c>
      <c r="H39" s="40"/>
      <c r="I39" s="40"/>
      <c r="K39" s="40"/>
      <c r="L39" s="40"/>
    </row>
    <row r="40" spans="1:12" x14ac:dyDescent="0.25">
      <c r="A40" t="str">
        <f t="shared" si="12"/>
        <v xml:space="preserve">, , , , , </v>
      </c>
      <c r="H40" s="40"/>
      <c r="I40" s="40"/>
      <c r="K40" s="40"/>
      <c r="L40" s="40"/>
    </row>
    <row r="41" spans="1:12" x14ac:dyDescent="0.25">
      <c r="H41" s="40"/>
      <c r="I41" s="40"/>
      <c r="J41" s="40"/>
      <c r="K41" s="40"/>
      <c r="L41" s="40"/>
    </row>
    <row r="42" spans="1:12" x14ac:dyDescent="0.25">
      <c r="H42" s="40"/>
      <c r="I42" s="40"/>
      <c r="J42" s="40"/>
      <c r="K42" s="40"/>
      <c r="L42" s="40"/>
    </row>
    <row r="43" spans="1:12" x14ac:dyDescent="0.25">
      <c r="H43" s="40"/>
      <c r="I43" s="40"/>
      <c r="J43" s="40"/>
      <c r="K43" s="40"/>
      <c r="L43" s="40"/>
    </row>
    <row r="44" spans="1:12" x14ac:dyDescent="0.25">
      <c r="H44" s="40"/>
      <c r="I44" s="40"/>
      <c r="J44" s="40"/>
      <c r="K44" s="40"/>
      <c r="L44" s="40"/>
    </row>
  </sheetData>
  <mergeCells count="3">
    <mergeCell ref="A11:D11"/>
    <mergeCell ref="E11:K11"/>
    <mergeCell ref="I12:J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21F4-F4B1-4F1D-974E-7D9AED95910F}">
  <dimension ref="A1:V47"/>
  <sheetViews>
    <sheetView topLeftCell="A4" workbookViewId="0">
      <selection activeCell="K20" sqref="K20"/>
    </sheetView>
  </sheetViews>
  <sheetFormatPr baseColWidth="10" defaultRowHeight="15" x14ac:dyDescent="0.25"/>
  <cols>
    <col min="7" max="7" width="11.85546875" bestFit="1" customWidth="1"/>
    <col min="16" max="16" width="11.85546875" bestFit="1" customWidth="1"/>
  </cols>
  <sheetData>
    <row r="1" spans="1:22" ht="15.75" thickBot="1" x14ac:dyDescent="0.3">
      <c r="A1" s="7" t="s">
        <v>27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0</v>
      </c>
      <c r="H1" t="s">
        <v>27</v>
      </c>
      <c r="I1" t="s">
        <v>1</v>
      </c>
      <c r="J1" t="s">
        <v>2</v>
      </c>
      <c r="K1" t="s">
        <v>3</v>
      </c>
      <c r="L1" t="s">
        <v>4</v>
      </c>
      <c r="M1" t="s">
        <v>0</v>
      </c>
      <c r="S1" s="61" t="s">
        <v>45</v>
      </c>
      <c r="T1" s="62"/>
    </row>
    <row r="2" spans="1:22" x14ac:dyDescent="0.25">
      <c r="A2" s="10" t="s">
        <v>5</v>
      </c>
      <c r="B2" s="11" t="s">
        <v>6</v>
      </c>
      <c r="C2" s="11" t="s">
        <v>5</v>
      </c>
      <c r="D2" s="11" t="s">
        <v>7</v>
      </c>
      <c r="E2" s="11" t="s">
        <v>8</v>
      </c>
      <c r="F2" s="12"/>
      <c r="H2" t="s">
        <v>5</v>
      </c>
      <c r="I2" t="s">
        <v>6</v>
      </c>
      <c r="J2" t="s">
        <v>5</v>
      </c>
      <c r="K2" t="s">
        <v>7</v>
      </c>
      <c r="L2" t="s">
        <v>8</v>
      </c>
      <c r="S2" s="52" t="s">
        <v>16</v>
      </c>
      <c r="T2" s="53">
        <f>+HEX2DEC(RIGHT(S2,+LEN(S2)-2))</f>
        <v>65536</v>
      </c>
    </row>
    <row r="3" spans="1:22" x14ac:dyDescent="0.25">
      <c r="A3" s="13" t="s">
        <v>9</v>
      </c>
      <c r="B3" s="6" t="s">
        <v>6</v>
      </c>
      <c r="C3" s="6" t="s">
        <v>10</v>
      </c>
      <c r="D3" s="6" t="s">
        <v>11</v>
      </c>
      <c r="E3" s="6" t="s">
        <v>12</v>
      </c>
      <c r="F3" s="14"/>
      <c r="H3" t="s">
        <v>9</v>
      </c>
      <c r="I3" t="s">
        <v>6</v>
      </c>
      <c r="J3" t="s">
        <v>10</v>
      </c>
      <c r="K3" t="s">
        <v>11</v>
      </c>
      <c r="L3" t="s">
        <v>12</v>
      </c>
      <c r="S3" s="13" t="s">
        <v>46</v>
      </c>
      <c r="T3" s="14">
        <f t="shared" ref="T3:T47" si="0">+HEX2DEC(RIGHT(S3,+LEN(S3)-2))</f>
        <v>131072</v>
      </c>
    </row>
    <row r="4" spans="1:22" x14ac:dyDescent="0.25">
      <c r="A4" s="13" t="s">
        <v>13</v>
      </c>
      <c r="B4" s="6" t="s">
        <v>14</v>
      </c>
      <c r="C4" s="6" t="s">
        <v>15</v>
      </c>
      <c r="D4" s="6" t="s">
        <v>16</v>
      </c>
      <c r="E4" s="6" t="s">
        <v>41</v>
      </c>
      <c r="F4" s="14"/>
      <c r="H4" t="s">
        <v>13</v>
      </c>
      <c r="I4" t="s">
        <v>14</v>
      </c>
      <c r="J4" t="s">
        <v>15</v>
      </c>
      <c r="K4" t="s">
        <v>16</v>
      </c>
      <c r="L4" t="s">
        <v>41</v>
      </c>
      <c r="S4" s="13" t="s">
        <v>47</v>
      </c>
      <c r="T4" s="14">
        <f t="shared" si="0"/>
        <v>196608</v>
      </c>
    </row>
    <row r="5" spans="1:22" x14ac:dyDescent="0.25">
      <c r="A5" s="13" t="s">
        <v>23</v>
      </c>
      <c r="B5" s="6" t="s">
        <v>14</v>
      </c>
      <c r="C5" s="6" t="s">
        <v>24</v>
      </c>
      <c r="D5" s="6" t="s">
        <v>42</v>
      </c>
      <c r="E5" s="6" t="s">
        <v>41</v>
      </c>
      <c r="F5" s="14"/>
      <c r="H5" t="s">
        <v>23</v>
      </c>
      <c r="I5" t="s">
        <v>14</v>
      </c>
      <c r="J5" t="s">
        <v>24</v>
      </c>
      <c r="K5" t="s">
        <v>42</v>
      </c>
      <c r="L5" t="s">
        <v>41</v>
      </c>
      <c r="S5" s="13" t="s">
        <v>48</v>
      </c>
      <c r="T5" s="14">
        <f t="shared" si="0"/>
        <v>262144</v>
      </c>
    </row>
    <row r="6" spans="1:22" x14ac:dyDescent="0.25">
      <c r="A6" s="13" t="s">
        <v>18</v>
      </c>
      <c r="B6" s="6" t="s">
        <v>6</v>
      </c>
      <c r="C6" s="6" t="s">
        <v>18</v>
      </c>
      <c r="D6" s="6" t="s">
        <v>43</v>
      </c>
      <c r="E6" s="6" t="s">
        <v>44</v>
      </c>
      <c r="F6" s="14"/>
      <c r="H6" t="s">
        <v>18</v>
      </c>
      <c r="I6" t="s">
        <v>6</v>
      </c>
      <c r="J6" t="s">
        <v>18</v>
      </c>
      <c r="K6" t="s">
        <v>43</v>
      </c>
      <c r="L6" t="s">
        <v>44</v>
      </c>
      <c r="S6" s="13" t="s">
        <v>49</v>
      </c>
      <c r="T6" s="14">
        <f t="shared" si="0"/>
        <v>327680</v>
      </c>
    </row>
    <row r="7" spans="1:22" x14ac:dyDescent="0.25">
      <c r="A7" s="13"/>
      <c r="B7" s="6"/>
      <c r="C7" s="6"/>
      <c r="D7" s="6"/>
      <c r="E7" s="6"/>
      <c r="F7" s="14"/>
      <c r="S7" s="13" t="s">
        <v>50</v>
      </c>
      <c r="T7" s="14">
        <f t="shared" si="0"/>
        <v>393216</v>
      </c>
    </row>
    <row r="8" spans="1:22" ht="15.75" thickBot="1" x14ac:dyDescent="0.3">
      <c r="A8" s="15"/>
      <c r="B8" s="16"/>
      <c r="C8" s="16"/>
      <c r="D8" s="16"/>
      <c r="E8" s="16"/>
      <c r="F8" s="17"/>
      <c r="S8" s="13" t="s">
        <v>51</v>
      </c>
      <c r="T8" s="14">
        <f t="shared" si="0"/>
        <v>458752</v>
      </c>
    </row>
    <row r="9" spans="1:22" x14ac:dyDescent="0.25">
      <c r="A9" s="5"/>
      <c r="B9" s="5"/>
      <c r="C9" s="5"/>
      <c r="D9" s="5"/>
      <c r="E9" s="5"/>
      <c r="F9" s="5"/>
      <c r="S9" s="13" t="s">
        <v>52</v>
      </c>
      <c r="T9" s="14">
        <f t="shared" si="0"/>
        <v>524288</v>
      </c>
    </row>
    <row r="10" spans="1:22" ht="15.75" thickBot="1" x14ac:dyDescent="0.3">
      <c r="S10" s="13" t="s">
        <v>53</v>
      </c>
      <c r="T10" s="14">
        <f t="shared" si="0"/>
        <v>589824</v>
      </c>
    </row>
    <row r="11" spans="1:22" ht="15.75" thickBot="1" x14ac:dyDescent="0.3">
      <c r="A11" s="55" t="s">
        <v>31</v>
      </c>
      <c r="B11" s="56"/>
      <c r="C11" s="56"/>
      <c r="D11" s="57"/>
      <c r="E11" s="58" t="s">
        <v>30</v>
      </c>
      <c r="F11" s="59"/>
      <c r="G11" s="59"/>
      <c r="H11" s="59"/>
      <c r="I11" s="59"/>
      <c r="J11" s="60"/>
      <c r="S11" s="13" t="s">
        <v>54</v>
      </c>
      <c r="T11" s="14">
        <f t="shared" si="0"/>
        <v>655360</v>
      </c>
    </row>
    <row r="12" spans="1:22" ht="15.75" thickBot="1" x14ac:dyDescent="0.3">
      <c r="A12" s="20"/>
      <c r="B12" s="21" t="s">
        <v>19</v>
      </c>
      <c r="C12" s="21" t="s">
        <v>20</v>
      </c>
      <c r="D12" s="22" t="s">
        <v>21</v>
      </c>
      <c r="E12" s="3"/>
      <c r="F12" s="2" t="s">
        <v>1</v>
      </c>
      <c r="G12" s="37" t="s">
        <v>2</v>
      </c>
      <c r="H12" s="3" t="s">
        <v>19</v>
      </c>
      <c r="I12" s="3" t="s">
        <v>20</v>
      </c>
      <c r="J12" s="4" t="s">
        <v>21</v>
      </c>
      <c r="K12" t="s">
        <v>39</v>
      </c>
      <c r="L12" t="s">
        <v>40</v>
      </c>
      <c r="N12" s="39"/>
      <c r="O12" t="s">
        <v>32</v>
      </c>
      <c r="S12" s="13" t="s">
        <v>55</v>
      </c>
      <c r="T12" s="14">
        <f t="shared" si="0"/>
        <v>720896</v>
      </c>
    </row>
    <row r="13" spans="1:22" x14ac:dyDescent="0.25">
      <c r="A13" s="10" t="str">
        <f t="shared" ref="A13:A19" si="1">IF(A2&lt;&gt;"",+A2,"")</f>
        <v>nvs</v>
      </c>
      <c r="B13" s="11">
        <f t="shared" ref="B13:C19" si="2">+IF($A13&lt;&gt;"",HEX2DEC(RIGHT(D2,+LEN(D2)-2)),"")</f>
        <v>36864</v>
      </c>
      <c r="C13" s="11">
        <f t="shared" si="2"/>
        <v>20480</v>
      </c>
      <c r="D13" s="23">
        <f>+IF($A13&lt;&gt;"",+B13+C13,"")</f>
        <v>57344</v>
      </c>
      <c r="E13" s="33" t="s">
        <v>5</v>
      </c>
      <c r="F13" s="29" t="s">
        <v>6</v>
      </c>
      <c r="G13" s="11" t="s">
        <v>5</v>
      </c>
      <c r="H13" s="38">
        <f>+IF($E13&lt;&gt;"",+B13,"")</f>
        <v>36864</v>
      </c>
      <c r="I13" s="28">
        <f>+IF($E13&lt;&gt;"",+C13,"")</f>
        <v>20480</v>
      </c>
      <c r="J13" s="42">
        <f>+IF($E13&lt;&gt;"",+H13+I13,"")</f>
        <v>57344</v>
      </c>
      <c r="K13" s="50">
        <f t="shared" ref="K13:K19" si="3">+I13/1024</f>
        <v>20</v>
      </c>
      <c r="L13" s="50">
        <f>+IF($E13&lt;&gt;"",($J$20-J13)/1024,"")</f>
        <v>4040</v>
      </c>
      <c r="N13" s="18"/>
      <c r="O13" t="s">
        <v>29</v>
      </c>
      <c r="S13" s="13" t="s">
        <v>56</v>
      </c>
      <c r="T13" s="14">
        <f t="shared" si="0"/>
        <v>786432</v>
      </c>
    </row>
    <row r="14" spans="1:22" x14ac:dyDescent="0.25">
      <c r="A14" s="13" t="str">
        <f t="shared" si="1"/>
        <v>otadata</v>
      </c>
      <c r="B14" s="6">
        <f t="shared" si="2"/>
        <v>57344</v>
      </c>
      <c r="C14" s="6">
        <f t="shared" si="2"/>
        <v>8192</v>
      </c>
      <c r="D14" s="24">
        <f t="shared" ref="D14:D19" si="4">+IF($A14&lt;&gt;"",+B14+C14,"")</f>
        <v>65536</v>
      </c>
      <c r="E14" s="34" t="s">
        <v>9</v>
      </c>
      <c r="F14" s="30" t="s">
        <v>6</v>
      </c>
      <c r="G14" s="6" t="s">
        <v>10</v>
      </c>
      <c r="H14" s="41">
        <f t="shared" ref="H14:H19" si="5">+IF($E14&lt;&gt;"",+J13,"")</f>
        <v>57344</v>
      </c>
      <c r="I14" s="26">
        <f>+IF($E14&lt;&gt;"",+C14,"")</f>
        <v>8192</v>
      </c>
      <c r="J14" s="43">
        <f t="shared" ref="J14:J19" si="6">+IF($E14&lt;&gt;"",+H14+I14,"")</f>
        <v>65536</v>
      </c>
      <c r="K14" s="50">
        <f t="shared" si="3"/>
        <v>8</v>
      </c>
      <c r="L14" s="50">
        <f>+IF($E14&lt;&gt;"",($J$20-J14)/1024,"")</f>
        <v>4032</v>
      </c>
      <c r="N14" s="44"/>
      <c r="O14" t="s">
        <v>33</v>
      </c>
      <c r="S14" s="13" t="s">
        <v>57</v>
      </c>
      <c r="T14" s="14">
        <f t="shared" si="0"/>
        <v>851968</v>
      </c>
    </row>
    <row r="15" spans="1:22" x14ac:dyDescent="0.25">
      <c r="A15" s="13" t="str">
        <f t="shared" si="1"/>
        <v>app0</v>
      </c>
      <c r="B15" s="6">
        <f t="shared" si="2"/>
        <v>65536</v>
      </c>
      <c r="C15" s="6">
        <f t="shared" si="2"/>
        <v>3342336</v>
      </c>
      <c r="D15" s="24">
        <f t="shared" si="4"/>
        <v>3407872</v>
      </c>
      <c r="E15" s="34" t="s">
        <v>35</v>
      </c>
      <c r="F15" s="30" t="s">
        <v>14</v>
      </c>
      <c r="G15" s="6" t="s">
        <v>15</v>
      </c>
      <c r="H15" s="41">
        <f t="shared" si="5"/>
        <v>65536</v>
      </c>
      <c r="I15" s="45">
        <f>1.25*1024*1024</f>
        <v>1310720</v>
      </c>
      <c r="J15" s="43">
        <f t="shared" si="6"/>
        <v>1376256</v>
      </c>
      <c r="K15" s="50">
        <f t="shared" si="3"/>
        <v>1280</v>
      </c>
      <c r="L15" s="50">
        <f t="shared" ref="L15:L19" si="7">+IF($E15&lt;&gt;"",($J$20-J15)/1024,"")</f>
        <v>2752</v>
      </c>
      <c r="N15" s="46"/>
      <c r="O15" t="s">
        <v>34</v>
      </c>
      <c r="S15" s="13" t="s">
        <v>58</v>
      </c>
      <c r="T15" s="14">
        <f t="shared" si="0"/>
        <v>917504</v>
      </c>
      <c r="V15">
        <f>8*1024</f>
        <v>8192</v>
      </c>
    </row>
    <row r="16" spans="1:22" x14ac:dyDescent="0.25">
      <c r="A16" s="13" t="str">
        <f t="shared" si="1"/>
        <v>app1</v>
      </c>
      <c r="B16" s="6">
        <f t="shared" si="2"/>
        <v>3407872</v>
      </c>
      <c r="C16" s="6">
        <f t="shared" si="2"/>
        <v>3342336</v>
      </c>
      <c r="D16" s="24">
        <f t="shared" si="4"/>
        <v>6750208</v>
      </c>
      <c r="E16" s="35" t="s">
        <v>14</v>
      </c>
      <c r="F16" s="31" t="s">
        <v>14</v>
      </c>
      <c r="G16" s="27" t="s">
        <v>24</v>
      </c>
      <c r="H16" s="41">
        <f t="shared" si="5"/>
        <v>1376256</v>
      </c>
      <c r="I16" s="45">
        <f>5.625*1024*1024</f>
        <v>5898240</v>
      </c>
      <c r="J16" s="43">
        <f t="shared" si="6"/>
        <v>7274496</v>
      </c>
      <c r="K16" s="50">
        <f t="shared" si="3"/>
        <v>5760</v>
      </c>
      <c r="L16" s="50">
        <f t="shared" si="7"/>
        <v>-3008</v>
      </c>
      <c r="S16" s="13" t="s">
        <v>59</v>
      </c>
      <c r="T16" s="14">
        <f t="shared" si="0"/>
        <v>983040</v>
      </c>
      <c r="V16">
        <v>-64</v>
      </c>
    </row>
    <row r="17" spans="1:22" x14ac:dyDescent="0.25">
      <c r="A17" s="13" t="str">
        <f t="shared" si="1"/>
        <v>spiffs</v>
      </c>
      <c r="B17" s="6">
        <f t="shared" si="2"/>
        <v>6750208</v>
      </c>
      <c r="C17" s="6">
        <f t="shared" si="2"/>
        <v>1638400</v>
      </c>
      <c r="D17" s="24">
        <f t="shared" si="4"/>
        <v>8388608</v>
      </c>
      <c r="E17" s="35" t="s">
        <v>18</v>
      </c>
      <c r="F17" s="31" t="s">
        <v>6</v>
      </c>
      <c r="G17" s="27" t="s">
        <v>18</v>
      </c>
      <c r="H17" s="41">
        <f t="shared" si="5"/>
        <v>7274496</v>
      </c>
      <c r="I17" s="45">
        <f>1*1024*1024</f>
        <v>1048576</v>
      </c>
      <c r="J17" s="43">
        <f t="shared" si="6"/>
        <v>8323072</v>
      </c>
      <c r="K17" s="50">
        <f t="shared" si="3"/>
        <v>1024</v>
      </c>
      <c r="L17" s="50">
        <f t="shared" si="7"/>
        <v>-4032</v>
      </c>
      <c r="S17" s="13" t="s">
        <v>60</v>
      </c>
      <c r="T17" s="14">
        <f t="shared" si="0"/>
        <v>1048576</v>
      </c>
      <c r="V17">
        <f>-1.25*1024</f>
        <v>-1280</v>
      </c>
    </row>
    <row r="18" spans="1:22" x14ac:dyDescent="0.25">
      <c r="A18" s="13" t="str">
        <f t="shared" si="1"/>
        <v/>
      </c>
      <c r="B18" s="6" t="str">
        <f t="shared" si="2"/>
        <v/>
      </c>
      <c r="C18" s="6" t="str">
        <f t="shared" si="2"/>
        <v/>
      </c>
      <c r="D18" s="24" t="str">
        <f>+IF($A18&lt;&gt;"",+B18+C18,"")</f>
        <v/>
      </c>
      <c r="E18" s="35"/>
      <c r="F18" s="31"/>
      <c r="G18" s="27"/>
      <c r="H18" s="41" t="str">
        <f t="shared" si="5"/>
        <v/>
      </c>
      <c r="I18" s="45"/>
      <c r="J18" s="43" t="str">
        <f t="shared" si="6"/>
        <v/>
      </c>
      <c r="K18" s="50">
        <f t="shared" si="3"/>
        <v>0</v>
      </c>
      <c r="L18" s="50" t="str">
        <f t="shared" si="7"/>
        <v/>
      </c>
      <c r="S18" s="13" t="s">
        <v>61</v>
      </c>
      <c r="T18" s="14">
        <f t="shared" si="0"/>
        <v>1114112</v>
      </c>
      <c r="V18">
        <v>-1024</v>
      </c>
    </row>
    <row r="19" spans="1:22" ht="15.75" thickBot="1" x14ac:dyDescent="0.3">
      <c r="A19" s="15" t="str">
        <f t="shared" si="1"/>
        <v/>
      </c>
      <c r="B19" s="16" t="str">
        <f t="shared" si="2"/>
        <v/>
      </c>
      <c r="C19" s="16" t="str">
        <f t="shared" si="2"/>
        <v/>
      </c>
      <c r="D19" s="25" t="str">
        <f t="shared" si="4"/>
        <v/>
      </c>
      <c r="E19" s="36"/>
      <c r="F19" s="32"/>
      <c r="G19" s="16"/>
      <c r="H19" s="47" t="str">
        <f t="shared" si="5"/>
        <v/>
      </c>
      <c r="I19" s="49"/>
      <c r="J19" s="48" t="str">
        <f t="shared" si="6"/>
        <v/>
      </c>
      <c r="K19" s="50">
        <f t="shared" si="3"/>
        <v>0</v>
      </c>
      <c r="L19" s="50" t="str">
        <f t="shared" si="7"/>
        <v/>
      </c>
      <c r="Q19" s="19"/>
      <c r="S19" s="13" t="s">
        <v>62</v>
      </c>
      <c r="T19" s="14">
        <f t="shared" si="0"/>
        <v>1179648</v>
      </c>
      <c r="V19">
        <f>+V15+V16+V17+V18</f>
        <v>5824</v>
      </c>
    </row>
    <row r="20" spans="1:22" x14ac:dyDescent="0.25">
      <c r="D20" s="51"/>
      <c r="J20" s="1">
        <f>4*1024*1024</f>
        <v>4194304</v>
      </c>
      <c r="K20" s="19">
        <f>SUM(K13:K19)+H13/1024</f>
        <v>8128</v>
      </c>
      <c r="Q20" s="19"/>
      <c r="S20" s="13" t="s">
        <v>63</v>
      </c>
      <c r="T20" s="14">
        <f t="shared" si="0"/>
        <v>1245184</v>
      </c>
      <c r="V20">
        <f>+V19/1024</f>
        <v>5.6875</v>
      </c>
    </row>
    <row r="21" spans="1:22" ht="15.75" thickBot="1" x14ac:dyDescent="0.3">
      <c r="K21" s="19">
        <f>+K20/1024</f>
        <v>7.9375</v>
      </c>
      <c r="S21" s="13" t="s">
        <v>25</v>
      </c>
      <c r="T21" s="14">
        <f t="shared" si="0"/>
        <v>1310720</v>
      </c>
    </row>
    <row r="22" spans="1:22" ht="15.75" thickBot="1" x14ac:dyDescent="0.3">
      <c r="A22" s="7" t="s">
        <v>22</v>
      </c>
      <c r="B22" s="8" t="s">
        <v>1</v>
      </c>
      <c r="C22" s="8" t="s">
        <v>2</v>
      </c>
      <c r="D22" s="8" t="s">
        <v>3</v>
      </c>
      <c r="E22" s="8" t="s">
        <v>4</v>
      </c>
      <c r="F22" s="9" t="s">
        <v>0</v>
      </c>
      <c r="H22" s="40"/>
      <c r="I22" s="40"/>
      <c r="J22" s="40"/>
      <c r="K22" s="40"/>
      <c r="S22" s="13" t="s">
        <v>28</v>
      </c>
      <c r="T22" s="14">
        <f t="shared" si="0"/>
        <v>1376256</v>
      </c>
    </row>
    <row r="23" spans="1:22" x14ac:dyDescent="0.25">
      <c r="A23" s="10" t="str">
        <f t="shared" ref="A23:A29" si="8">+IF(E13&lt;&gt;"",E13,"")</f>
        <v>nvs</v>
      </c>
      <c r="B23" s="11" t="str">
        <f t="shared" ref="B23:C29" si="9">+IF($A23&lt;&gt;"",F13,"")</f>
        <v>data</v>
      </c>
      <c r="C23" s="11" t="str">
        <f t="shared" si="9"/>
        <v>nvs</v>
      </c>
      <c r="D23" s="11" t="str">
        <f t="shared" ref="D23:E29" si="10">+IF($A23&lt;&gt;"",CONCATENATE("0x",DEC2HEX(H13,6)),"")</f>
        <v>0x009000</v>
      </c>
      <c r="E23" s="11" t="str">
        <f t="shared" si="10"/>
        <v>0x005000</v>
      </c>
      <c r="F23" s="12"/>
      <c r="H23" s="40"/>
      <c r="I23" s="40"/>
      <c r="J23" s="40"/>
      <c r="K23" s="40">
        <f>+(8-K21)*1024</f>
        <v>64</v>
      </c>
      <c r="S23" s="13" t="s">
        <v>64</v>
      </c>
      <c r="T23" s="14">
        <f t="shared" si="0"/>
        <v>1441792</v>
      </c>
    </row>
    <row r="24" spans="1:22" x14ac:dyDescent="0.25">
      <c r="A24" s="13" t="str">
        <f t="shared" si="8"/>
        <v>otadata</v>
      </c>
      <c r="B24" s="6" t="str">
        <f t="shared" si="9"/>
        <v>data</v>
      </c>
      <c r="C24" s="6" t="str">
        <f t="shared" si="9"/>
        <v>ota</v>
      </c>
      <c r="D24" s="6" t="str">
        <f t="shared" si="10"/>
        <v>0x00E000</v>
      </c>
      <c r="E24" s="6" t="str">
        <f t="shared" si="10"/>
        <v>0x002000</v>
      </c>
      <c r="F24" s="14"/>
      <c r="H24" s="40"/>
      <c r="I24" s="40"/>
      <c r="J24" s="40"/>
      <c r="K24" s="40"/>
      <c r="S24" s="13" t="s">
        <v>26</v>
      </c>
      <c r="T24" s="14">
        <f t="shared" si="0"/>
        <v>1507328</v>
      </c>
    </row>
    <row r="25" spans="1:22" x14ac:dyDescent="0.25">
      <c r="A25" s="13" t="str">
        <f t="shared" si="8"/>
        <v>Loader</v>
      </c>
      <c r="B25" s="6" t="str">
        <f t="shared" si="9"/>
        <v>app</v>
      </c>
      <c r="C25" s="6" t="str">
        <f t="shared" si="9"/>
        <v>ota_0</v>
      </c>
      <c r="D25" s="6" t="str">
        <f t="shared" si="10"/>
        <v>0x010000</v>
      </c>
      <c r="E25" s="6" t="str">
        <f t="shared" si="10"/>
        <v>0x140000</v>
      </c>
      <c r="F25" s="14"/>
      <c r="H25" s="40"/>
      <c r="I25" s="40"/>
      <c r="J25" s="40"/>
      <c r="K25" s="40"/>
      <c r="S25" s="13" t="s">
        <v>65</v>
      </c>
      <c r="T25" s="14">
        <f t="shared" si="0"/>
        <v>1572864</v>
      </c>
    </row>
    <row r="26" spans="1:22" x14ac:dyDescent="0.25">
      <c r="A26" s="13" t="str">
        <f t="shared" si="8"/>
        <v>app</v>
      </c>
      <c r="B26" s="6" t="str">
        <f t="shared" si="9"/>
        <v>app</v>
      </c>
      <c r="C26" s="6" t="str">
        <f t="shared" si="9"/>
        <v>ota_1</v>
      </c>
      <c r="D26" s="6" t="str">
        <f t="shared" si="10"/>
        <v>0x150000</v>
      </c>
      <c r="E26" s="6" t="str">
        <f t="shared" si="10"/>
        <v>0x5A0000</v>
      </c>
      <c r="F26" s="14"/>
      <c r="H26" s="40"/>
      <c r="I26" s="40"/>
      <c r="J26" s="40"/>
      <c r="K26" s="40"/>
      <c r="S26" s="13" t="s">
        <v>44</v>
      </c>
      <c r="T26" s="14">
        <f t="shared" si="0"/>
        <v>1638400</v>
      </c>
    </row>
    <row r="27" spans="1:22" x14ac:dyDescent="0.25">
      <c r="A27" s="13" t="str">
        <f t="shared" si="8"/>
        <v>spiffs</v>
      </c>
      <c r="B27" s="6" t="str">
        <f t="shared" si="9"/>
        <v>data</v>
      </c>
      <c r="C27" s="6" t="str">
        <f t="shared" si="9"/>
        <v>spiffs</v>
      </c>
      <c r="D27" s="6" t="str">
        <f t="shared" si="10"/>
        <v>0x6F0000</v>
      </c>
      <c r="E27" s="6" t="str">
        <f t="shared" si="10"/>
        <v>0x100000</v>
      </c>
      <c r="F27" s="14"/>
      <c r="H27" s="40"/>
      <c r="I27" s="40"/>
      <c r="J27" s="40"/>
      <c r="K27" s="40"/>
      <c r="M27">
        <f>0.875*1024</f>
        <v>896</v>
      </c>
      <c r="S27" s="13" t="s">
        <v>66</v>
      </c>
      <c r="T27" s="14">
        <f t="shared" si="0"/>
        <v>2097152</v>
      </c>
    </row>
    <row r="28" spans="1:22" x14ac:dyDescent="0.25">
      <c r="A28" s="13" t="str">
        <f t="shared" si="8"/>
        <v/>
      </c>
      <c r="B28" s="6" t="str">
        <f t="shared" si="9"/>
        <v/>
      </c>
      <c r="C28" s="6" t="str">
        <f t="shared" si="9"/>
        <v/>
      </c>
      <c r="D28" s="6" t="str">
        <f t="shared" si="10"/>
        <v/>
      </c>
      <c r="E28" s="6" t="str">
        <f t="shared" si="10"/>
        <v/>
      </c>
      <c r="F28" s="14"/>
      <c r="H28" s="40"/>
      <c r="I28" s="40"/>
      <c r="J28" s="40"/>
      <c r="K28" s="40"/>
      <c r="M28">
        <f>900*1024</f>
        <v>921600</v>
      </c>
      <c r="S28" s="13" t="s">
        <v>67</v>
      </c>
      <c r="T28" s="14">
        <f t="shared" si="0"/>
        <v>2162688</v>
      </c>
    </row>
    <row r="29" spans="1:22" ht="15.75" thickBot="1" x14ac:dyDescent="0.3">
      <c r="A29" s="15" t="str">
        <f t="shared" si="8"/>
        <v/>
      </c>
      <c r="B29" s="16" t="str">
        <f t="shared" si="9"/>
        <v/>
      </c>
      <c r="C29" s="16" t="str">
        <f t="shared" si="9"/>
        <v/>
      </c>
      <c r="D29" s="16" t="str">
        <f t="shared" si="10"/>
        <v/>
      </c>
      <c r="E29" s="16" t="str">
        <f t="shared" si="10"/>
        <v/>
      </c>
      <c r="F29" s="17"/>
      <c r="H29" s="40"/>
      <c r="I29" s="40"/>
      <c r="J29" s="40"/>
      <c r="K29" s="40"/>
      <c r="S29" s="13" t="s">
        <v>68</v>
      </c>
      <c r="T29" s="14">
        <f t="shared" si="0"/>
        <v>2228224</v>
      </c>
    </row>
    <row r="30" spans="1:22" x14ac:dyDescent="0.25">
      <c r="H30" s="40"/>
      <c r="I30" s="40"/>
      <c r="J30" s="40"/>
      <c r="K30" s="40"/>
      <c r="S30" s="13" t="s">
        <v>69</v>
      </c>
      <c r="T30" s="14">
        <f t="shared" si="0"/>
        <v>2293760</v>
      </c>
    </row>
    <row r="31" spans="1:22" x14ac:dyDescent="0.25">
      <c r="H31" s="40"/>
      <c r="I31" s="40"/>
      <c r="J31" s="40"/>
      <c r="K31" s="40"/>
      <c r="S31" s="13" t="s">
        <v>70</v>
      </c>
      <c r="T31" s="14">
        <f t="shared" si="0"/>
        <v>2359296</v>
      </c>
    </row>
    <row r="32" spans="1:22" x14ac:dyDescent="0.25">
      <c r="H32" s="40"/>
      <c r="I32" s="40"/>
      <c r="J32" s="40"/>
      <c r="K32" s="40"/>
      <c r="S32" s="13" t="s">
        <v>71</v>
      </c>
      <c r="T32" s="14">
        <f t="shared" si="0"/>
        <v>2424832</v>
      </c>
    </row>
    <row r="33" spans="1:20" x14ac:dyDescent="0.25">
      <c r="A33" t="str">
        <f>+CONCATENATE(A22,", ",B22,", ",C22,", ",D22,", ",E22,", ",F22)</f>
        <v># Name, Type, SubType, Offset, Size, Flags</v>
      </c>
      <c r="H33" s="40"/>
      <c r="J33" s="40"/>
      <c r="K33" s="40"/>
      <c r="S33" s="13" t="s">
        <v>72</v>
      </c>
      <c r="T33" s="14">
        <f t="shared" si="0"/>
        <v>2490368</v>
      </c>
    </row>
    <row r="34" spans="1:20" x14ac:dyDescent="0.25">
      <c r="A34" t="str">
        <f t="shared" ref="A34:A40" si="11">+CONCATENATE(A23,", ",B23,", ",C23,", ",D23,", ",E23,", ",F23)</f>
        <v xml:space="preserve">nvs, data, nvs, 0x009000, 0x005000, </v>
      </c>
      <c r="H34" s="40"/>
      <c r="J34" s="40"/>
      <c r="K34" s="40"/>
      <c r="S34" s="13" t="s">
        <v>73</v>
      </c>
      <c r="T34" s="14">
        <f t="shared" si="0"/>
        <v>2555904</v>
      </c>
    </row>
    <row r="35" spans="1:20" x14ac:dyDescent="0.25">
      <c r="A35" t="str">
        <f t="shared" si="11"/>
        <v xml:space="preserve">otadata, data, ota, 0x00E000, 0x002000, </v>
      </c>
      <c r="H35" s="40"/>
      <c r="J35" s="40"/>
      <c r="K35" s="40"/>
      <c r="S35" s="13" t="s">
        <v>74</v>
      </c>
      <c r="T35" s="14">
        <f t="shared" si="0"/>
        <v>2621440</v>
      </c>
    </row>
    <row r="36" spans="1:20" x14ac:dyDescent="0.25">
      <c r="A36" t="str">
        <f t="shared" si="11"/>
        <v xml:space="preserve">Loader, app, ota_0, 0x010000, 0x140000, </v>
      </c>
      <c r="H36" s="40"/>
      <c r="J36" s="40"/>
      <c r="K36" s="40"/>
      <c r="S36" s="13" t="s">
        <v>17</v>
      </c>
      <c r="T36" s="14">
        <f t="shared" si="0"/>
        <v>2686976</v>
      </c>
    </row>
    <row r="37" spans="1:20" x14ac:dyDescent="0.25">
      <c r="A37" t="str">
        <f t="shared" si="11"/>
        <v xml:space="preserve">app, app, ota_1, 0x150000, 0x5A0000, </v>
      </c>
      <c r="H37" s="40"/>
      <c r="J37" s="40"/>
      <c r="K37" s="40"/>
      <c r="S37" s="13" t="s">
        <v>75</v>
      </c>
      <c r="T37" s="14">
        <f t="shared" si="0"/>
        <v>3145728</v>
      </c>
    </row>
    <row r="38" spans="1:20" x14ac:dyDescent="0.25">
      <c r="A38" t="str">
        <f t="shared" si="11"/>
        <v xml:space="preserve">spiffs, data, spiffs, 0x6F0000, 0x100000, </v>
      </c>
      <c r="H38" s="40"/>
      <c r="J38" s="40"/>
      <c r="K38" s="40"/>
      <c r="S38" s="13" t="s">
        <v>76</v>
      </c>
      <c r="T38" s="14">
        <f t="shared" si="0"/>
        <v>3211264</v>
      </c>
    </row>
    <row r="39" spans="1:20" x14ac:dyDescent="0.25">
      <c r="A39" t="str">
        <f t="shared" si="11"/>
        <v xml:space="preserve">, , , , , </v>
      </c>
      <c r="H39" s="40"/>
      <c r="J39" s="40"/>
      <c r="K39" s="40"/>
      <c r="S39" s="13" t="s">
        <v>77</v>
      </c>
      <c r="T39" s="14">
        <f t="shared" si="0"/>
        <v>3276800</v>
      </c>
    </row>
    <row r="40" spans="1:20" x14ac:dyDescent="0.25">
      <c r="A40" t="str">
        <f t="shared" si="11"/>
        <v xml:space="preserve">, , , , , </v>
      </c>
      <c r="H40" s="40"/>
      <c r="J40" s="40"/>
      <c r="K40" s="40"/>
      <c r="S40" s="13" t="s">
        <v>41</v>
      </c>
      <c r="T40" s="14">
        <f t="shared" si="0"/>
        <v>3342336</v>
      </c>
    </row>
    <row r="41" spans="1:20" x14ac:dyDescent="0.25">
      <c r="H41" s="40"/>
      <c r="I41" s="40"/>
      <c r="J41" s="40"/>
      <c r="K41" s="40"/>
      <c r="S41" s="13" t="s">
        <v>42</v>
      </c>
      <c r="T41" s="14">
        <f t="shared" si="0"/>
        <v>3407872</v>
      </c>
    </row>
    <row r="42" spans="1:20" x14ac:dyDescent="0.25">
      <c r="H42" s="40"/>
      <c r="I42" s="40"/>
      <c r="J42" s="40"/>
      <c r="K42" s="40"/>
      <c r="S42" s="13" t="s">
        <v>78</v>
      </c>
      <c r="T42" s="14">
        <f t="shared" si="0"/>
        <v>3473408</v>
      </c>
    </row>
    <row r="43" spans="1:20" x14ac:dyDescent="0.25">
      <c r="H43" s="40"/>
      <c r="I43" s="40"/>
      <c r="J43" s="40"/>
      <c r="K43" s="40"/>
      <c r="S43" s="13" t="s">
        <v>79</v>
      </c>
      <c r="T43" s="14">
        <f t="shared" si="0"/>
        <v>3538944</v>
      </c>
    </row>
    <row r="44" spans="1:20" x14ac:dyDescent="0.25">
      <c r="H44" s="40"/>
      <c r="I44" s="40"/>
      <c r="J44" s="40"/>
      <c r="K44" s="40"/>
      <c r="S44" s="13" t="s">
        <v>80</v>
      </c>
      <c r="T44" s="14">
        <f t="shared" si="0"/>
        <v>3604480</v>
      </c>
    </row>
    <row r="45" spans="1:20" x14ac:dyDescent="0.25">
      <c r="S45" s="13" t="s">
        <v>81</v>
      </c>
      <c r="T45" s="14">
        <f t="shared" si="0"/>
        <v>3670016</v>
      </c>
    </row>
    <row r="46" spans="1:20" x14ac:dyDescent="0.25">
      <c r="S46" s="13" t="s">
        <v>82</v>
      </c>
      <c r="T46" s="14">
        <f t="shared" si="0"/>
        <v>3735552</v>
      </c>
    </row>
    <row r="47" spans="1:20" ht="15.75" thickBot="1" x14ac:dyDescent="0.3">
      <c r="S47" s="15" t="s">
        <v>83</v>
      </c>
      <c r="T47" s="17">
        <f t="shared" si="0"/>
        <v>4194304</v>
      </c>
    </row>
  </sheetData>
  <mergeCells count="3">
    <mergeCell ref="A11:D11"/>
    <mergeCell ref="E11:J1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esquema con gargador</vt:lpstr>
      <vt:lpstr>esquema con cargador y SPIFFS</vt:lpstr>
      <vt:lpstr>8Mb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2020-02-01T10:22:45Z</dcterms:created>
  <dcterms:modified xsi:type="dcterms:W3CDTF">2022-07-21T21:27:20Z</dcterms:modified>
</cp:coreProperties>
</file>