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riddell/Library/CloudStorage/GoogleDrive-jlriddell@mix.wvu.edu/My Drive/Sorp_Data/Pub_submission/Revised_Submission/"/>
    </mc:Choice>
  </mc:AlternateContent>
  <xr:revisionPtr revIDLastSave="0" documentId="8_{2FF238D0-6ECB-014A-837F-06F946B6D815}" xr6:coauthVersionLast="47" xr6:coauthVersionMax="47" xr10:uidLastSave="{00000000-0000-0000-0000-000000000000}"/>
  <bookViews>
    <workbookView xWindow="35840" yWindow="0" windowWidth="38400" windowHeight="21600" activeTab="7" xr2:uid="{164B0D81-58CD-104A-A7D7-5DF6836AE239}"/>
  </bookViews>
  <sheets>
    <sheet name="plainDi" sheetId="1" r:id="rId1"/>
    <sheet name="plain25" sheetId="3" r:id="rId2"/>
    <sheet name="plainkarst" sheetId="4" r:id="rId3"/>
    <sheet name="CarbDi" sheetId="2" r:id="rId4"/>
    <sheet name="Carb25" sheetId="5" r:id="rId5"/>
    <sheet name="CarbKarst" sheetId="6" r:id="rId6"/>
    <sheet name="KDstats" sheetId="7" r:id="rId7"/>
    <sheet name="%removalsta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6" l="1"/>
  <c r="AA3" i="6"/>
  <c r="AA4" i="6"/>
  <c r="AA5" i="6"/>
  <c r="AA6" i="6"/>
  <c r="AA2" i="6"/>
  <c r="R7" i="6"/>
  <c r="R3" i="6"/>
  <c r="R4" i="6"/>
  <c r="R5" i="6"/>
  <c r="R6" i="6"/>
  <c r="R2" i="6"/>
  <c r="I7" i="6"/>
  <c r="I3" i="6"/>
  <c r="I4" i="6"/>
  <c r="I5" i="6"/>
  <c r="I6" i="6"/>
  <c r="I2" i="6"/>
  <c r="AD7" i="5"/>
  <c r="AD3" i="5"/>
  <c r="AD4" i="5"/>
  <c r="AD5" i="5"/>
  <c r="AD6" i="5"/>
  <c r="AD2" i="5"/>
  <c r="U7" i="5"/>
  <c r="U3" i="5"/>
  <c r="U4" i="5"/>
  <c r="U5" i="5"/>
  <c r="U6" i="5"/>
  <c r="U2" i="5"/>
  <c r="I8" i="5"/>
  <c r="I12" i="5"/>
  <c r="I3" i="5"/>
  <c r="I4" i="5"/>
  <c r="I5" i="5"/>
  <c r="I6" i="5"/>
  <c r="I7" i="5"/>
  <c r="I9" i="5"/>
  <c r="I10" i="5"/>
  <c r="I11" i="5"/>
  <c r="I2" i="5"/>
  <c r="AK7" i="2"/>
  <c r="AK3" i="2"/>
  <c r="AK4" i="2"/>
  <c r="AK5" i="2"/>
  <c r="AK6" i="2"/>
  <c r="AK2" i="2"/>
  <c r="AB7" i="2"/>
  <c r="AB3" i="2"/>
  <c r="AB4" i="2"/>
  <c r="AB5" i="2"/>
  <c r="AB6" i="2"/>
  <c r="AB2" i="2"/>
  <c r="S15" i="2"/>
  <c r="S3" i="2"/>
  <c r="S4" i="2"/>
  <c r="S5" i="2"/>
  <c r="S6" i="2"/>
  <c r="S7" i="2"/>
  <c r="S8" i="2"/>
  <c r="S9" i="2"/>
  <c r="S10" i="2"/>
  <c r="S11" i="2"/>
  <c r="S12" i="2"/>
  <c r="S13" i="2"/>
  <c r="S14" i="2"/>
  <c r="S2" i="2"/>
  <c r="I14" i="2"/>
  <c r="I3" i="2"/>
  <c r="I4" i="2"/>
  <c r="I5" i="2"/>
  <c r="I6" i="2"/>
  <c r="I7" i="2"/>
  <c r="I8" i="2"/>
  <c r="I9" i="2"/>
  <c r="I10" i="2"/>
  <c r="I11" i="2"/>
  <c r="I12" i="2"/>
  <c r="I13" i="2"/>
  <c r="I2" i="2"/>
  <c r="R7" i="4"/>
  <c r="R3" i="4"/>
  <c r="R4" i="4"/>
  <c r="R5" i="4"/>
  <c r="R6" i="4"/>
  <c r="R2" i="4"/>
  <c r="AA7" i="4"/>
  <c r="AA3" i="4"/>
  <c r="AA4" i="4"/>
  <c r="AA5" i="4"/>
  <c r="AA6" i="4"/>
  <c r="AA2" i="4"/>
  <c r="I7" i="4"/>
  <c r="I3" i="4"/>
  <c r="I4" i="4"/>
  <c r="I5" i="4"/>
  <c r="I6" i="4"/>
  <c r="I2" i="4"/>
  <c r="AE7" i="3"/>
  <c r="AE3" i="3"/>
  <c r="AE4" i="3"/>
  <c r="AE5" i="3"/>
  <c r="AE6" i="3"/>
  <c r="AE2" i="3"/>
  <c r="V7" i="3"/>
  <c r="V3" i="3"/>
  <c r="V4" i="3"/>
  <c r="V5" i="3"/>
  <c r="V6" i="3"/>
  <c r="V2" i="3"/>
  <c r="I9" i="3"/>
  <c r="I3" i="3"/>
  <c r="I4" i="3"/>
  <c r="I5" i="3"/>
  <c r="I6" i="3"/>
  <c r="I7" i="3"/>
  <c r="I8" i="3"/>
  <c r="I2" i="3"/>
  <c r="AM7" i="1"/>
  <c r="AM3" i="1"/>
  <c r="AM4" i="1"/>
  <c r="AM5" i="1"/>
  <c r="AM6" i="1"/>
  <c r="AM2" i="1"/>
  <c r="AC7" i="1"/>
  <c r="AC3" i="1"/>
  <c r="AC4" i="1"/>
  <c r="AC5" i="1"/>
  <c r="AC6" i="1"/>
  <c r="AC2" i="1"/>
  <c r="S1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I14" i="1"/>
  <c r="I3" i="1"/>
  <c r="I4" i="1"/>
  <c r="I5" i="1"/>
  <c r="I6" i="1"/>
  <c r="I7" i="1"/>
  <c r="I8" i="1"/>
  <c r="I9" i="1"/>
  <c r="I10" i="1"/>
  <c r="I11" i="1"/>
  <c r="I12" i="1"/>
  <c r="I13" i="1"/>
  <c r="I2" i="1"/>
  <c r="AJ10" i="6" l="1"/>
  <c r="AJ8" i="6"/>
  <c r="AM12" i="5"/>
  <c r="AM11" i="5"/>
  <c r="AM10" i="5"/>
  <c r="AM9" i="5"/>
  <c r="AM8" i="5"/>
  <c r="AT18" i="2"/>
  <c r="AT17" i="2"/>
  <c r="AT16" i="2"/>
  <c r="AT15" i="2"/>
  <c r="AJ10" i="4"/>
  <c r="AJ7" i="4"/>
  <c r="AN12" i="3"/>
  <c r="AN9" i="3"/>
  <c r="AX18" i="1"/>
  <c r="AN4" i="3"/>
  <c r="AN7" i="3"/>
  <c r="BA6" i="1"/>
  <c r="BB5" i="1"/>
  <c r="BA5" i="1"/>
  <c r="BA4" i="1"/>
  <c r="BA3" i="1"/>
  <c r="BA2" i="1"/>
  <c r="AY3" i="1"/>
  <c r="AZ2" i="1"/>
  <c r="AY2" i="1"/>
  <c r="AN3" i="6" l="1"/>
  <c r="AN4" i="6"/>
  <c r="AN5" i="6"/>
  <c r="AN6" i="6"/>
  <c r="AN2" i="6"/>
  <c r="AL3" i="6"/>
  <c r="AL4" i="6"/>
  <c r="AL5" i="6"/>
  <c r="AL6" i="6"/>
  <c r="AL2" i="6"/>
  <c r="AQ3" i="5"/>
  <c r="AQ4" i="5"/>
  <c r="AQ5" i="5"/>
  <c r="AQ6" i="5"/>
  <c r="AQ2" i="5"/>
  <c r="AO3" i="5"/>
  <c r="AO4" i="5"/>
  <c r="AO5" i="5"/>
  <c r="AO6" i="5"/>
  <c r="AO2" i="5"/>
  <c r="AX4" i="2"/>
  <c r="AX5" i="2"/>
  <c r="AX6" i="2"/>
  <c r="AX3" i="2"/>
  <c r="AX2" i="2"/>
  <c r="AV6" i="2"/>
  <c r="AV5" i="2"/>
  <c r="AV4" i="2"/>
  <c r="AV3" i="2"/>
  <c r="AV2" i="2"/>
  <c r="AN3" i="4"/>
  <c r="AN4" i="4"/>
  <c r="AN5" i="4"/>
  <c r="AN6" i="4"/>
  <c r="AN2" i="4"/>
  <c r="AL3" i="4"/>
  <c r="AL4" i="4"/>
  <c r="AL5" i="4"/>
  <c r="AL6" i="4"/>
  <c r="AL2" i="4"/>
  <c r="AR3" i="3"/>
  <c r="AR5" i="3"/>
  <c r="AR6" i="3"/>
  <c r="AR8" i="3"/>
  <c r="AR2" i="3"/>
  <c r="AP8" i="3"/>
  <c r="AP6" i="3"/>
  <c r="AP5" i="3"/>
  <c r="AP3" i="3"/>
  <c r="AP2" i="3"/>
  <c r="BB6" i="1"/>
  <c r="BB4" i="1"/>
  <c r="BB3" i="1"/>
  <c r="AM3" i="6" l="1"/>
  <c r="AM4" i="6"/>
  <c r="AM5" i="6"/>
  <c r="AM6" i="6"/>
  <c r="AM2" i="6"/>
  <c r="AK6" i="6"/>
  <c r="AK3" i="6"/>
  <c r="AK4" i="6"/>
  <c r="AK5" i="6"/>
  <c r="AK2" i="6"/>
  <c r="AM7" i="5"/>
  <c r="AN6" i="5"/>
  <c r="AN5" i="5"/>
  <c r="AN4" i="5"/>
  <c r="AN3" i="5"/>
  <c r="AN2" i="5"/>
  <c r="AW6" i="2"/>
  <c r="AU6" i="2"/>
  <c r="AW5" i="2"/>
  <c r="AU5" i="2"/>
  <c r="AW4" i="2"/>
  <c r="AU4" i="2"/>
  <c r="AW3" i="2"/>
  <c r="AU3" i="2"/>
  <c r="AW2" i="2"/>
  <c r="AU2" i="2"/>
  <c r="AQ3" i="3"/>
  <c r="AO3" i="3"/>
  <c r="AQ2" i="3"/>
  <c r="AO2" i="3"/>
  <c r="AX7" i="1"/>
  <c r="AX8" i="1"/>
  <c r="AX10" i="1"/>
  <c r="AX12" i="1"/>
  <c r="AX14" i="1"/>
  <c r="AQ9" i="1" l="1"/>
  <c r="AR9" i="1"/>
  <c r="AS9" i="1"/>
  <c r="AT9" i="1"/>
  <c r="AU9" i="1"/>
  <c r="AV9" i="1"/>
  <c r="AW9" i="1"/>
  <c r="AQ11" i="1"/>
  <c r="AR11" i="1"/>
  <c r="AS11" i="1"/>
  <c r="AT11" i="1"/>
  <c r="AU11" i="1"/>
  <c r="AV11" i="1"/>
  <c r="AW11" i="1"/>
  <c r="AQ13" i="1"/>
  <c r="AR13" i="1"/>
  <c r="AS13" i="1"/>
  <c r="AT13" i="1"/>
  <c r="AU13" i="1"/>
  <c r="AV13" i="1"/>
  <c r="AW13" i="1"/>
  <c r="AT7" i="2"/>
  <c r="AT8" i="2"/>
  <c r="AT10" i="2"/>
  <c r="AT13" i="2"/>
  <c r="AQ8" i="3"/>
  <c r="AO8" i="3"/>
  <c r="AQ6" i="3"/>
  <c r="AO6" i="3"/>
  <c r="AQ5" i="3"/>
  <c r="AO5" i="3"/>
  <c r="AX9" i="1" l="1"/>
  <c r="AX13" i="1"/>
  <c r="AX11" i="1"/>
  <c r="AR3" i="1"/>
  <c r="AU3" i="1"/>
  <c r="AV3" i="1"/>
  <c r="AQ3" i="1"/>
  <c r="AC3" i="5" l="1"/>
  <c r="AC4" i="5"/>
  <c r="AC5" i="5"/>
  <c r="AC6" i="5"/>
  <c r="AC2" i="5"/>
  <c r="T3" i="5"/>
  <c r="T4" i="5"/>
  <c r="T5" i="5"/>
  <c r="T6" i="5"/>
  <c r="T2" i="5"/>
  <c r="AL2" i="5" s="1"/>
  <c r="H3" i="5"/>
  <c r="H4" i="5"/>
  <c r="AP3" i="5" s="1"/>
  <c r="H5" i="5"/>
  <c r="H6" i="5"/>
  <c r="AP4" i="5" s="1"/>
  <c r="H7" i="5"/>
  <c r="H8" i="5"/>
  <c r="AP5" i="5" s="1"/>
  <c r="H9" i="5"/>
  <c r="H10" i="5"/>
  <c r="H11" i="5"/>
  <c r="H2" i="5"/>
  <c r="AF6" i="5"/>
  <c r="AF5" i="5"/>
  <c r="AF4" i="5"/>
  <c r="AF3" i="5"/>
  <c r="AK2" i="5"/>
  <c r="AG2" i="5"/>
  <c r="AH2" i="5"/>
  <c r="AI2" i="5"/>
  <c r="AJ2" i="5"/>
  <c r="AF2" i="5"/>
  <c r="AM2" i="5" l="1"/>
  <c r="AP6" i="5"/>
  <c r="AP2" i="5"/>
  <c r="AC3" i="6"/>
  <c r="AD3" i="6"/>
  <c r="AE3" i="6"/>
  <c r="AF3" i="6"/>
  <c r="AG3" i="6"/>
  <c r="AH3" i="6"/>
  <c r="AI3" i="6"/>
  <c r="AC4" i="6"/>
  <c r="AD4" i="6"/>
  <c r="AE4" i="6"/>
  <c r="AF4" i="6"/>
  <c r="AG4" i="6"/>
  <c r="AH4" i="6"/>
  <c r="AI4" i="6"/>
  <c r="AC5" i="6"/>
  <c r="AD5" i="6"/>
  <c r="AE5" i="6"/>
  <c r="AF5" i="6"/>
  <c r="AG5" i="6"/>
  <c r="AH5" i="6"/>
  <c r="AI5" i="6"/>
  <c r="AC6" i="6"/>
  <c r="AD6" i="6"/>
  <c r="AE6" i="6"/>
  <c r="AF6" i="6"/>
  <c r="AG6" i="6"/>
  <c r="AH6" i="6"/>
  <c r="AI6" i="6"/>
  <c r="AD2" i="6"/>
  <c r="AE2" i="6"/>
  <c r="AF2" i="6"/>
  <c r="AG2" i="6"/>
  <c r="AH2" i="6"/>
  <c r="AI2" i="6"/>
  <c r="AC2" i="6"/>
  <c r="AG3" i="5"/>
  <c r="AH3" i="5"/>
  <c r="AI3" i="5"/>
  <c r="AJ3" i="5"/>
  <c r="AK3" i="5"/>
  <c r="AL3" i="5"/>
  <c r="AG6" i="5"/>
  <c r="AH6" i="5"/>
  <c r="AI6" i="5"/>
  <c r="AJ6" i="5"/>
  <c r="AK6" i="5"/>
  <c r="AL6" i="5"/>
  <c r="AG5" i="5"/>
  <c r="AH5" i="5"/>
  <c r="AI5" i="5"/>
  <c r="AJ5" i="5"/>
  <c r="AK5" i="5"/>
  <c r="AL5" i="5"/>
  <c r="AG4" i="5"/>
  <c r="AH4" i="5"/>
  <c r="AI4" i="5"/>
  <c r="AJ4" i="5"/>
  <c r="AK4" i="5"/>
  <c r="AL4" i="5"/>
  <c r="AQ6" i="1"/>
  <c r="AQ5" i="1"/>
  <c r="AQ4" i="1"/>
  <c r="AQ2" i="1"/>
  <c r="AG8" i="3"/>
  <c r="AG6" i="3"/>
  <c r="AG5" i="3"/>
  <c r="AG3" i="3"/>
  <c r="AG2" i="3"/>
  <c r="AI2" i="3"/>
  <c r="AC6" i="4"/>
  <c r="AC5" i="4"/>
  <c r="AC4" i="4"/>
  <c r="AC3" i="4"/>
  <c r="AC2" i="4"/>
  <c r="AD2" i="4"/>
  <c r="AM12" i="2"/>
  <c r="AM11" i="2"/>
  <c r="AM9" i="2"/>
  <c r="AM6" i="2"/>
  <c r="AM5" i="2"/>
  <c r="AN4" i="2"/>
  <c r="AO4" i="2"/>
  <c r="AP4" i="2"/>
  <c r="AQ4" i="2"/>
  <c r="AR4" i="2"/>
  <c r="AS4" i="2"/>
  <c r="AM4" i="2"/>
  <c r="AN3" i="2"/>
  <c r="AO3" i="2"/>
  <c r="AP3" i="2"/>
  <c r="AQ3" i="2"/>
  <c r="AR3" i="2"/>
  <c r="AS3" i="2"/>
  <c r="AM3" i="2"/>
  <c r="AS2" i="2"/>
  <c r="AR2" i="2"/>
  <c r="AQ2" i="2"/>
  <c r="AP2" i="2"/>
  <c r="AO2" i="2"/>
  <c r="AN2" i="2"/>
  <c r="AM2" i="2"/>
  <c r="AP6" i="2"/>
  <c r="AQ6" i="2"/>
  <c r="AR6" i="2"/>
  <c r="AN12" i="2"/>
  <c r="AO12" i="2"/>
  <c r="AP12" i="2"/>
  <c r="AQ12" i="2"/>
  <c r="AR12" i="2"/>
  <c r="AS12" i="2"/>
  <c r="AN11" i="2"/>
  <c r="AO11" i="2"/>
  <c r="AP11" i="2"/>
  <c r="AQ11" i="2"/>
  <c r="AR11" i="2"/>
  <c r="AS11" i="2"/>
  <c r="AN9" i="2"/>
  <c r="AO9" i="2"/>
  <c r="AP9" i="2"/>
  <c r="AQ9" i="2"/>
  <c r="AR9" i="2"/>
  <c r="AS9" i="2"/>
  <c r="AN6" i="2"/>
  <c r="AO6" i="2"/>
  <c r="AT6" i="2" s="1"/>
  <c r="AS6" i="2"/>
  <c r="AN5" i="2"/>
  <c r="AO5" i="2"/>
  <c r="AP5" i="2"/>
  <c r="AQ5" i="2"/>
  <c r="AR5" i="2"/>
  <c r="AS5" i="2"/>
  <c r="AR6" i="1"/>
  <c r="AU6" i="1"/>
  <c r="AV6" i="1"/>
  <c r="AR5" i="1"/>
  <c r="AU5" i="1"/>
  <c r="AV5" i="1"/>
  <c r="AR4" i="1"/>
  <c r="AU4" i="1"/>
  <c r="AV4" i="1"/>
  <c r="AR2" i="1"/>
  <c r="AU2" i="1"/>
  <c r="AV2" i="1"/>
  <c r="Y3" i="1"/>
  <c r="Y4" i="1"/>
  <c r="AY4" i="1" s="1"/>
  <c r="AZ4" i="1" s="1"/>
  <c r="Y5" i="1"/>
  <c r="AY5" i="1" s="1"/>
  <c r="AZ5" i="1" s="1"/>
  <c r="Y6" i="1"/>
  <c r="X2" i="1"/>
  <c r="Y2" i="1"/>
  <c r="X3" i="1"/>
  <c r="X4" i="1"/>
  <c r="X5" i="1"/>
  <c r="X6" i="1"/>
  <c r="AI2" i="1"/>
  <c r="AH3" i="1"/>
  <c r="AI3" i="1"/>
  <c r="AH4" i="1"/>
  <c r="AI4" i="1"/>
  <c r="AH5" i="1"/>
  <c r="AI5" i="1"/>
  <c r="AH6" i="1"/>
  <c r="AI6" i="1"/>
  <c r="AH2" i="1"/>
  <c r="AE2" i="4"/>
  <c r="AG2" i="4"/>
  <c r="AH2" i="4"/>
  <c r="AD3" i="4"/>
  <c r="AG3" i="4"/>
  <c r="AH3" i="4"/>
  <c r="AD4" i="4"/>
  <c r="AE4" i="4"/>
  <c r="AG4" i="4"/>
  <c r="AH4" i="4"/>
  <c r="AD5" i="4"/>
  <c r="AE5" i="4"/>
  <c r="AG5" i="4"/>
  <c r="AH5" i="4"/>
  <c r="AD6" i="4"/>
  <c r="AE6" i="4"/>
  <c r="AG6" i="4"/>
  <c r="AH6" i="4"/>
  <c r="E3" i="4"/>
  <c r="AK3" i="4" s="1"/>
  <c r="E4" i="4"/>
  <c r="E5" i="4"/>
  <c r="E6" i="4"/>
  <c r="AK6" i="4" s="1"/>
  <c r="E2" i="4"/>
  <c r="D3" i="4"/>
  <c r="AE3" i="4" s="1"/>
  <c r="D4" i="4"/>
  <c r="D5" i="4"/>
  <c r="D6" i="4"/>
  <c r="D2" i="4"/>
  <c r="AH2" i="3"/>
  <c r="AJ2" i="3"/>
  <c r="AK2" i="3"/>
  <c r="AL2" i="3"/>
  <c r="AM2" i="3"/>
  <c r="AH8" i="3"/>
  <c r="AI8" i="3"/>
  <c r="AJ8" i="3"/>
  <c r="AK8" i="3"/>
  <c r="AL8" i="3"/>
  <c r="AM8" i="3"/>
  <c r="AH6" i="3"/>
  <c r="AI6" i="3"/>
  <c r="AJ6" i="3"/>
  <c r="AK6" i="3"/>
  <c r="AL6" i="3"/>
  <c r="AM6" i="3"/>
  <c r="AL5" i="3"/>
  <c r="AM5" i="3"/>
  <c r="AH5" i="3"/>
  <c r="AI5" i="3"/>
  <c r="AJ5" i="3"/>
  <c r="AK5" i="3"/>
  <c r="AH3" i="3"/>
  <c r="AI3" i="3"/>
  <c r="AJ3" i="3"/>
  <c r="AK3" i="3"/>
  <c r="AL3" i="3"/>
  <c r="AM3" i="3"/>
  <c r="AJ6" i="6" l="1"/>
  <c r="AJ5" i="6"/>
  <c r="AJ4" i="6"/>
  <c r="AJ3" i="6"/>
  <c r="AJ2" i="6"/>
  <c r="AJ7" i="6" s="1"/>
  <c r="AT4" i="2"/>
  <c r="AT11" i="2"/>
  <c r="AF4" i="4"/>
  <c r="AJ4" i="4" s="1"/>
  <c r="AK4" i="4"/>
  <c r="AF2" i="4"/>
  <c r="AJ2" i="4" s="1"/>
  <c r="AK2" i="4"/>
  <c r="AF5" i="4"/>
  <c r="AK5" i="4"/>
  <c r="AF3" i="4"/>
  <c r="AJ3" i="4" s="1"/>
  <c r="AF6" i="4"/>
  <c r="AJ6" i="4" s="1"/>
  <c r="AJ5" i="4"/>
  <c r="AY6" i="1"/>
  <c r="AZ6" i="1" s="1"/>
  <c r="AZ3" i="1"/>
  <c r="AM6" i="5"/>
  <c r="AM4" i="5"/>
  <c r="AM3" i="5"/>
  <c r="AM5" i="5"/>
  <c r="AT5" i="2"/>
  <c r="AT3" i="2"/>
  <c r="AT2" i="2"/>
  <c r="AT9" i="2"/>
  <c r="AT12" i="2"/>
  <c r="AS3" i="1"/>
  <c r="AX3" i="1" s="1"/>
  <c r="AN8" i="3"/>
  <c r="AN5" i="3"/>
  <c r="AN3" i="3"/>
  <c r="AN2" i="3"/>
  <c r="AN6" i="3"/>
  <c r="AT3" i="1"/>
  <c r="AT2" i="1"/>
  <c r="H2" i="4"/>
  <c r="H6" i="4"/>
  <c r="H5" i="4"/>
  <c r="H4" i="4"/>
  <c r="H3" i="4"/>
  <c r="AT4" i="1"/>
  <c r="AT6" i="1"/>
  <c r="AS4" i="1"/>
  <c r="AS2" i="1"/>
  <c r="AX2" i="1" s="1"/>
  <c r="AB3" i="1"/>
  <c r="AT5" i="1"/>
  <c r="AB6" i="1"/>
  <c r="AB5" i="1"/>
  <c r="AB4" i="1"/>
  <c r="AS6" i="1"/>
  <c r="AS5" i="1"/>
  <c r="AL6" i="1"/>
  <c r="AL4" i="1"/>
  <c r="AL3" i="1"/>
  <c r="AL2" i="1"/>
  <c r="AB2" i="1"/>
  <c r="BB2" i="1" s="1"/>
  <c r="AL5" i="1"/>
  <c r="AI3" i="4" l="1"/>
  <c r="AM3" i="4"/>
  <c r="AI4" i="4"/>
  <c r="AM4" i="4"/>
  <c r="AI5" i="4"/>
  <c r="AM5" i="4"/>
  <c r="AI6" i="4"/>
  <c r="AM6" i="4"/>
  <c r="AI2" i="4"/>
  <c r="AM2" i="4"/>
  <c r="AW6" i="1"/>
  <c r="AX6" i="1"/>
  <c r="AX4" i="1"/>
  <c r="AX5" i="1"/>
  <c r="AT14" i="2"/>
  <c r="AW3" i="1"/>
  <c r="AW2" i="1"/>
  <c r="AW5" i="1"/>
  <c r="AW4" i="1"/>
  <c r="AX15" i="1" l="1"/>
</calcChain>
</file>

<file path=xl/sharedStrings.xml><?xml version="1.0" encoding="utf-8"?>
<sst xmlns="http://schemas.openxmlformats.org/spreadsheetml/2006/main" count="705" uniqueCount="138">
  <si>
    <t>initial sph/mL</t>
  </si>
  <si>
    <t>adosrobed sph/g</t>
  </si>
  <si>
    <t>equilibrium sph/mL</t>
  </si>
  <si>
    <t>initial spheres</t>
  </si>
  <si>
    <t>equilibrium spheres</t>
  </si>
  <si>
    <t>volu solution</t>
  </si>
  <si>
    <t xml:space="preserve">g sediment </t>
  </si>
  <si>
    <t>%decreas</t>
  </si>
  <si>
    <t>average</t>
  </si>
  <si>
    <t>stdev.p</t>
  </si>
  <si>
    <t>mL</t>
  </si>
  <si>
    <t>Initial (Sph)</t>
  </si>
  <si>
    <t>Equilibrium (sph)</t>
  </si>
  <si>
    <t>Initial sph/mL</t>
  </si>
  <si>
    <t>Equilib Sph/mL</t>
  </si>
  <si>
    <t>Volume Solution, mL</t>
  </si>
  <si>
    <t>Sediment, g</t>
  </si>
  <si>
    <t>Adsorbed, sph/g</t>
  </si>
  <si>
    <t>mean</t>
  </si>
  <si>
    <t>volume, uL</t>
  </si>
  <si>
    <t>Volume, mL</t>
  </si>
  <si>
    <t>Experiment 1 --&gt;</t>
  </si>
  <si>
    <t>Experiment 2 --&gt;</t>
  </si>
  <si>
    <t>Experiment 3 --&gt;</t>
  </si>
  <si>
    <t>Experiment 4 --&gt;</t>
  </si>
  <si>
    <t>Experiment Averaged</t>
  </si>
  <si>
    <t>Experiments Averaged</t>
  </si>
  <si>
    <t>Experiments Averaged --&gt;</t>
  </si>
  <si>
    <t>Experiments 1 --&gt;</t>
  </si>
  <si>
    <t>Experiments 2 --&gt;</t>
  </si>
  <si>
    <t>Experiments 3 --&gt;</t>
  </si>
  <si>
    <t>% Removed</t>
  </si>
  <si>
    <t>X-Equilib-Error</t>
  </si>
  <si>
    <t>Y-Adsorb-Error</t>
  </si>
  <si>
    <t>X-Equilib-Stdev</t>
  </si>
  <si>
    <t>% Decrease</t>
  </si>
  <si>
    <t>X-Equilib-StDev</t>
  </si>
  <si>
    <t>Y-Adsorb-stdev</t>
  </si>
  <si>
    <t>X-equilib-stdev</t>
  </si>
  <si>
    <t>Y-adsorb-stdev</t>
  </si>
  <si>
    <t>Y-ads-Stdev</t>
  </si>
  <si>
    <t>%Decrease</t>
  </si>
  <si>
    <t>Equilib-Stdev</t>
  </si>
  <si>
    <t>Adsorb-Stdev</t>
  </si>
  <si>
    <t>X-Equil-Stdev</t>
  </si>
  <si>
    <t>Y-Adsorb-Stdev</t>
  </si>
  <si>
    <t>X-equilib-error</t>
  </si>
  <si>
    <t>Y-adsorb-Error</t>
  </si>
  <si>
    <t>Y-ads-Error</t>
  </si>
  <si>
    <t>Average</t>
  </si>
  <si>
    <t>Kd</t>
  </si>
  <si>
    <t xml:space="preserve">foc </t>
  </si>
  <si>
    <t>KOC</t>
  </si>
  <si>
    <t>Foc</t>
  </si>
  <si>
    <t>Koc</t>
  </si>
  <si>
    <t>KD</t>
  </si>
  <si>
    <t>R2</t>
  </si>
  <si>
    <t>foc</t>
  </si>
  <si>
    <t>koc</t>
  </si>
  <si>
    <r>
      <t>Table 2: K</t>
    </r>
    <r>
      <rPr>
        <vertAlign val="subscript"/>
        <sz val="10"/>
        <color theme="1"/>
        <rFont val="Times New Roman"/>
        <family val="1"/>
      </rPr>
      <t>D</t>
    </r>
    <r>
      <rPr>
        <sz val="10"/>
        <color theme="1"/>
        <rFont val="Times New Roman"/>
        <family val="1"/>
      </rPr>
      <t>, K</t>
    </r>
    <r>
      <rPr>
        <vertAlign val="subscript"/>
        <sz val="10"/>
        <color theme="1"/>
        <rFont val="Times New Roman"/>
        <family val="1"/>
      </rPr>
      <t>OC</t>
    </r>
    <r>
      <rPr>
        <sz val="10"/>
        <color theme="1"/>
        <rFont val="Times New Roman"/>
        <family val="1"/>
      </rPr>
      <t>, and linear fit results of adherence experiments</t>
    </r>
  </si>
  <si>
    <t>NFMS</t>
  </si>
  <si>
    <t>CMS</t>
  </si>
  <si>
    <t>Solution</t>
  </si>
  <si>
    <r>
      <t>K</t>
    </r>
    <r>
      <rPr>
        <b/>
        <vertAlign val="subscript"/>
        <sz val="10"/>
        <color theme="1"/>
        <rFont val="Times New Roman"/>
        <family val="1"/>
      </rPr>
      <t>D</t>
    </r>
  </si>
  <si>
    <r>
      <t>K</t>
    </r>
    <r>
      <rPr>
        <b/>
        <vertAlign val="subscript"/>
        <sz val="10"/>
        <color theme="1"/>
        <rFont val="Times New Roman"/>
        <family val="1"/>
      </rPr>
      <t>OC</t>
    </r>
  </si>
  <si>
    <r>
      <t>R</t>
    </r>
    <r>
      <rPr>
        <b/>
        <vertAlign val="superscript"/>
        <sz val="10"/>
        <color theme="1"/>
        <rFont val="Times New Roman"/>
        <family val="1"/>
      </rPr>
      <t>2</t>
    </r>
  </si>
  <si>
    <t xml:space="preserve">Solution </t>
  </si>
  <si>
    <t>DI</t>
  </si>
  <si>
    <r>
      <t>9.02x10</t>
    </r>
    <r>
      <rPr>
        <vertAlign val="superscript"/>
        <sz val="10"/>
        <color theme="1"/>
        <rFont val="Times New Roman"/>
        <family val="1"/>
      </rPr>
      <t>3</t>
    </r>
  </si>
  <si>
    <r>
      <t>5.35x10</t>
    </r>
    <r>
      <rPr>
        <vertAlign val="superscript"/>
        <sz val="10"/>
        <color theme="1"/>
        <rFont val="Times New Roman"/>
        <family val="1"/>
      </rPr>
      <t>3</t>
    </r>
  </si>
  <si>
    <r>
      <t>25 mg/L CaCO</t>
    </r>
    <r>
      <rPr>
        <vertAlign val="subscript"/>
        <sz val="10"/>
        <color theme="1"/>
        <rFont val="Times New Roman"/>
        <family val="1"/>
      </rPr>
      <t>3</t>
    </r>
  </si>
  <si>
    <r>
      <t>1.64x10</t>
    </r>
    <r>
      <rPr>
        <vertAlign val="superscript"/>
        <sz val="10"/>
        <color theme="1"/>
        <rFont val="Times New Roman"/>
        <family val="1"/>
      </rPr>
      <t>3</t>
    </r>
  </si>
  <si>
    <r>
      <t>3.64x10</t>
    </r>
    <r>
      <rPr>
        <vertAlign val="superscript"/>
        <sz val="10"/>
        <color theme="1"/>
        <rFont val="Times New Roman"/>
        <family val="1"/>
      </rPr>
      <t>3</t>
    </r>
  </si>
  <si>
    <t xml:space="preserve">Karst </t>
  </si>
  <si>
    <t>water</t>
  </si>
  <si>
    <r>
      <t>3.52x10</t>
    </r>
    <r>
      <rPr>
        <vertAlign val="superscript"/>
        <sz val="10"/>
        <color theme="1"/>
        <rFont val="Times New Roman"/>
        <family val="1"/>
      </rPr>
      <t>4</t>
    </r>
  </si>
  <si>
    <r>
      <t>6.13x10</t>
    </r>
    <r>
      <rPr>
        <vertAlign val="superscript"/>
        <sz val="10"/>
        <color theme="1"/>
        <rFont val="Times New Roman"/>
        <family val="1"/>
      </rPr>
      <t>4</t>
    </r>
  </si>
  <si>
    <t>n</t>
  </si>
  <si>
    <t>NFMS KD</t>
  </si>
  <si>
    <t>CMS KD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</si>
  <si>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</si>
  <si>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</si>
  <si>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</si>
  <si>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</si>
  <si>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</si>
  <si>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</si>
  <si>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</si>
  <si>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</si>
  <si>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</si>
  <si>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</si>
  <si>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</si>
  <si>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</si>
  <si>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</si>
  <si>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</si>
  <si>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</si>
  <si>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</si>
  <si>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</si>
  <si>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Water Type</t>
  </si>
  <si>
    <t>Di</t>
  </si>
  <si>
    <t>Ca</t>
  </si>
  <si>
    <t>Karst</t>
  </si>
  <si>
    <t>% Dec</t>
  </si>
  <si>
    <t>%De</t>
  </si>
  <si>
    <t>%Dec</t>
  </si>
  <si>
    <t>ave</t>
  </si>
  <si>
    <t>aveage</t>
  </si>
  <si>
    <t>Anova: Two-Factor With Replication</t>
  </si>
  <si>
    <t>Sample</t>
  </si>
  <si>
    <t>Columns</t>
  </si>
  <si>
    <t>Interaction</t>
  </si>
  <si>
    <t>Within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</si>
  <si>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</si>
  <si>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</si>
  <si>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</si>
  <si>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</si>
  <si>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</si>
  <si>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</si>
  <si>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</si>
  <si>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</si>
  <si>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</si>
  <si>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</si>
  <si>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</si>
  <si>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All</t>
  </si>
  <si>
    <t>ca</t>
  </si>
  <si>
    <t>For Sph Type</t>
  </si>
  <si>
    <t>NFMS Water</t>
  </si>
  <si>
    <t>DI, Ca</t>
  </si>
  <si>
    <t>Ca, Karst</t>
  </si>
  <si>
    <t>CMS Water</t>
  </si>
  <si>
    <t>Di, Karst</t>
  </si>
  <si>
    <t>Di, Ca</t>
  </si>
  <si>
    <t>Ca, karst</t>
  </si>
  <si>
    <t>Di karst</t>
  </si>
  <si>
    <t>Anova: Single Factor Column -sph type</t>
  </si>
  <si>
    <t xml:space="preserve">NFMS </t>
  </si>
  <si>
    <t>Anova: Single Factor Sph Type</t>
  </si>
  <si>
    <t>Anova: Single Factor Water Type</t>
  </si>
  <si>
    <t xml:space="preserve">did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</si>
</sst>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11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/>
    </xf>
    <xf numFmtId="0" fontId="10" fillId="0" borderId="8" xfId="0" applyFont="1" applyBorder="1" applyAlignment="1">
      <alignment horizontal="right"/>
    </xf>
    <xf numFmtId="0" fontId="6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0" fontId="11" fillId="0" borderId="0" xfId="0" applyFont="1"/>
    <xf numFmtId="164" fontId="12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164" fontId="12" fillId="0" borderId="0" xfId="0" applyNumberFormat="1" applyFont="1" applyAlignment="1">
      <alignment horizontal="right" vertical="center" wrapText="1"/>
    </xf>
    <xf numFmtId="164" fontId="12" fillId="0" borderId="9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0920593057828E-3"/>
                  <c:y val="-8.5245858790472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plainDi!$O$2:$O$15</c:f>
              <c:numCache>
                <c:formatCode>General</c:formatCode>
                <c:ptCount val="14"/>
                <c:pt idx="0">
                  <c:v>854886.66666666663</c:v>
                </c:pt>
                <c:pt idx="1">
                  <c:v>718646.66666666663</c:v>
                </c:pt>
                <c:pt idx="2" formatCode="0.00E+00">
                  <c:v>647553.33333333337</c:v>
                </c:pt>
                <c:pt idx="3">
                  <c:v>749940</c:v>
                </c:pt>
                <c:pt idx="4">
                  <c:v>616173.33333333337</c:v>
                </c:pt>
                <c:pt idx="5">
                  <c:v>728486.66666666698</c:v>
                </c:pt>
                <c:pt idx="6">
                  <c:v>425746.66666666663</c:v>
                </c:pt>
                <c:pt idx="7">
                  <c:v>383700</c:v>
                </c:pt>
                <c:pt idx="8">
                  <c:v>226353.33333333331</c:v>
                </c:pt>
                <c:pt idx="9">
                  <c:v>15873.333333333332</c:v>
                </c:pt>
                <c:pt idx="10">
                  <c:v>372360</c:v>
                </c:pt>
                <c:pt idx="11">
                  <c:v>103520</c:v>
                </c:pt>
                <c:pt idx="12">
                  <c:v>56280</c:v>
                </c:pt>
                <c:pt idx="13">
                  <c:v>12260</c:v>
                </c:pt>
              </c:numCache>
            </c:numRef>
          </c:xVal>
          <c:yVal>
            <c:numRef>
              <c:f>plainDi!$R$2:$R$15</c:f>
              <c:numCache>
                <c:formatCode>General</c:formatCode>
                <c:ptCount val="14"/>
                <c:pt idx="0">
                  <c:v>34853199.999999993</c:v>
                </c:pt>
                <c:pt idx="1">
                  <c:v>32304666.666666664</c:v>
                </c:pt>
                <c:pt idx="2" formatCode="0.00E+00">
                  <c:v>31475600</c:v>
                </c:pt>
                <c:pt idx="3">
                  <c:v>23450800</c:v>
                </c:pt>
                <c:pt idx="4">
                  <c:v>24237333.333333328</c:v>
                </c:pt>
                <c:pt idx="5">
                  <c:v>16577333.333333332</c:v>
                </c:pt>
                <c:pt idx="6">
                  <c:v>18919199.999999996</c:v>
                </c:pt>
                <c:pt idx="7">
                  <c:v>13877733.333333336</c:v>
                </c:pt>
                <c:pt idx="8">
                  <c:v>11918000</c:v>
                </c:pt>
                <c:pt idx="9">
                  <c:v>12868666.666666664</c:v>
                </c:pt>
                <c:pt idx="10">
                  <c:v>14501866.666666664</c:v>
                </c:pt>
                <c:pt idx="11">
                  <c:v>3369733.333333334</c:v>
                </c:pt>
                <c:pt idx="12">
                  <c:v>1674266.6666666665</c:v>
                </c:pt>
                <c:pt idx="13">
                  <c:v>328266.66666666663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D-AC4D-893C-FACE469F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07919"/>
        <c:axId val="1391634175"/>
      </c:scatterChart>
      <c:valAx>
        <c:axId val="13962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34175"/>
        <c:crosses val="autoZero"/>
        <c:crossBetween val="midCat"/>
      </c:valAx>
      <c:valAx>
        <c:axId val="13916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719160104986883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plainkarst!$E$2:$E$6</c:f>
              <c:numCache>
                <c:formatCode>General</c:formatCode>
                <c:ptCount val="5"/>
                <c:pt idx="0">
                  <c:v>249800</c:v>
                </c:pt>
                <c:pt idx="1">
                  <c:v>98740</c:v>
                </c:pt>
                <c:pt idx="2">
                  <c:v>117400</c:v>
                </c:pt>
                <c:pt idx="3">
                  <c:v>70500</c:v>
                </c:pt>
                <c:pt idx="4">
                  <c:v>25080</c:v>
                </c:pt>
              </c:numCache>
            </c:numRef>
          </c:xVal>
          <c:yVal>
            <c:numRef>
              <c:f>plainkarst!$H$2:$H$6</c:f>
              <c:numCache>
                <c:formatCode>General</c:formatCode>
                <c:ptCount val="5"/>
                <c:pt idx="0">
                  <c:v>44670400</c:v>
                </c:pt>
                <c:pt idx="1">
                  <c:v>37329200.000000007</c:v>
                </c:pt>
                <c:pt idx="2">
                  <c:v>23526799.999999996</c:v>
                </c:pt>
                <c:pt idx="3">
                  <c:v>16438000.000000004</c:v>
                </c:pt>
                <c:pt idx="4">
                  <c:v>8547200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2-F142-88AE-81859352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64895"/>
        <c:axId val="1424694127"/>
      </c:scatterChart>
      <c:valAx>
        <c:axId val="142426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94127"/>
        <c:crosses val="autoZero"/>
        <c:crossBetween val="midCat"/>
      </c:valAx>
      <c:valAx>
        <c:axId val="14246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6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800524934383196E-2"/>
                  <c:y val="-8.2538641003207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plainkarst!$N$2:$N$6</c:f>
              <c:numCache>
                <c:formatCode>General</c:formatCode>
                <c:ptCount val="5"/>
                <c:pt idx="0">
                  <c:v>148500</c:v>
                </c:pt>
                <c:pt idx="1">
                  <c:v>132780</c:v>
                </c:pt>
                <c:pt idx="2">
                  <c:v>117340</c:v>
                </c:pt>
                <c:pt idx="3">
                  <c:v>72460</c:v>
                </c:pt>
                <c:pt idx="4">
                  <c:v>25880</c:v>
                </c:pt>
              </c:numCache>
            </c:numRef>
          </c:xVal>
          <c:yVal>
            <c:numRef>
              <c:f>plainkarst!$Q$2:$Q$6</c:f>
              <c:numCache>
                <c:formatCode>General</c:formatCode>
                <c:ptCount val="5"/>
                <c:pt idx="0">
                  <c:v>44914000</c:v>
                </c:pt>
                <c:pt idx="1">
                  <c:v>37711200.000000007</c:v>
                </c:pt>
                <c:pt idx="2">
                  <c:v>27532000</c:v>
                </c:pt>
                <c:pt idx="3">
                  <c:v>18415199.999999996</c:v>
                </c:pt>
                <c:pt idx="4">
                  <c:v>11162000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C-3745-8525-AEC2118D6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10831"/>
        <c:axId val="1480169247"/>
      </c:scatterChart>
      <c:valAx>
        <c:axId val="147231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69247"/>
        <c:crosses val="autoZero"/>
        <c:crossBetween val="midCat"/>
      </c:valAx>
      <c:valAx>
        <c:axId val="14801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plainkarst!$W$2:$W$6</c:f>
              <c:numCache>
                <c:formatCode>General</c:formatCode>
                <c:ptCount val="5"/>
                <c:pt idx="0">
                  <c:v>119280</c:v>
                </c:pt>
                <c:pt idx="1">
                  <c:v>114400</c:v>
                </c:pt>
                <c:pt idx="2">
                  <c:v>71840</c:v>
                </c:pt>
                <c:pt idx="3">
                  <c:v>42300</c:v>
                </c:pt>
                <c:pt idx="4">
                  <c:v>33140</c:v>
                </c:pt>
              </c:numCache>
            </c:numRef>
          </c:xVal>
          <c:yVal>
            <c:numRef>
              <c:f>plainkarst!$Z$2:$Z$6</c:f>
              <c:numCache>
                <c:formatCode>General</c:formatCode>
                <c:ptCount val="5"/>
                <c:pt idx="0">
                  <c:v>45890000</c:v>
                </c:pt>
                <c:pt idx="1">
                  <c:v>31893200.000000007</c:v>
                </c:pt>
                <c:pt idx="2">
                  <c:v>27530340.432345875</c:v>
                </c:pt>
                <c:pt idx="3">
                  <c:v>19068800</c:v>
                </c:pt>
                <c:pt idx="4">
                  <c:v>8864800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7-384C-8111-5389300D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99391"/>
        <c:axId val="1473183279"/>
      </c:scatterChart>
      <c:valAx>
        <c:axId val="147969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83279"/>
        <c:crosses val="autoZero"/>
        <c:crossBetween val="midCat"/>
      </c:valAx>
      <c:valAx>
        <c:axId val="14731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plainkarst!$AF$2:$AF$6</c:f>
              <c:numCache>
                <c:formatCode>General</c:formatCode>
                <c:ptCount val="5"/>
                <c:pt idx="0">
                  <c:v>172526.66666666666</c:v>
                </c:pt>
                <c:pt idx="1">
                  <c:v>115306.66666666667</c:v>
                </c:pt>
                <c:pt idx="2">
                  <c:v>102193.33333333333</c:v>
                </c:pt>
                <c:pt idx="3">
                  <c:v>61753.333333333336</c:v>
                </c:pt>
                <c:pt idx="4">
                  <c:v>28033.333333333332</c:v>
                </c:pt>
              </c:numCache>
            </c:numRef>
          </c:xVal>
          <c:yVal>
            <c:numRef>
              <c:f>plainkarst!$AI$2:$AI$6</c:f>
              <c:numCache>
                <c:formatCode>General</c:formatCode>
                <c:ptCount val="5"/>
                <c:pt idx="0">
                  <c:v>45158133.333333336</c:v>
                </c:pt>
                <c:pt idx="1">
                  <c:v>35644533.333333343</c:v>
                </c:pt>
                <c:pt idx="2">
                  <c:v>26196380.144115288</c:v>
                </c:pt>
                <c:pt idx="3">
                  <c:v>17974000</c:v>
                </c:pt>
                <c:pt idx="4">
                  <c:v>9524666.666666666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8-3541-8941-D637D03B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10239"/>
        <c:axId val="1483997199"/>
      </c:scatterChart>
      <c:valAx>
        <c:axId val="148421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97199"/>
        <c:crosses val="autoZero"/>
        <c:crossBetween val="midCat"/>
      </c:valAx>
      <c:valAx>
        <c:axId val="14839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1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CarbDi!$E$2:$E$13</c:f>
              <c:numCache>
                <c:formatCode>General</c:formatCode>
                <c:ptCount val="12"/>
                <c:pt idx="0">
                  <c:v>949660</c:v>
                </c:pt>
                <c:pt idx="1">
                  <c:v>772866.66666666663</c:v>
                </c:pt>
                <c:pt idx="2">
                  <c:v>568193.33333333337</c:v>
                </c:pt>
                <c:pt idx="3">
                  <c:v>318253.33333333331</c:v>
                </c:pt>
                <c:pt idx="4">
                  <c:v>178553.33333333331</c:v>
                </c:pt>
                <c:pt idx="5">
                  <c:v>45940</c:v>
                </c:pt>
                <c:pt idx="6">
                  <c:v>128300</c:v>
                </c:pt>
                <c:pt idx="7">
                  <c:v>99186.666666666657</c:v>
                </c:pt>
                <c:pt idx="8">
                  <c:v>81780</c:v>
                </c:pt>
                <c:pt idx="9">
                  <c:v>30380</c:v>
                </c:pt>
                <c:pt idx="10">
                  <c:v>6960</c:v>
                </c:pt>
                <c:pt idx="11">
                  <c:v>380</c:v>
                </c:pt>
              </c:numCache>
            </c:numRef>
          </c:xVal>
          <c:yVal>
            <c:numRef>
              <c:f>CarbDi!$H$2:$H$13</c:f>
              <c:numCache>
                <c:formatCode>General</c:formatCode>
                <c:ptCount val="12"/>
                <c:pt idx="0">
                  <c:v>18883733.333333328</c:v>
                </c:pt>
                <c:pt idx="1">
                  <c:v>14290133.33333333</c:v>
                </c:pt>
                <c:pt idx="2">
                  <c:v>9898133.333333334</c:v>
                </c:pt>
                <c:pt idx="3">
                  <c:v>8092933.333333334</c:v>
                </c:pt>
                <c:pt idx="4">
                  <c:v>4285200</c:v>
                </c:pt>
                <c:pt idx="5">
                  <c:v>5329866.666666666</c:v>
                </c:pt>
                <c:pt idx="6">
                  <c:v>2289200</c:v>
                </c:pt>
                <c:pt idx="7">
                  <c:v>1965466.666666667</c:v>
                </c:pt>
                <c:pt idx="8">
                  <c:v>1169999.9999999998</c:v>
                </c:pt>
                <c:pt idx="9">
                  <c:v>1052000.0000000002</c:v>
                </c:pt>
                <c:pt idx="10">
                  <c:v>225733.33333333337</c:v>
                </c:pt>
                <c:pt idx="11">
                  <c:v>200799.99999999997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F-964F-94FF-6940AC00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703919"/>
        <c:axId val="1511023855"/>
      </c:scatterChart>
      <c:valAx>
        <c:axId val="14967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3855"/>
        <c:crosses val="autoZero"/>
        <c:crossBetween val="midCat"/>
      </c:valAx>
      <c:valAx>
        <c:axId val="15110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0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CarbDi!$O$2:$O$14</c:f>
              <c:numCache>
                <c:formatCode>General</c:formatCode>
                <c:ptCount val="13"/>
                <c:pt idx="0">
                  <c:v>1392880</c:v>
                </c:pt>
                <c:pt idx="1">
                  <c:v>887720</c:v>
                </c:pt>
                <c:pt idx="2">
                  <c:v>965166.66666666663</c:v>
                </c:pt>
                <c:pt idx="3">
                  <c:v>1016133.3333333333</c:v>
                </c:pt>
                <c:pt idx="4">
                  <c:v>787073.33333333326</c:v>
                </c:pt>
                <c:pt idx="5">
                  <c:v>756560</c:v>
                </c:pt>
                <c:pt idx="6">
                  <c:v>649126.66666666663</c:v>
                </c:pt>
                <c:pt idx="7">
                  <c:v>491600</c:v>
                </c:pt>
                <c:pt idx="8">
                  <c:v>362660</c:v>
                </c:pt>
                <c:pt idx="9">
                  <c:v>289880</c:v>
                </c:pt>
                <c:pt idx="10">
                  <c:v>136780</c:v>
                </c:pt>
                <c:pt idx="11">
                  <c:v>85800</c:v>
                </c:pt>
                <c:pt idx="12">
                  <c:v>18246.666666666668</c:v>
                </c:pt>
              </c:numCache>
            </c:numRef>
          </c:xVal>
          <c:yVal>
            <c:numRef>
              <c:f>CarbDi!$R$2:$R$14</c:f>
              <c:numCache>
                <c:formatCode>General</c:formatCode>
                <c:ptCount val="13"/>
                <c:pt idx="0">
                  <c:v>26277733.333333325</c:v>
                </c:pt>
                <c:pt idx="1">
                  <c:v>28709466.666666672</c:v>
                </c:pt>
                <c:pt idx="2">
                  <c:v>26308133.33333334</c:v>
                </c:pt>
                <c:pt idx="3">
                  <c:v>18447600</c:v>
                </c:pt>
                <c:pt idx="4">
                  <c:v>19331199.999999996</c:v>
                </c:pt>
                <c:pt idx="5">
                  <c:v>15591866.666666664</c:v>
                </c:pt>
                <c:pt idx="6">
                  <c:v>9749733.3333333321</c:v>
                </c:pt>
                <c:pt idx="7">
                  <c:v>6700533.333333334</c:v>
                </c:pt>
                <c:pt idx="8">
                  <c:v>7897066.666666667</c:v>
                </c:pt>
                <c:pt idx="9">
                  <c:v>5168533.333333333</c:v>
                </c:pt>
                <c:pt idx="10">
                  <c:v>3297600</c:v>
                </c:pt>
                <c:pt idx="11">
                  <c:v>1328533.333333333</c:v>
                </c:pt>
                <c:pt idx="12">
                  <c:v>213999.99999999994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3-1841-9215-9D6D7425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551103"/>
        <c:axId val="1483937023"/>
      </c:scatterChart>
      <c:valAx>
        <c:axId val="148155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37023"/>
        <c:crosses val="autoZero"/>
        <c:crossBetween val="midCat"/>
      </c:valAx>
      <c:valAx>
        <c:axId val="14839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5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CarbDi!$X$2:$X$6</c:f>
              <c:numCache>
                <c:formatCode>General</c:formatCode>
                <c:ptCount val="5"/>
                <c:pt idx="0">
                  <c:v>377920</c:v>
                </c:pt>
                <c:pt idx="1">
                  <c:v>465120</c:v>
                </c:pt>
                <c:pt idx="2">
                  <c:v>309800</c:v>
                </c:pt>
                <c:pt idx="3">
                  <c:v>332440</c:v>
                </c:pt>
                <c:pt idx="4">
                  <c:v>126840</c:v>
                </c:pt>
              </c:numCache>
            </c:numRef>
          </c:xVal>
          <c:yVal>
            <c:numRef>
              <c:f>CarbDi!$AA$2:$AA$6</c:f>
              <c:numCache>
                <c:formatCode>General</c:formatCode>
                <c:ptCount val="5"/>
                <c:pt idx="0">
                  <c:v>36441200</c:v>
                </c:pt>
                <c:pt idx="1">
                  <c:v>23527200</c:v>
                </c:pt>
                <c:pt idx="2">
                  <c:v>22832400.000000004</c:v>
                </c:pt>
                <c:pt idx="3">
                  <c:v>14630226.454183267</c:v>
                </c:pt>
                <c:pt idx="4">
                  <c:v>9489200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F-DD4D-AC1C-3C60C699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59647"/>
        <c:axId val="1494561295"/>
      </c:scatterChart>
      <c:valAx>
        <c:axId val="149455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61295"/>
        <c:crosses val="autoZero"/>
        <c:crossBetween val="midCat"/>
      </c:valAx>
      <c:valAx>
        <c:axId val="14945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5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CarbDi!$AG$2:$AG$6</c:f>
              <c:numCache>
                <c:formatCode>General</c:formatCode>
                <c:ptCount val="5"/>
                <c:pt idx="0">
                  <c:v>654500</c:v>
                </c:pt>
                <c:pt idx="1">
                  <c:v>511400</c:v>
                </c:pt>
                <c:pt idx="2">
                  <c:v>287860</c:v>
                </c:pt>
                <c:pt idx="3">
                  <c:v>191800</c:v>
                </c:pt>
                <c:pt idx="4">
                  <c:v>74220</c:v>
                </c:pt>
              </c:numCache>
            </c:numRef>
          </c:xVal>
          <c:yVal>
            <c:numRef>
              <c:f>CarbDi!$AJ$2:$AJ$6</c:f>
              <c:numCache>
                <c:formatCode>General</c:formatCode>
                <c:ptCount val="5"/>
                <c:pt idx="0">
                  <c:v>46422000</c:v>
                </c:pt>
                <c:pt idx="1">
                  <c:v>33905200</c:v>
                </c:pt>
                <c:pt idx="2">
                  <c:v>30674799.999999996</c:v>
                </c:pt>
                <c:pt idx="3">
                  <c:v>2248000.0000000005</c:v>
                </c:pt>
                <c:pt idx="4">
                  <c:v>11188800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8-0A4E-BF27-E0F194C5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52031"/>
        <c:axId val="1262468943"/>
      </c:scatterChart>
      <c:valAx>
        <c:axId val="12620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68943"/>
        <c:crosses val="autoZero"/>
        <c:crossBetween val="midCat"/>
      </c:valAx>
      <c:valAx>
        <c:axId val="12624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5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FCD6B5-A82D-8D46-A9C5-2D7383A11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791-1D43-B3BF-2EDCB78380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D55823-153E-E242-A416-DC7FA55AF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791-1D43-B3BF-2EDCB78380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8C6FA1-BEEF-224E-A686-4857568B6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91-1D43-B3BF-2EDCB78380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386E61-A0B7-4E40-B202-95BF49E99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91-1D43-B3BF-2EDCB78380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818382-301C-5241-8B73-9C1A5DAD4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91-1D43-B3BF-2EDCB78380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8370EF-0E6B-FF46-83B5-BA03EF6D6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91-1D43-B3BF-2EDCB78380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008819-C36E-3847-AFCF-87B8FD334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91-1D43-B3BF-2EDCB78380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918E91-4DE3-B24C-A124-0FCA662B6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791-1D43-B3BF-2EDCB78380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D1357A-7A1D-7047-A604-29AF87B3C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791-1D43-B3BF-2EDCB78380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C332A27-7983-2A46-B455-AFFEA6047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791-1D43-B3BF-2EDCB78380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47F2E1-67D6-8845-B8C3-C30847ACD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791-1D43-B3BF-2EDCB78380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DC77207-26DA-0049-A9EB-BD905E883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91-1D43-B3BF-2EDCB7838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CarbDi!$AP$2:$AP$13</c:f>
              <c:numCache>
                <c:formatCode>General</c:formatCode>
                <c:ptCount val="12"/>
                <c:pt idx="0">
                  <c:v>843740</c:v>
                </c:pt>
                <c:pt idx="1">
                  <c:v>659276.66666666663</c:v>
                </c:pt>
                <c:pt idx="2">
                  <c:v>488231.66666666663</c:v>
                </c:pt>
                <c:pt idx="3">
                  <c:v>372905</c:v>
                </c:pt>
                <c:pt idx="4">
                  <c:v>167373.33333333331</c:v>
                </c:pt>
                <c:pt idx="5">
                  <c:v>45940</c:v>
                </c:pt>
                <c:pt idx="6">
                  <c:v>128300</c:v>
                </c:pt>
                <c:pt idx="7">
                  <c:v>117983.33333333333</c:v>
                </c:pt>
                <c:pt idx="8">
                  <c:v>81780</c:v>
                </c:pt>
                <c:pt idx="9">
                  <c:v>58090</c:v>
                </c:pt>
                <c:pt idx="10">
                  <c:v>12603.333333333334</c:v>
                </c:pt>
                <c:pt idx="11">
                  <c:v>380</c:v>
                </c:pt>
              </c:numCache>
            </c:numRef>
          </c:xVal>
          <c:yVal>
            <c:numRef>
              <c:f>CarbDi!$AS$2:$AS$13</c:f>
              <c:numCache>
                <c:formatCode>General</c:formatCode>
                <c:ptCount val="12"/>
                <c:pt idx="0">
                  <c:v>32006166.666666664</c:v>
                </c:pt>
                <c:pt idx="1">
                  <c:v>25108000</c:v>
                </c:pt>
                <c:pt idx="2">
                  <c:v>20684133.333333332</c:v>
                </c:pt>
                <c:pt idx="3">
                  <c:v>8680223.2802124824</c:v>
                </c:pt>
                <c:pt idx="4">
                  <c:v>4735733.645833333</c:v>
                </c:pt>
                <c:pt idx="5">
                  <c:v>5329866.666666666</c:v>
                </c:pt>
                <c:pt idx="6">
                  <c:v>2289200</c:v>
                </c:pt>
                <c:pt idx="7">
                  <c:v>2631533.3333333335</c:v>
                </c:pt>
                <c:pt idx="8">
                  <c:v>1169999.9999999998</c:v>
                </c:pt>
                <c:pt idx="9">
                  <c:v>1190266.6666666665</c:v>
                </c:pt>
                <c:pt idx="10">
                  <c:v>219866.66666666666</c:v>
                </c:pt>
                <c:pt idx="11">
                  <c:v>200799.99999999997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CarbDi!$AL$2:$AL$13</c15:f>
                <c15:dlblRangeCache>
                  <c:ptCount val="12"/>
                  <c:pt idx="0">
                    <c:v>100</c:v>
                  </c:pt>
                  <c:pt idx="1">
                    <c:v>80</c:v>
                  </c:pt>
                  <c:pt idx="2">
                    <c:v>60</c:v>
                  </c:pt>
                  <c:pt idx="3">
                    <c:v>40</c:v>
                  </c:pt>
                  <c:pt idx="4">
                    <c:v>20</c:v>
                  </c:pt>
                  <c:pt idx="5">
                    <c:v>15</c:v>
                  </c:pt>
                  <c:pt idx="6">
                    <c:v>12</c:v>
                  </c:pt>
                  <c:pt idx="7">
                    <c:v>10</c:v>
                  </c:pt>
                  <c:pt idx="8">
                    <c:v>7.5</c:v>
                  </c:pt>
                  <c:pt idx="9">
                    <c:v>5</c:v>
                  </c:pt>
                  <c:pt idx="10">
                    <c:v>1</c:v>
                  </c:pt>
                  <c:pt idx="11">
                    <c:v>0.5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B2-9A42-B797-2D215B58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749279"/>
        <c:axId val="1397152799"/>
      </c:scatterChart>
      <c:valAx>
        <c:axId val="17067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2799"/>
        <c:crosses val="autoZero"/>
        <c:crossBetween val="midCat"/>
      </c:valAx>
      <c:valAx>
        <c:axId val="13971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Carb25!$E$2:$E$11</c:f>
              <c:numCache>
                <c:formatCode>General</c:formatCode>
                <c:ptCount val="10"/>
                <c:pt idx="0">
                  <c:v>2149400</c:v>
                </c:pt>
                <c:pt idx="1">
                  <c:v>1941580</c:v>
                </c:pt>
                <c:pt idx="2">
                  <c:v>1743733.3333333333</c:v>
                </c:pt>
                <c:pt idx="3">
                  <c:v>1571726.6666666665</c:v>
                </c:pt>
                <c:pt idx="4">
                  <c:v>1315733.3333333333</c:v>
                </c:pt>
                <c:pt idx="5">
                  <c:v>1053773.3333333333</c:v>
                </c:pt>
                <c:pt idx="6">
                  <c:v>929560</c:v>
                </c:pt>
                <c:pt idx="7">
                  <c:v>705013.33333333326</c:v>
                </c:pt>
                <c:pt idx="8">
                  <c:v>374460</c:v>
                </c:pt>
                <c:pt idx="9">
                  <c:v>212240</c:v>
                </c:pt>
              </c:numCache>
            </c:numRef>
          </c:xVal>
          <c:yVal>
            <c:numRef>
              <c:f>Carb25!$H$2:$H$11</c:f>
              <c:numCache>
                <c:formatCode>General</c:formatCode>
                <c:ptCount val="10"/>
                <c:pt idx="0">
                  <c:v>19870400</c:v>
                </c:pt>
                <c:pt idx="1">
                  <c:v>18581733.333333328</c:v>
                </c:pt>
                <c:pt idx="2">
                  <c:v>16516266.666666664</c:v>
                </c:pt>
                <c:pt idx="3">
                  <c:v>15872666.66666667</c:v>
                </c:pt>
                <c:pt idx="4">
                  <c:v>13728666.666666668</c:v>
                </c:pt>
                <c:pt idx="5">
                  <c:v>12160133.333333336</c:v>
                </c:pt>
                <c:pt idx="6">
                  <c:v>8206133.3333333302</c:v>
                </c:pt>
                <c:pt idx="7">
                  <c:v>6144000</c:v>
                </c:pt>
                <c:pt idx="8">
                  <c:v>3414400</c:v>
                </c:pt>
                <c:pt idx="9">
                  <c:v>1218799.9999999998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3-154F-A3AA-02B05C4D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68559"/>
        <c:axId val="1470241151"/>
      </c:scatterChart>
      <c:valAx>
        <c:axId val="148456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41151"/>
        <c:crosses val="autoZero"/>
        <c:crossBetween val="midCat"/>
      </c:valAx>
      <c:valAx>
        <c:axId val="14702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6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plainDi!$E$2:$E$13</c:f>
              <c:numCache>
                <c:formatCode>General</c:formatCode>
                <c:ptCount val="12"/>
                <c:pt idx="0">
                  <c:v>692193.33333333326</c:v>
                </c:pt>
                <c:pt idx="1">
                  <c:v>539613.33333333337</c:v>
                </c:pt>
                <c:pt idx="2">
                  <c:v>274133.33333333331</c:v>
                </c:pt>
                <c:pt idx="3">
                  <c:v>173740</c:v>
                </c:pt>
                <c:pt idx="4">
                  <c:v>134786.66666666666</c:v>
                </c:pt>
                <c:pt idx="5">
                  <c:v>102506.66666666666</c:v>
                </c:pt>
                <c:pt idx="6">
                  <c:v>88486.666666666657</c:v>
                </c:pt>
                <c:pt idx="7">
                  <c:v>62320</c:v>
                </c:pt>
                <c:pt idx="8">
                  <c:v>42240</c:v>
                </c:pt>
                <c:pt idx="9">
                  <c:v>20280</c:v>
                </c:pt>
                <c:pt idx="10">
                  <c:v>8020</c:v>
                </c:pt>
                <c:pt idx="11">
                  <c:v>4486.666666666667</c:v>
                </c:pt>
              </c:numCache>
            </c:numRef>
          </c:xVal>
          <c:yVal>
            <c:numRef>
              <c:f>plainDi!$H$2:$H$13</c:f>
              <c:numCache>
                <c:formatCode>General</c:formatCode>
                <c:ptCount val="12"/>
                <c:pt idx="0">
                  <c:v>17107600</c:v>
                </c:pt>
                <c:pt idx="1">
                  <c:v>11917466.66666667</c:v>
                </c:pt>
                <c:pt idx="2">
                  <c:v>6286800</c:v>
                </c:pt>
                <c:pt idx="3">
                  <c:v>2984266.666666666</c:v>
                </c:pt>
                <c:pt idx="4">
                  <c:v>2124933.333333333</c:v>
                </c:pt>
                <c:pt idx="5">
                  <c:v>1815466.6666666672</c:v>
                </c:pt>
                <c:pt idx="6">
                  <c:v>1151999.9999999998</c:v>
                </c:pt>
                <c:pt idx="7">
                  <c:v>959999.99999999988</c:v>
                </c:pt>
                <c:pt idx="8">
                  <c:v>666400</c:v>
                </c:pt>
                <c:pt idx="9">
                  <c:v>430133.33333333326</c:v>
                </c:pt>
                <c:pt idx="10">
                  <c:v>137466.66666666663</c:v>
                </c:pt>
                <c:pt idx="11">
                  <c:v>66933.333333333314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0A4D-AB06-FEAFA6B2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45423"/>
        <c:axId val="1394571599"/>
      </c:scatterChart>
      <c:valAx>
        <c:axId val="146694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71599"/>
        <c:crosses val="autoZero"/>
        <c:crossBetween val="midCat"/>
      </c:valAx>
      <c:valAx>
        <c:axId val="13945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4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Carb25!$Q$2:$Q$6</c:f>
              <c:numCache>
                <c:formatCode>General</c:formatCode>
                <c:ptCount val="5"/>
                <c:pt idx="0">
                  <c:v>1322820</c:v>
                </c:pt>
                <c:pt idx="1">
                  <c:v>884920</c:v>
                </c:pt>
                <c:pt idx="2">
                  <c:v>667800</c:v>
                </c:pt>
                <c:pt idx="3">
                  <c:v>438220</c:v>
                </c:pt>
                <c:pt idx="4">
                  <c:v>172200</c:v>
                </c:pt>
              </c:numCache>
            </c:numRef>
          </c:xVal>
          <c:yVal>
            <c:numRef>
              <c:f>Carb25!$T$2:$T$6</c:f>
              <c:numCache>
                <c:formatCode>General</c:formatCode>
                <c:ptCount val="5"/>
                <c:pt idx="0">
                  <c:v>41812000</c:v>
                </c:pt>
                <c:pt idx="1">
                  <c:v>35437600</c:v>
                </c:pt>
                <c:pt idx="2">
                  <c:v>27279200</c:v>
                </c:pt>
                <c:pt idx="3">
                  <c:v>18749200</c:v>
                </c:pt>
                <c:pt idx="4">
                  <c:v>10445600.000000002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1A41-9221-DAA1194F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622287"/>
        <c:axId val="990601663"/>
      </c:scatterChart>
      <c:valAx>
        <c:axId val="14786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01663"/>
        <c:crosses val="autoZero"/>
        <c:crossBetween val="midCat"/>
      </c:valAx>
      <c:valAx>
        <c:axId val="9906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Carb25!$Z$2:$Z$6</c:f>
              <c:numCache>
                <c:formatCode>General</c:formatCode>
                <c:ptCount val="5"/>
                <c:pt idx="0">
                  <c:v>969280</c:v>
                </c:pt>
                <c:pt idx="1">
                  <c:v>902680</c:v>
                </c:pt>
                <c:pt idx="2">
                  <c:v>630580</c:v>
                </c:pt>
                <c:pt idx="3">
                  <c:v>486120</c:v>
                </c:pt>
                <c:pt idx="4">
                  <c:v>239780</c:v>
                </c:pt>
              </c:numCache>
            </c:numRef>
          </c:xVal>
          <c:yVal>
            <c:numRef>
              <c:f>Carb25!$AC$2:$AC$6</c:f>
              <c:numCache>
                <c:formatCode>General</c:formatCode>
                <c:ptCount val="5"/>
                <c:pt idx="0">
                  <c:v>47331599.999999993</c:v>
                </c:pt>
                <c:pt idx="1">
                  <c:v>37020399.999999993</c:v>
                </c:pt>
                <c:pt idx="2">
                  <c:v>28797325.220176142</c:v>
                </c:pt>
                <c:pt idx="3">
                  <c:v>18628400</c:v>
                </c:pt>
                <c:pt idx="4">
                  <c:v>9255600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D446-89B3-ED415AA3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61023"/>
        <c:axId val="1482654623"/>
      </c:scatterChart>
      <c:valAx>
        <c:axId val="148246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54623"/>
        <c:crosses val="autoZero"/>
        <c:crossBetween val="midCat"/>
      </c:valAx>
      <c:valAx>
        <c:axId val="14826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6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Carb25!$AI$2:$AI$7</c:f>
              <c:numCache>
                <c:formatCode>General</c:formatCode>
                <c:ptCount val="6"/>
                <c:pt idx="0">
                  <c:v>1480500</c:v>
                </c:pt>
                <c:pt idx="1">
                  <c:v>1177111.111111111</c:v>
                </c:pt>
                <c:pt idx="2">
                  <c:v>871371.11111111101</c:v>
                </c:pt>
                <c:pt idx="3">
                  <c:v>617966.66666666663</c:v>
                </c:pt>
                <c:pt idx="4">
                  <c:v>262146.66666666669</c:v>
                </c:pt>
                <c:pt idx="5">
                  <c:v>212240</c:v>
                </c:pt>
              </c:numCache>
            </c:numRef>
          </c:xVal>
          <c:yVal>
            <c:numRef>
              <c:f>Carb25!$AL$2:$AL$7</c:f>
              <c:numCache>
                <c:formatCode>General</c:formatCode>
                <c:ptCount val="6"/>
                <c:pt idx="0">
                  <c:v>36338000</c:v>
                </c:pt>
                <c:pt idx="1">
                  <c:v>29658088.888888884</c:v>
                </c:pt>
                <c:pt idx="2">
                  <c:v>23268397.295614272</c:v>
                </c:pt>
                <c:pt idx="3">
                  <c:v>15194577.777777776</c:v>
                </c:pt>
                <c:pt idx="4">
                  <c:v>7705200</c:v>
                </c:pt>
                <c:pt idx="5">
                  <c:v>1218799.9999999998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F-AA45-8673-6DA90E82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12448"/>
        <c:axId val="310970656"/>
      </c:scatterChart>
      <c:valAx>
        <c:axId val="3114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0656"/>
        <c:crosses val="autoZero"/>
        <c:crossBetween val="midCat"/>
      </c:valAx>
      <c:valAx>
        <c:axId val="3109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1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29396325459318E-2"/>
                  <c:y val="-0.24770450568678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CarbKarst!$AF$2:$AF$6</c:f>
              <c:numCache>
                <c:formatCode>General</c:formatCode>
                <c:ptCount val="5"/>
                <c:pt idx="0">
                  <c:v>63300</c:v>
                </c:pt>
                <c:pt idx="1">
                  <c:v>69620</c:v>
                </c:pt>
                <c:pt idx="2">
                  <c:v>51713.333333333336</c:v>
                </c:pt>
                <c:pt idx="3">
                  <c:v>48720</c:v>
                </c:pt>
                <c:pt idx="4">
                  <c:v>21366.666666666668</c:v>
                </c:pt>
              </c:numCache>
            </c:numRef>
          </c:xVal>
          <c:yVal>
            <c:numRef>
              <c:f>CarbKarst!$AI$2:$AI$6</c:f>
              <c:numCache>
                <c:formatCode>General</c:formatCode>
                <c:ptCount val="5"/>
                <c:pt idx="0">
                  <c:v>20548933.333333332</c:v>
                </c:pt>
                <c:pt idx="1">
                  <c:v>30885733.333333332</c:v>
                </c:pt>
                <c:pt idx="2">
                  <c:v>18138666.666666668</c:v>
                </c:pt>
                <c:pt idx="3">
                  <c:v>8702000</c:v>
                </c:pt>
                <c:pt idx="4">
                  <c:v>7270933.333333333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0-E245-8B5F-ACEA330A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46287"/>
        <c:axId val="1424917727"/>
      </c:scatterChart>
      <c:valAx>
        <c:axId val="14240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17727"/>
        <c:crosses val="autoZero"/>
        <c:crossBetween val="midCat"/>
      </c:valAx>
      <c:valAx>
        <c:axId val="14249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CarbKarst!$E$2:$E$6</c:f>
              <c:numCache>
                <c:formatCode>General</c:formatCode>
                <c:ptCount val="5"/>
                <c:pt idx="0">
                  <c:v>91980</c:v>
                </c:pt>
                <c:pt idx="1">
                  <c:v>75160</c:v>
                </c:pt>
                <c:pt idx="2">
                  <c:v>49580</c:v>
                </c:pt>
                <c:pt idx="3">
                  <c:v>36460</c:v>
                </c:pt>
                <c:pt idx="4">
                  <c:v>12240</c:v>
                </c:pt>
              </c:numCache>
            </c:numRef>
          </c:xVal>
          <c:yVal>
            <c:numRef>
              <c:f>CarbKarst!$H$2:$H$6</c:f>
              <c:numCache>
                <c:formatCode>General</c:formatCode>
                <c:ptCount val="5"/>
                <c:pt idx="0">
                  <c:v>36529200</c:v>
                </c:pt>
                <c:pt idx="1">
                  <c:v>42669600</c:v>
                </c:pt>
                <c:pt idx="2">
                  <c:v>17411200.000000004</c:v>
                </c:pt>
                <c:pt idx="3">
                  <c:v>3788799.9999999995</c:v>
                </c:pt>
                <c:pt idx="4">
                  <c:v>10989999.999999998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7-EF43-AB97-2F3AAD98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99151"/>
        <c:axId val="2120380239"/>
      </c:scatterChart>
      <c:valAx>
        <c:axId val="2120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0239"/>
        <c:crosses val="autoZero"/>
        <c:crossBetween val="midCat"/>
      </c:valAx>
      <c:valAx>
        <c:axId val="21203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6981627296588"/>
          <c:y val="0.17171296296296298"/>
          <c:w val="0.788863517060367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CarbKarst!$N$2:$N$6</c:f>
              <c:numCache>
                <c:formatCode>General</c:formatCode>
                <c:ptCount val="5"/>
                <c:pt idx="0">
                  <c:v>86740</c:v>
                </c:pt>
                <c:pt idx="1">
                  <c:v>72920</c:v>
                </c:pt>
                <c:pt idx="2">
                  <c:v>54960</c:v>
                </c:pt>
                <c:pt idx="3">
                  <c:v>48280</c:v>
                </c:pt>
                <c:pt idx="4">
                  <c:v>24640</c:v>
                </c:pt>
              </c:numCache>
            </c:numRef>
          </c:xVal>
          <c:yVal>
            <c:numRef>
              <c:f>CarbKarst!$Q$2:$Q$6</c:f>
              <c:numCache>
                <c:formatCode>General</c:formatCode>
                <c:ptCount val="5"/>
                <c:pt idx="0">
                  <c:v>11046799.999999998</c:v>
                </c:pt>
                <c:pt idx="1">
                  <c:v>26799600</c:v>
                </c:pt>
                <c:pt idx="2">
                  <c:v>20392000</c:v>
                </c:pt>
                <c:pt idx="3">
                  <c:v>16074000</c:v>
                </c:pt>
                <c:pt idx="4">
                  <c:v>5552000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9-5841-8BC6-E82A8504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240"/>
        <c:axId val="279385680"/>
      </c:scatterChart>
      <c:valAx>
        <c:axId val="2576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85680"/>
        <c:crosses val="autoZero"/>
        <c:crossBetween val="midCat"/>
      </c:valAx>
      <c:valAx>
        <c:axId val="2793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CarbKarst!$W$2:$W$6</c:f>
              <c:numCache>
                <c:formatCode>General</c:formatCode>
                <c:ptCount val="5"/>
                <c:pt idx="0">
                  <c:v>11180</c:v>
                </c:pt>
                <c:pt idx="1">
                  <c:v>60780</c:v>
                </c:pt>
                <c:pt idx="2">
                  <c:v>50600</c:v>
                </c:pt>
                <c:pt idx="3">
                  <c:v>61420</c:v>
                </c:pt>
                <c:pt idx="4">
                  <c:v>27220</c:v>
                </c:pt>
              </c:numCache>
            </c:numRef>
          </c:xVal>
          <c:yVal>
            <c:numRef>
              <c:f>CarbKarst!$Z$2:$Z$6</c:f>
              <c:numCache>
                <c:formatCode>General</c:formatCode>
                <c:ptCount val="5"/>
                <c:pt idx="0">
                  <c:v>14070800</c:v>
                </c:pt>
                <c:pt idx="1">
                  <c:v>23188000</c:v>
                </c:pt>
                <c:pt idx="2">
                  <c:v>16612800.000000004</c:v>
                </c:pt>
                <c:pt idx="3">
                  <c:v>6243200</c:v>
                </c:pt>
                <c:pt idx="4">
                  <c:v>5270800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A-B141-B22A-7FBCD8CE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76991"/>
        <c:axId val="359897344"/>
      </c:scatterChart>
      <c:valAx>
        <c:axId val="21386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97344"/>
        <c:crosses val="autoZero"/>
        <c:crossBetween val="midCat"/>
      </c:valAx>
      <c:valAx>
        <c:axId val="3598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plainDi!$AI$2:$AI$6</c:f>
              <c:numCache>
                <c:formatCode>0.00E+00</c:formatCode>
                <c:ptCount val="5"/>
                <c:pt idx="0">
                  <c:v>719240</c:v>
                </c:pt>
                <c:pt idx="1">
                  <c:v>334900</c:v>
                </c:pt>
                <c:pt idx="2">
                  <c:v>476520</c:v>
                </c:pt>
                <c:pt idx="3">
                  <c:v>89020</c:v>
                </c:pt>
                <c:pt idx="4">
                  <c:v>80640</c:v>
                </c:pt>
              </c:numCache>
            </c:numRef>
          </c:xVal>
          <c:yVal>
            <c:numRef>
              <c:f>plainDi!$AL$2:$AL$6</c:f>
              <c:numCache>
                <c:formatCode>0.00E+00</c:formatCode>
                <c:ptCount val="5"/>
                <c:pt idx="0">
                  <c:v>33033674.220032841</c:v>
                </c:pt>
                <c:pt idx="1">
                  <c:v>36909600.000000007</c:v>
                </c:pt>
                <c:pt idx="2">
                  <c:v>17718800</c:v>
                </c:pt>
                <c:pt idx="3">
                  <c:v>20274800</c:v>
                </c:pt>
                <c:pt idx="4">
                  <c:v>8942800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F-1949-A412-DBF60C58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76383"/>
        <c:axId val="1469889951"/>
      </c:scatterChart>
      <c:valAx>
        <c:axId val="141807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89951"/>
        <c:crosses val="autoZero"/>
        <c:crossBetween val="midCat"/>
      </c:valAx>
      <c:valAx>
        <c:axId val="14698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7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plainDi!$Y$2:$Y$6</c:f>
              <c:numCache>
                <c:formatCode>General</c:formatCode>
                <c:ptCount val="5"/>
                <c:pt idx="0">
                  <c:v>437760</c:v>
                </c:pt>
                <c:pt idx="1">
                  <c:v>149900</c:v>
                </c:pt>
                <c:pt idx="2">
                  <c:v>344520</c:v>
                </c:pt>
                <c:pt idx="3">
                  <c:v>81680</c:v>
                </c:pt>
                <c:pt idx="4">
                  <c:v>5600</c:v>
                </c:pt>
              </c:numCache>
            </c:numRef>
          </c:xVal>
          <c:yVal>
            <c:numRef>
              <c:f>plainDi!$AB$2:$AB$6</c:f>
              <c:numCache>
                <c:formatCode>General</c:formatCode>
                <c:ptCount val="5"/>
                <c:pt idx="0">
                  <c:v>85471125.320000023</c:v>
                </c:pt>
                <c:pt idx="1">
                  <c:v>64386183.3024</c:v>
                </c:pt>
                <c:pt idx="2">
                  <c:v>34183709.478</c:v>
                </c:pt>
                <c:pt idx="3">
                  <c:v>34031435.705999993</c:v>
                </c:pt>
                <c:pt idx="4">
                  <c:v>18973971.752799999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B-BA48-A488-F50A2911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57711"/>
        <c:axId val="1706306591"/>
      </c:scatterChart>
      <c:valAx>
        <c:axId val="13969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06591"/>
        <c:crosses val="autoZero"/>
        <c:crossBetween val="midCat"/>
      </c:valAx>
      <c:valAx>
        <c:axId val="17063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5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66351C-1BD5-EE4E-8974-6089551EB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2E-ED41-BE0A-3A72C98C39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6DAE3A-7EDA-7F42-9BE6-F76790567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12E-ED41-BE0A-3A72C98C39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4311B1-D6C8-D84A-B797-206C52BD9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2E-ED41-BE0A-3A72C98C39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2128D9-A36D-494A-BFC3-38E1B35EA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2E-ED41-BE0A-3A72C98C39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524436-9C59-9C4A-A73C-8AA1D378F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2E-ED41-BE0A-3A72C98C39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C4F629-5F8E-D047-8B4D-AC7F064BF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2E-ED41-BE0A-3A72C98C39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628857-29AD-9243-B295-89CBF8871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2E-ED41-BE0A-3A72C98C39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E5A30D-A405-7A4F-B08B-8E9E39745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12E-ED41-BE0A-3A72C98C39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851828D-D64F-F044-8A3D-BCAF9E707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2E-ED41-BE0A-3A72C98C39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6AEF6BD-05F2-F64B-811F-EFFB0B928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12E-ED41-BE0A-3A72C98C39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889B996-0665-C849-BD5C-63D7A8A73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12E-ED41-BE0A-3A72C98C39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BC7D6E-FA8A-3D44-8044-C90323AD5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12E-ED41-BE0A-3A72C98C39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C942237-F3AD-2E43-A8DF-EBA4EE8BE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12E-ED41-BE0A-3A72C98C3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plainDi!$AT$2:$AT$14</c:f>
              <c:numCache>
                <c:formatCode>0.00E+00</c:formatCode>
                <c:ptCount val="13"/>
                <c:pt idx="0" formatCode="General">
                  <c:v>676020</c:v>
                </c:pt>
                <c:pt idx="1">
                  <c:v>417991.66666666669</c:v>
                </c:pt>
                <c:pt idx="2" formatCode="General">
                  <c:v>516508.88888888899</c:v>
                </c:pt>
                <c:pt idx="3" formatCode="General">
                  <c:v>285718.33333333337</c:v>
                </c:pt>
                <c:pt idx="4" formatCode="General">
                  <c:v>158085</c:v>
                </c:pt>
                <c:pt idx="5" formatCode="General">
                  <c:v>134786.66666666666</c:v>
                </c:pt>
                <c:pt idx="6" formatCode="General">
                  <c:v>102506.66666666666</c:v>
                </c:pt>
                <c:pt idx="7" formatCode="General">
                  <c:v>96003.333333333328</c:v>
                </c:pt>
                <c:pt idx="8" formatCode="General">
                  <c:v>62320</c:v>
                </c:pt>
                <c:pt idx="9" formatCode="General">
                  <c:v>49260</c:v>
                </c:pt>
                <c:pt idx="10" formatCode="General">
                  <c:v>20280</c:v>
                </c:pt>
                <c:pt idx="11" formatCode="General">
                  <c:v>10140</c:v>
                </c:pt>
                <c:pt idx="12" formatCode="General">
                  <c:v>4486.666666666667</c:v>
                </c:pt>
              </c:numCache>
            </c:numRef>
          </c:xVal>
          <c:yVal>
            <c:numRef>
              <c:f>plainDi!$AW$2:$AW$14</c:f>
              <c:numCache>
                <c:formatCode>0.00E+00</c:formatCode>
                <c:ptCount val="13"/>
                <c:pt idx="0">
                  <c:v>42616399.885008216</c:v>
                </c:pt>
                <c:pt idx="1">
                  <c:v>36172212.49226667</c:v>
                </c:pt>
                <c:pt idx="2" formatCode="General">
                  <c:v>22826614.270444442</c:v>
                </c:pt>
                <c:pt idx="3" formatCode="General">
                  <c:v>17045992.57108333</c:v>
                </c:pt>
                <c:pt idx="4" formatCode="General">
                  <c:v>11350726.271533333</c:v>
                </c:pt>
                <c:pt idx="5" formatCode="General">
                  <c:v>2124933.333333333</c:v>
                </c:pt>
                <c:pt idx="6" formatCode="General">
                  <c:v>1815466.6666666672</c:v>
                </c:pt>
                <c:pt idx="7" formatCode="General">
                  <c:v>2260866.666666667</c:v>
                </c:pt>
                <c:pt idx="8" formatCode="General">
                  <c:v>959999.99999999988</c:v>
                </c:pt>
                <c:pt idx="9" formatCode="General">
                  <c:v>1170333.3333333333</c:v>
                </c:pt>
                <c:pt idx="10" formatCode="General">
                  <c:v>430133.33333333326</c:v>
                </c:pt>
                <c:pt idx="11" formatCode="General">
                  <c:v>232866.66666666663</c:v>
                </c:pt>
                <c:pt idx="12" formatCode="General">
                  <c:v>66933.333333333314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plainDi!$AP$2:$AP$14</c15:f>
                <c15:dlblRangeCache>
                  <c:ptCount val="13"/>
                  <c:pt idx="0">
                    <c:v>100</c:v>
                  </c:pt>
                  <c:pt idx="1">
                    <c:v>80</c:v>
                  </c:pt>
                  <c:pt idx="2">
                    <c:v>60</c:v>
                  </c:pt>
                  <c:pt idx="3">
                    <c:v>40</c:v>
                  </c:pt>
                  <c:pt idx="4">
                    <c:v>20</c:v>
                  </c:pt>
                  <c:pt idx="5">
                    <c:v>15</c:v>
                  </c:pt>
                  <c:pt idx="6">
                    <c:v>12</c:v>
                  </c:pt>
                  <c:pt idx="7">
                    <c:v>10</c:v>
                  </c:pt>
                  <c:pt idx="8">
                    <c:v>7.5</c:v>
                  </c:pt>
                  <c:pt idx="9">
                    <c:v>5</c:v>
                  </c:pt>
                  <c:pt idx="10">
                    <c:v>2.5</c:v>
                  </c:pt>
                  <c:pt idx="11">
                    <c:v>1</c:v>
                  </c:pt>
                  <c:pt idx="12">
                    <c:v>0.5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85-484B-8698-A2DC63C32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67519"/>
        <c:axId val="1482480927"/>
      </c:scatterChart>
      <c:valAx>
        <c:axId val="14825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80927"/>
        <c:crosses val="autoZero"/>
        <c:crossBetween val="midCat"/>
      </c:valAx>
      <c:valAx>
        <c:axId val="14824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6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8737860226356"/>
          <c:y val="0.16220644377967228"/>
          <c:w val="0.78328942911732258"/>
          <c:h val="0.724473055316551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plain25!$AJ$2:$AJ$8</c:f>
              <c:numCache>
                <c:formatCode>General</c:formatCode>
                <c:ptCount val="7"/>
                <c:pt idx="0">
                  <c:v>795535.5555555555</c:v>
                </c:pt>
                <c:pt idx="1">
                  <c:v>673480</c:v>
                </c:pt>
                <c:pt idx="2">
                  <c:v>766273.33333333326</c:v>
                </c:pt>
                <c:pt idx="3">
                  <c:v>404268.88888888882</c:v>
                </c:pt>
                <c:pt idx="4">
                  <c:v>382868.88888888882</c:v>
                </c:pt>
                <c:pt idx="5">
                  <c:v>221080</c:v>
                </c:pt>
                <c:pt idx="6">
                  <c:v>153020</c:v>
                </c:pt>
              </c:numCache>
            </c:numRef>
          </c:xVal>
          <c:yVal>
            <c:numRef>
              <c:f>plain25!$AM$2:$AM$8</c:f>
              <c:numCache>
                <c:formatCode>General</c:formatCode>
                <c:ptCount val="7"/>
                <c:pt idx="0">
                  <c:v>13481358.659915449</c:v>
                </c:pt>
                <c:pt idx="1">
                  <c:v>12823600.127472728</c:v>
                </c:pt>
                <c:pt idx="2">
                  <c:v>8147200.0000000019</c:v>
                </c:pt>
                <c:pt idx="3">
                  <c:v>9392115.9381043185</c:v>
                </c:pt>
                <c:pt idx="4">
                  <c:v>7089264.2702519</c:v>
                </c:pt>
                <c:pt idx="5">
                  <c:v>5258533.3333333321</c:v>
                </c:pt>
                <c:pt idx="6">
                  <c:v>3633454.5286133024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E-3145-B0FA-6E446264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882479"/>
        <c:axId val="1384147087"/>
      </c:scatterChart>
      <c:valAx>
        <c:axId val="138488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47087"/>
        <c:crosses val="autoZero"/>
        <c:crossBetween val="midCat"/>
      </c:valAx>
      <c:valAx>
        <c:axId val="13841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8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plain25!$E$2:$E$8</c:f>
              <c:numCache>
                <c:formatCode>General</c:formatCode>
                <c:ptCount val="7"/>
                <c:pt idx="0">
                  <c:v>929746.66666666663</c:v>
                </c:pt>
                <c:pt idx="1">
                  <c:v>696220</c:v>
                </c:pt>
                <c:pt idx="2">
                  <c:v>766273.33333333326</c:v>
                </c:pt>
                <c:pt idx="3">
                  <c:v>401366.66666666663</c:v>
                </c:pt>
                <c:pt idx="4">
                  <c:v>436346.66666666663</c:v>
                </c:pt>
                <c:pt idx="5">
                  <c:v>221080</c:v>
                </c:pt>
                <c:pt idx="6">
                  <c:v>166880</c:v>
                </c:pt>
              </c:numCache>
            </c:numRef>
          </c:xVal>
          <c:yVal>
            <c:numRef>
              <c:f>plain25!$H$2:$H$8</c:f>
              <c:numCache>
                <c:formatCode>General</c:formatCode>
                <c:ptCount val="7"/>
                <c:pt idx="0">
                  <c:v>11032799.999999998</c:v>
                </c:pt>
                <c:pt idx="1">
                  <c:v>8726000</c:v>
                </c:pt>
                <c:pt idx="2">
                  <c:v>8147200.0000000019</c:v>
                </c:pt>
                <c:pt idx="3">
                  <c:v>6860800</c:v>
                </c:pt>
                <c:pt idx="4">
                  <c:v>6043999.9999999991</c:v>
                </c:pt>
                <c:pt idx="5">
                  <c:v>5258533.3333333321</c:v>
                </c:pt>
                <c:pt idx="6">
                  <c:v>3351466.666666666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9-7D47-B3F1-326D62B9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11647"/>
        <c:axId val="1424613295"/>
      </c:scatterChart>
      <c:valAx>
        <c:axId val="14246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13295"/>
        <c:crosses val="autoZero"/>
        <c:crossBetween val="midCat"/>
      </c:valAx>
      <c:valAx>
        <c:axId val="14246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1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621172353455819E-4"/>
                  <c:y val="-0.12287547389909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plain25!$R$2:$R$6</c:f>
              <c:numCache>
                <c:formatCode>General</c:formatCode>
                <c:ptCount val="5"/>
                <c:pt idx="0">
                  <c:v>487880</c:v>
                </c:pt>
                <c:pt idx="1">
                  <c:v>673700</c:v>
                </c:pt>
                <c:pt idx="2">
                  <c:v>323120</c:v>
                </c:pt>
                <c:pt idx="3">
                  <c:v>344060</c:v>
                </c:pt>
                <c:pt idx="4">
                  <c:v>121940</c:v>
                </c:pt>
              </c:numCache>
            </c:numRef>
          </c:xVal>
          <c:yVal>
            <c:numRef>
              <c:f>plain25!$U$2:$U$6</c:f>
              <c:numCache>
                <c:formatCode>General</c:formatCode>
                <c:ptCount val="5"/>
                <c:pt idx="0">
                  <c:v>53275.979746353238</c:v>
                </c:pt>
                <c:pt idx="1">
                  <c:v>44400.382418189969</c:v>
                </c:pt>
                <c:pt idx="2">
                  <c:v>36747.814312953873</c:v>
                </c:pt>
                <c:pt idx="3">
                  <c:v>21792.810755700768</c:v>
                </c:pt>
                <c:pt idx="4">
                  <c:v>12096.919173241287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E741-BFCA-687ABD907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92032"/>
        <c:axId val="449889120"/>
      </c:scatterChart>
      <c:valAx>
        <c:axId val="4517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9120"/>
        <c:crosses val="autoZero"/>
        <c:crossBetween val="midCat"/>
      </c:valAx>
      <c:valAx>
        <c:axId val="4498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plain25!$AA$2:$AA$6</c:f>
              <c:numCache>
                <c:formatCode>General</c:formatCode>
                <c:ptCount val="5"/>
                <c:pt idx="0">
                  <c:v>968980</c:v>
                </c:pt>
                <c:pt idx="1">
                  <c:v>650520</c:v>
                </c:pt>
                <c:pt idx="2">
                  <c:v>488320</c:v>
                </c:pt>
                <c:pt idx="3">
                  <c:v>368200</c:v>
                </c:pt>
                <c:pt idx="4">
                  <c:v>170240</c:v>
                </c:pt>
              </c:numCache>
            </c:numRef>
          </c:xVal>
          <c:yVal>
            <c:numRef>
              <c:f>plain25!$AD$2:$AD$6</c:f>
              <c:numCache>
                <c:formatCode>General</c:formatCode>
                <c:ptCount val="5"/>
                <c:pt idx="0">
                  <c:v>29358000</c:v>
                </c:pt>
                <c:pt idx="1">
                  <c:v>29700400</c:v>
                </c:pt>
                <c:pt idx="2">
                  <c:v>21278800</c:v>
                </c:pt>
                <c:pt idx="3">
                  <c:v>15202000</c:v>
                </c:pt>
                <c:pt idx="4">
                  <c:v>7536800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B-7044-AC95-BEF583DD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99200"/>
        <c:axId val="424372096"/>
      </c:scatterChart>
      <c:valAx>
        <c:axId val="4243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72096"/>
        <c:crosses val="autoZero"/>
        <c:crossBetween val="midCat"/>
      </c:valAx>
      <c:valAx>
        <c:axId val="42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436880</xdr:colOff>
      <xdr:row>19</xdr:row>
      <xdr:rowOff>20320</xdr:rowOff>
    </xdr:from>
    <xdr:to>
      <xdr:col>16</xdr:col>
      <xdr:colOff>720090</xdr:colOff>
      <xdr:row>34</xdr:row>
      <xdr:rowOff>33020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BCCD3-C368-E3F6-697B-AF9282098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573852</xdr:colOff>
      <xdr:row>16</xdr:row>
      <xdr:rowOff>48919</xdr:rowOff>
    </xdr:from>
    <xdr:to>
      <xdr:col>5</xdr:col>
      <xdr:colOff>178741</xdr:colOff>
      <xdr:row>29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484233-BFCE-C592-EB81-4E92F95ED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575734</xdr:colOff>
      <xdr:row>11</xdr:row>
      <xdr:rowOff>76199</xdr:rowOff>
    </xdr:from>
    <xdr:to>
      <xdr:col>36</xdr:col>
      <xdr:colOff>169334</xdr:colOff>
      <xdr:row>24</xdr:row>
      <xdr:rowOff>177799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D62A82-7921-0AE8-C944-5DF23EF5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778933</xdr:colOff>
      <xdr:row>12</xdr:row>
      <xdr:rowOff>160867</xdr:rowOff>
    </xdr:from>
    <xdr:to>
      <xdr:col>27</xdr:col>
      <xdr:colOff>372533</xdr:colOff>
      <xdr:row>26</xdr:row>
      <xdr:rowOff>59267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643963-BD22-8A33-DDDB-6139FD86F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350519</xdr:colOff>
      <xdr:row>14</xdr:row>
      <xdr:rowOff>169332</xdr:rowOff>
    </xdr:from>
    <xdr:to>
      <xdr:col>46</xdr:col>
      <xdr:colOff>773852</xdr:colOff>
      <xdr:row>28</xdr:row>
      <xdr:rowOff>67732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2471AE-05B3-FF64-8E37-386278FB9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33682</xdr:colOff>
      <xdr:row>7</xdr:row>
      <xdr:rowOff>154240</xdr:rowOff>
    </xdr:from>
    <xdr:to>
      <xdr:col>37</xdr:col>
      <xdr:colOff>445574</xdr:colOff>
      <xdr:row>21</xdr:row>
      <xdr:rowOff>38958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1DA0B-51C8-21E4-847D-89F1052E1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551477</xdr:colOff>
      <xdr:row>13</xdr:row>
      <xdr:rowOff>24255</xdr:rowOff>
    </xdr:from>
    <xdr:to>
      <xdr:col>6</xdr:col>
      <xdr:colOff>180774</xdr:colOff>
      <xdr:row>26</xdr:row>
      <xdr:rowOff>78716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57BB7-9E01-6C9A-D170-C2CFD871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515472</xdr:colOff>
      <xdr:row>10</xdr:row>
      <xdr:rowOff>52482</xdr:rowOff>
    </xdr:from>
    <xdr:to>
      <xdr:col>21</xdr:col>
      <xdr:colOff>44825</xdr:colOff>
      <xdr:row>23</xdr:row>
      <xdr:rowOff>115609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D1040-85E4-623D-E758-4896D84E6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34552</xdr:colOff>
      <xdr:row>8</xdr:row>
      <xdr:rowOff>164540</xdr:rowOff>
    </xdr:from>
    <xdr:to>
      <xdr:col>28</xdr:col>
      <xdr:colOff>404347</xdr:colOff>
      <xdr:row>22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A1476D-5549-5734-7B31-7A3EC89C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8</xdr:row>
      <xdr:rowOff>76200</xdr:rowOff>
    </xdr:from>
    <xdr:to>
      <xdr:col>6</xdr:col>
      <xdr:colOff>234950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630CB-E0E3-F4C8-4844-A8A89D868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190500</xdr:rowOff>
    </xdr:from>
    <xdr:to>
      <xdr:col>16</xdr:col>
      <xdr:colOff>152400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3184C-C520-9A6A-B7C1-E1D323FE3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44450</xdr:colOff>
      <xdr:row>7</xdr:row>
      <xdr:rowOff>76200</xdr:rowOff>
    </xdr:from>
    <xdr:to>
      <xdr:col>23</xdr:col>
      <xdr:colOff>488950</xdr:colOff>
      <xdr:row>20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E780D-1DA2-2B92-B887-379F8C468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774700</xdr:colOff>
      <xdr:row>15</xdr:row>
      <xdr:rowOff>19050</xdr:rowOff>
    </xdr:from>
    <xdr:to>
      <xdr:col>33</xdr:col>
      <xdr:colOff>431800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DE061-EFAF-6A62-7169-760134398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15</xdr:row>
      <xdr:rowOff>44450</xdr:rowOff>
    </xdr:from>
    <xdr:to>
      <xdr:col>7</xdr:col>
      <xdr:colOff>114300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949F9-F57E-A6D9-9864-DD44CBC0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17</xdr:row>
      <xdr:rowOff>44450</xdr:rowOff>
    </xdr:from>
    <xdr:to>
      <xdr:col>15</xdr:col>
      <xdr:colOff>38100</xdr:colOff>
      <xdr:row>30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88F06-1430-1B51-B45C-B13DDCC8E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11</xdr:row>
      <xdr:rowOff>107950</xdr:rowOff>
    </xdr:from>
    <xdr:to>
      <xdr:col>24</xdr:col>
      <xdr:colOff>711200</xdr:colOff>
      <xdr:row>25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5E58D-016C-D33A-AF99-8B6B56FB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558800</xdr:colOff>
      <xdr:row>10</xdr:row>
      <xdr:rowOff>19050</xdr:rowOff>
    </xdr:from>
    <xdr:to>
      <xdr:col>34</xdr:col>
      <xdr:colOff>177800</xdr:colOff>
      <xdr:row>23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6038C-867B-7BBD-24B0-A8A178FBA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393700</xdr:colOff>
      <xdr:row>13</xdr:row>
      <xdr:rowOff>158750</xdr:rowOff>
    </xdr:from>
    <xdr:to>
      <xdr:col>44</xdr:col>
      <xdr:colOff>12700</xdr:colOff>
      <xdr:row>27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D906CB-834F-6546-9322-5CCF99C46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190500</xdr:rowOff>
    </xdr:from>
    <xdr:to>
      <xdr:col>7</xdr:col>
      <xdr:colOff>152400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B049A-F984-528B-96E4-915722CDA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762000</xdr:colOff>
      <xdr:row>10</xdr:row>
      <xdr:rowOff>171450</xdr:rowOff>
    </xdr:from>
    <xdr:to>
      <xdr:col>18</xdr:col>
      <xdr:colOff>381000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C2AEE-6475-10F6-E803-5455283FC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184112</xdr:colOff>
      <xdr:row>7</xdr:row>
      <xdr:rowOff>171675</xdr:rowOff>
    </xdr:from>
    <xdr:to>
      <xdr:col>25</xdr:col>
      <xdr:colOff>629739</xdr:colOff>
      <xdr:row>21</xdr:row>
      <xdr:rowOff>70377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A3C09-C2C5-A2F4-4744-DE4D9A822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36071</xdr:colOff>
      <xdr:row>8</xdr:row>
      <xdr:rowOff>153903</xdr:rowOff>
    </xdr:from>
    <xdr:to>
      <xdr:col>36</xdr:col>
      <xdr:colOff>474935</xdr:colOff>
      <xdr:row>22</xdr:row>
      <xdr:rowOff>56512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BB4E01-636C-E3E5-0463-14F8CCE06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145904</xdr:colOff>
      <xdr:row>9</xdr:row>
      <xdr:rowOff>106593</xdr:rowOff>
    </xdr:from>
    <xdr:to>
      <xdr:col>33</xdr:col>
      <xdr:colOff>588950</xdr:colOff>
      <xdr:row>23</xdr:row>
      <xdr:rowOff>4993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0363B-EC78-135B-CBE4-94CEB69B5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622300</xdr:colOff>
      <xdr:row>10</xdr:row>
      <xdr:rowOff>133350</xdr:rowOff>
    </xdr:from>
    <xdr:to>
      <xdr:col>7</xdr:col>
      <xdr:colOff>241300</xdr:colOff>
      <xdr:row>24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DE826-E505-EA6F-4062-7D53CC4F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6</xdr:row>
      <xdr:rowOff>69850</xdr:rowOff>
    </xdr:from>
    <xdr:to>
      <xdr:col>14</xdr:col>
      <xdr:colOff>698500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F7C67-AD52-D261-FFF2-E978BD87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558800</xdr:colOff>
      <xdr:row>7</xdr:row>
      <xdr:rowOff>158750</xdr:rowOff>
    </xdr:from>
    <xdr:to>
      <xdr:col>24</xdr:col>
      <xdr:colOff>177800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82191A-657F-2A69-F444-9713CFC9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2E2B-BAE1-2144-9D1B-B90E7FB12326}">
  <dimension ref="A1:BB19"/>
  <sheetViews>
    <sheetView topLeftCell="AI1" zoomScale="125" workbookViewId="0">
      <selection activeCell="V34" sqref="V34:W37"/>
    </sheetView>
  </sheetViews>
  <sheetFormatPr baseColWidth="10" defaultRowHeight="16" x14ac:dyDescent="0.2"/>
  <sheetData>
    <row r="1" spans="1:54" s="1" customFormat="1" ht="51" x14ac:dyDescent="0.2">
      <c r="A1" s="1" t="s">
        <v>21</v>
      </c>
      <c r="B1" s="1" t="s">
        <v>3</v>
      </c>
      <c r="C1" s="1" t="s">
        <v>4</v>
      </c>
      <c r="D1" s="1" t="s">
        <v>0</v>
      </c>
      <c r="E1" s="1" t="s">
        <v>2</v>
      </c>
      <c r="F1" s="1" t="s">
        <v>5</v>
      </c>
      <c r="G1" s="1" t="s">
        <v>6</v>
      </c>
      <c r="H1" s="1" t="s">
        <v>1</v>
      </c>
      <c r="I1" s="1" t="s">
        <v>7</v>
      </c>
      <c r="K1" s="1" t="s">
        <v>22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101</v>
      </c>
      <c r="U1" s="1" t="s">
        <v>23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102</v>
      </c>
      <c r="AE1" s="1" t="s">
        <v>24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103</v>
      </c>
      <c r="AP1" s="1" t="s">
        <v>25</v>
      </c>
      <c r="AQ1" s="1" t="s">
        <v>11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16</v>
      </c>
      <c r="AW1" s="1" t="s">
        <v>17</v>
      </c>
      <c r="AX1" s="1" t="s">
        <v>31</v>
      </c>
      <c r="AY1" s="1" t="s">
        <v>42</v>
      </c>
      <c r="AZ1" s="1" t="s">
        <v>32</v>
      </c>
      <c r="BA1" s="1" t="s">
        <v>43</v>
      </c>
      <c r="BB1" s="1" t="s">
        <v>33</v>
      </c>
    </row>
    <row r="2" spans="1:54" x14ac:dyDescent="0.2">
      <c r="A2">
        <v>100</v>
      </c>
      <c r="B2">
        <v>77378.666666666672</v>
      </c>
      <c r="C2">
        <v>34609.666666666664</v>
      </c>
      <c r="D2">
        <v>1547573.3333333333</v>
      </c>
      <c r="E2">
        <v>692193.33333333326</v>
      </c>
      <c r="F2">
        <v>24.96</v>
      </c>
      <c r="G2">
        <v>1.248</v>
      </c>
      <c r="H2">
        <v>17107600</v>
      </c>
      <c r="I2">
        <f>((D2-E2)/D2)*100</f>
        <v>55.27234035220733</v>
      </c>
      <c r="K2">
        <v>100</v>
      </c>
      <c r="L2">
        <v>129877.33333333333</v>
      </c>
      <c r="M2">
        <v>42744.333333333336</v>
      </c>
      <c r="N2">
        <v>2597546.6666666665</v>
      </c>
      <c r="O2">
        <v>854886.66666666663</v>
      </c>
      <c r="P2">
        <v>24.7</v>
      </c>
      <c r="Q2">
        <v>1.2350000000000001</v>
      </c>
      <c r="R2">
        <v>34853199.999999993</v>
      </c>
      <c r="S2">
        <f>((N2-O2)/N2)*100</f>
        <v>67.088688814060447</v>
      </c>
      <c r="U2">
        <v>100</v>
      </c>
      <c r="V2">
        <v>142685</v>
      </c>
      <c r="W2">
        <v>21888</v>
      </c>
      <c r="X2">
        <f>V2/0.05</f>
        <v>2853700</v>
      </c>
      <c r="Y2">
        <f>W2/0.05</f>
        <v>437760</v>
      </c>
      <c r="Z2">
        <v>26.6</v>
      </c>
      <c r="AA2">
        <v>1.33</v>
      </c>
      <c r="AB2">
        <f>(X2-Y2)*(Z2*AA2)</f>
        <v>85471125.320000023</v>
      </c>
      <c r="AC2">
        <f>((X2-Y2)/X2)*100</f>
        <v>84.659915197813362</v>
      </c>
      <c r="AE2">
        <v>100</v>
      </c>
      <c r="AF2">
        <v>113516</v>
      </c>
      <c r="AG2">
        <v>35962</v>
      </c>
      <c r="AH2" s="5">
        <f>AF2/0.05</f>
        <v>2270320</v>
      </c>
      <c r="AI2" s="5">
        <f>AG2/0.05</f>
        <v>719240</v>
      </c>
      <c r="AJ2" s="5">
        <v>25.94</v>
      </c>
      <c r="AK2" s="5">
        <v>1.218</v>
      </c>
      <c r="AL2" s="5">
        <f>(AH2-AI2)*(AJ2/AK2)</f>
        <v>33033674.220032841</v>
      </c>
      <c r="AM2" s="5">
        <f>((AH2-AI2)/AH2)*100</f>
        <v>68.319884421579332</v>
      </c>
      <c r="AP2">
        <v>100</v>
      </c>
      <c r="AQ2">
        <f>AVERAGE(B2,L2,V2,AF2)</f>
        <v>115864.25</v>
      </c>
      <c r="AR2">
        <f t="shared" ref="AR2:AV2" si="0">AVERAGE(C2,M2,W2,AG2)</f>
        <v>33801</v>
      </c>
      <c r="AS2">
        <f t="shared" si="0"/>
        <v>2317285</v>
      </c>
      <c r="AT2">
        <f t="shared" si="0"/>
        <v>676020</v>
      </c>
      <c r="AU2">
        <f t="shared" si="0"/>
        <v>25.549999999999997</v>
      </c>
      <c r="AV2">
        <f t="shared" si="0"/>
        <v>1.2577500000000001</v>
      </c>
      <c r="AW2" s="5">
        <f>AVERAGE(H2,R2,AB2,AL2)</f>
        <v>42616399.885008216</v>
      </c>
      <c r="AX2">
        <f>((AS2-AT2)/AS2)*100</f>
        <v>70.827067020241358</v>
      </c>
      <c r="AY2">
        <f>_xlfn.STDEV.P(E2,O2,Y2,AI2)</f>
        <v>150740.38705300199</v>
      </c>
      <c r="AZ2">
        <f>AY2/(SQRT(4))</f>
        <v>75370.193526500996</v>
      </c>
      <c r="BA2">
        <f>_xlfn.STDEV.P(H2,R2,AB2,AL2)</f>
        <v>25687167.35700288</v>
      </c>
      <c r="BB2">
        <f>BA2/(SQRT(4))</f>
        <v>12843583.67850144</v>
      </c>
    </row>
    <row r="3" spans="1:54" x14ac:dyDescent="0.2">
      <c r="A3">
        <v>80</v>
      </c>
      <c r="B3">
        <v>56774.333333333336</v>
      </c>
      <c r="C3">
        <v>26980.666666666668</v>
      </c>
      <c r="D3">
        <v>1135486.6666666667</v>
      </c>
      <c r="E3">
        <v>539613.33333333337</v>
      </c>
      <c r="F3">
        <v>25.26</v>
      </c>
      <c r="G3">
        <v>1.2629999999999999</v>
      </c>
      <c r="H3">
        <v>11917466.66666667</v>
      </c>
      <c r="I3">
        <f t="shared" ref="I3:I13" si="1">((D3-E3)/D3)*100</f>
        <v>52.477351855004905</v>
      </c>
      <c r="K3">
        <v>90</v>
      </c>
      <c r="L3">
        <v>116694</v>
      </c>
      <c r="M3">
        <v>35932.333333333336</v>
      </c>
      <c r="N3">
        <v>2333880</v>
      </c>
      <c r="O3">
        <v>718646.66666666663</v>
      </c>
      <c r="P3">
        <v>24.86</v>
      </c>
      <c r="Q3">
        <v>1.2430000000000001</v>
      </c>
      <c r="R3">
        <v>32304666.666666664</v>
      </c>
      <c r="S3">
        <f t="shared" ref="S3:S15" si="2">((N3-O3)/N3)*100</f>
        <v>69.208071251878138</v>
      </c>
      <c r="U3">
        <v>80</v>
      </c>
      <c r="V3">
        <v>103924</v>
      </c>
      <c r="W3">
        <v>7495</v>
      </c>
      <c r="X3">
        <f t="shared" ref="X3:X6" si="3">V3/0.05</f>
        <v>2078480</v>
      </c>
      <c r="Y3">
        <f t="shared" ref="Y3:Y6" si="4">W3/0.05</f>
        <v>149900</v>
      </c>
      <c r="Z3">
        <v>25.84</v>
      </c>
      <c r="AA3">
        <v>1.292</v>
      </c>
      <c r="AB3">
        <f t="shared" ref="AB3:AB6" si="5">(X3-Y3)*(Z3*AA3)</f>
        <v>64386183.3024</v>
      </c>
      <c r="AC3">
        <f t="shared" ref="AC3:AC6" si="6">((X3-Y3)/X3)*100</f>
        <v>92.787998922289361</v>
      </c>
      <c r="AE3">
        <v>80</v>
      </c>
      <c r="AF3">
        <v>109019</v>
      </c>
      <c r="AG3">
        <v>16745</v>
      </c>
      <c r="AH3" s="5">
        <f t="shared" ref="AH3:AH6" si="7">AF3/0.05</f>
        <v>2180380</v>
      </c>
      <c r="AI3" s="5">
        <f t="shared" ref="AI3:AI6" si="8">AG3/0.05</f>
        <v>334900</v>
      </c>
      <c r="AJ3" s="5">
        <v>25.94</v>
      </c>
      <c r="AK3" s="5">
        <v>1.2969999999999999</v>
      </c>
      <c r="AL3" s="5">
        <f t="shared" ref="AL3:AL6" si="9">(AH3-AI3)*(AJ3/AK3)</f>
        <v>36909600.000000007</v>
      </c>
      <c r="AM3" s="5">
        <f t="shared" ref="AM3:AM6" si="10">((AH3-AI3)/AH3)*100</f>
        <v>84.640292059182343</v>
      </c>
      <c r="AP3">
        <v>80</v>
      </c>
      <c r="AQ3" s="5">
        <f t="shared" ref="AQ3:AW3" si="11">AVERAGE(B3,L4,V3,AF3)</f>
        <v>95196</v>
      </c>
      <c r="AR3" s="5">
        <f t="shared" si="11"/>
        <v>20899.583333333336</v>
      </c>
      <c r="AS3" s="5">
        <f t="shared" si="11"/>
        <v>1903920</v>
      </c>
      <c r="AT3" s="5">
        <f t="shared" si="11"/>
        <v>417991.66666666669</v>
      </c>
      <c r="AU3" s="5">
        <f t="shared" si="11"/>
        <v>25.42</v>
      </c>
      <c r="AV3" s="5">
        <f t="shared" si="11"/>
        <v>1.2709999999999999</v>
      </c>
      <c r="AW3" s="5">
        <f t="shared" si="11"/>
        <v>36172212.49226667</v>
      </c>
      <c r="AX3">
        <f t="shared" ref="AX3:AX14" si="12">((AS3-AT3)/AS3)*100</f>
        <v>78.045733714301718</v>
      </c>
      <c r="AY3" s="5">
        <f>_xlfn.STDEV.P(E3,O4,Y3,AI3)</f>
        <v>191224.8384828126</v>
      </c>
      <c r="AZ3">
        <f t="shared" ref="AZ3" si="13">AY3/(SQRT(4))</f>
        <v>95612.4192414063</v>
      </c>
      <c r="BA3">
        <f>_xlfn.STDEV.P(H3,R4,AB3,AL3)</f>
        <v>18754484.484907817</v>
      </c>
      <c r="BB3">
        <f>BA3/(SQRT(4))</f>
        <v>9377242.2424539085</v>
      </c>
    </row>
    <row r="4" spans="1:54" x14ac:dyDescent="0.2">
      <c r="A4">
        <v>40</v>
      </c>
      <c r="B4">
        <v>29423.666666666668</v>
      </c>
      <c r="C4">
        <v>13706.666666666666</v>
      </c>
      <c r="D4">
        <v>588473.33333333337</v>
      </c>
      <c r="E4">
        <v>274133.33333333331</v>
      </c>
      <c r="F4">
        <v>24.9</v>
      </c>
      <c r="G4">
        <v>1.2450000000000001</v>
      </c>
      <c r="H4">
        <v>6286800</v>
      </c>
      <c r="I4">
        <f t="shared" si="1"/>
        <v>53.416184250773192</v>
      </c>
      <c r="K4">
        <v>80</v>
      </c>
      <c r="L4" s="5">
        <v>111066.66666666667</v>
      </c>
      <c r="M4" s="5">
        <v>32377.666666666668</v>
      </c>
      <c r="N4" s="5">
        <v>2221333.3333333335</v>
      </c>
      <c r="O4" s="5">
        <v>647553.33333333337</v>
      </c>
      <c r="P4">
        <v>24.64</v>
      </c>
      <c r="Q4">
        <v>1.232</v>
      </c>
      <c r="R4" s="5">
        <v>31475600</v>
      </c>
      <c r="S4">
        <f t="shared" si="2"/>
        <v>70.848439375750289</v>
      </c>
      <c r="U4">
        <v>60</v>
      </c>
      <c r="V4">
        <v>61521</v>
      </c>
      <c r="W4">
        <v>17226</v>
      </c>
      <c r="X4">
        <f t="shared" si="3"/>
        <v>1230420</v>
      </c>
      <c r="Y4">
        <f t="shared" si="4"/>
        <v>344520</v>
      </c>
      <c r="Z4">
        <v>27.78</v>
      </c>
      <c r="AA4">
        <v>1.389</v>
      </c>
      <c r="AB4">
        <f t="shared" si="5"/>
        <v>34183709.478</v>
      </c>
      <c r="AC4">
        <f t="shared" si="6"/>
        <v>71.99980494465305</v>
      </c>
      <c r="AE4">
        <v>60</v>
      </c>
      <c r="AF4">
        <v>68123</v>
      </c>
      <c r="AG4">
        <v>23826</v>
      </c>
      <c r="AH4" s="5">
        <f t="shared" si="7"/>
        <v>1362460</v>
      </c>
      <c r="AI4" s="5">
        <f t="shared" si="8"/>
        <v>476520</v>
      </c>
      <c r="AJ4" s="5">
        <v>24.46</v>
      </c>
      <c r="AK4" s="5">
        <v>1.2230000000000001</v>
      </c>
      <c r="AL4" s="5">
        <f t="shared" si="9"/>
        <v>17718800</v>
      </c>
      <c r="AM4" s="5">
        <f t="shared" si="10"/>
        <v>65.025028257710318</v>
      </c>
      <c r="AP4">
        <v>60</v>
      </c>
      <c r="AQ4">
        <f t="shared" ref="AQ4:AW4" si="14">AVERAGE(L7,V4,AF4)</f>
        <v>69170.555555555562</v>
      </c>
      <c r="AR4">
        <f t="shared" si="14"/>
        <v>25825.444444444449</v>
      </c>
      <c r="AS4">
        <f t="shared" si="14"/>
        <v>1383411.111111111</v>
      </c>
      <c r="AT4">
        <f t="shared" si="14"/>
        <v>516508.88888888899</v>
      </c>
      <c r="AU4">
        <f t="shared" si="14"/>
        <v>25.926666666666666</v>
      </c>
      <c r="AV4">
        <f t="shared" si="14"/>
        <v>1.2963333333333333</v>
      </c>
      <c r="AW4">
        <f t="shared" si="14"/>
        <v>22826614.270444442</v>
      </c>
      <c r="AX4">
        <f t="shared" si="12"/>
        <v>62.664107238950407</v>
      </c>
      <c r="AY4">
        <f>_xlfn.STDEV.P(O7,Y4,AI4)</f>
        <v>159283.67504487871</v>
      </c>
      <c r="AZ4">
        <f>AY4/(SQRT(3))</f>
        <v>91962.472664673609</v>
      </c>
      <c r="BA4">
        <f>_xlfn.STDEV.P(R7,AB4,AL4)</f>
        <v>8044188.1795860892</v>
      </c>
      <c r="BB4">
        <f>BA4/(SQRT(3))</f>
        <v>4644314.2108960347</v>
      </c>
    </row>
    <row r="5" spans="1:54" x14ac:dyDescent="0.2">
      <c r="A5">
        <v>20</v>
      </c>
      <c r="B5">
        <v>16147.666666666666</v>
      </c>
      <c r="C5">
        <v>8687</v>
      </c>
      <c r="D5">
        <v>322953.33333333331</v>
      </c>
      <c r="E5">
        <v>173740</v>
      </c>
      <c r="F5">
        <v>25</v>
      </c>
      <c r="G5">
        <v>1.25</v>
      </c>
      <c r="H5">
        <v>2984266.666666666</v>
      </c>
      <c r="I5">
        <f t="shared" si="1"/>
        <v>46.202753751832049</v>
      </c>
      <c r="K5">
        <v>75</v>
      </c>
      <c r="L5">
        <v>96124</v>
      </c>
      <c r="M5">
        <v>37497</v>
      </c>
      <c r="N5">
        <v>1922480</v>
      </c>
      <c r="O5">
        <v>749940</v>
      </c>
      <c r="P5">
        <v>24.92</v>
      </c>
      <c r="Q5">
        <v>1.246</v>
      </c>
      <c r="R5">
        <v>23450800</v>
      </c>
      <c r="S5">
        <f t="shared" si="2"/>
        <v>60.991011610003746</v>
      </c>
      <c r="U5">
        <v>40</v>
      </c>
      <c r="V5">
        <v>54349</v>
      </c>
      <c r="W5">
        <v>4084</v>
      </c>
      <c r="X5">
        <f t="shared" si="3"/>
        <v>1086980</v>
      </c>
      <c r="Y5">
        <f t="shared" si="4"/>
        <v>81680</v>
      </c>
      <c r="Z5">
        <v>26.02</v>
      </c>
      <c r="AA5">
        <v>1.3009999999999999</v>
      </c>
      <c r="AB5">
        <f t="shared" si="5"/>
        <v>34031435.705999993</v>
      </c>
      <c r="AC5">
        <f t="shared" si="6"/>
        <v>92.485602310990075</v>
      </c>
      <c r="AE5">
        <v>40</v>
      </c>
      <c r="AF5">
        <v>55138</v>
      </c>
      <c r="AG5">
        <v>4451</v>
      </c>
      <c r="AH5" s="5">
        <f t="shared" si="7"/>
        <v>1102760</v>
      </c>
      <c r="AI5" s="5">
        <f t="shared" si="8"/>
        <v>89020</v>
      </c>
      <c r="AJ5" s="5">
        <v>24.94</v>
      </c>
      <c r="AK5" s="5">
        <v>1.2470000000000001</v>
      </c>
      <c r="AL5" s="5">
        <f t="shared" si="9"/>
        <v>20274800</v>
      </c>
      <c r="AM5" s="5">
        <f t="shared" si="10"/>
        <v>91.927527295150341</v>
      </c>
      <c r="AP5">
        <v>40</v>
      </c>
      <c r="AQ5">
        <f t="shared" ref="AQ5:AW5" si="15">AVERAGE(A4,L9,V5,AF5)</f>
        <v>40851.583333333336</v>
      </c>
      <c r="AR5">
        <f t="shared" si="15"/>
        <v>14285.916666666668</v>
      </c>
      <c r="AS5">
        <f t="shared" si="15"/>
        <v>820258.33333333337</v>
      </c>
      <c r="AT5">
        <f t="shared" si="15"/>
        <v>285718.33333333337</v>
      </c>
      <c r="AU5">
        <f t="shared" si="15"/>
        <v>68552.293333333335</v>
      </c>
      <c r="AV5">
        <f t="shared" si="15"/>
        <v>7.1729999999999992</v>
      </c>
      <c r="AW5">
        <f t="shared" si="15"/>
        <v>17045992.57108333</v>
      </c>
      <c r="AX5">
        <f t="shared" si="12"/>
        <v>65.16727453749327</v>
      </c>
      <c r="AY5">
        <f>_xlfn.STDEV.P(E4,O9,Y5,AI5)</f>
        <v>127822.22628844068</v>
      </c>
      <c r="AZ5">
        <f>AY5/(SQRT(4))</f>
        <v>63911.11314422034</v>
      </c>
      <c r="BA5">
        <f>_xlfn.STDEV.P(H4,R9,AB5,AL5)</f>
        <v>10183904.060271909</v>
      </c>
      <c r="BB5">
        <f>BA5/(SQRT(4))</f>
        <v>5091952.0301359547</v>
      </c>
    </row>
    <row r="6" spans="1:54" x14ac:dyDescent="0.2">
      <c r="A6">
        <v>15</v>
      </c>
      <c r="B6">
        <v>12051.666666666666</v>
      </c>
      <c r="C6">
        <v>6739.333333333333</v>
      </c>
      <c r="D6">
        <v>241033.33333333331</v>
      </c>
      <c r="E6">
        <v>134786.66666666666</v>
      </c>
      <c r="F6">
        <v>25.18</v>
      </c>
      <c r="G6">
        <v>1.2589999999999999</v>
      </c>
      <c r="H6">
        <v>2124933.333333333</v>
      </c>
      <c r="I6">
        <f t="shared" si="1"/>
        <v>44.079657032222372</v>
      </c>
      <c r="K6">
        <v>70</v>
      </c>
      <c r="L6">
        <v>91402</v>
      </c>
      <c r="M6">
        <v>30808.666666666668</v>
      </c>
      <c r="N6">
        <v>1828040</v>
      </c>
      <c r="O6">
        <v>616173.33333333337</v>
      </c>
      <c r="P6">
        <v>24.56</v>
      </c>
      <c r="Q6">
        <v>1.228</v>
      </c>
      <c r="R6">
        <v>24237333.333333328</v>
      </c>
      <c r="S6">
        <f t="shared" si="2"/>
        <v>66.293224801791354</v>
      </c>
      <c r="U6">
        <v>20</v>
      </c>
      <c r="V6">
        <v>28478</v>
      </c>
      <c r="W6">
        <v>280</v>
      </c>
      <c r="X6">
        <f t="shared" si="3"/>
        <v>569560</v>
      </c>
      <c r="Y6">
        <f t="shared" si="4"/>
        <v>5600</v>
      </c>
      <c r="Z6">
        <v>25.94</v>
      </c>
      <c r="AA6">
        <v>1.2969999999999999</v>
      </c>
      <c r="AB6">
        <f t="shared" si="5"/>
        <v>18973971.752799999</v>
      </c>
      <c r="AC6">
        <f t="shared" si="6"/>
        <v>99.016784886579117</v>
      </c>
      <c r="AE6">
        <v>20</v>
      </c>
      <c r="AF6">
        <v>26389</v>
      </c>
      <c r="AG6">
        <v>4032</v>
      </c>
      <c r="AH6" s="5">
        <f t="shared" si="7"/>
        <v>527780</v>
      </c>
      <c r="AI6" s="5">
        <f t="shared" si="8"/>
        <v>80640</v>
      </c>
      <c r="AJ6" s="5">
        <v>25.04</v>
      </c>
      <c r="AK6" s="5">
        <v>1.252</v>
      </c>
      <c r="AL6" s="5">
        <f t="shared" si="9"/>
        <v>8942800</v>
      </c>
      <c r="AM6" s="5">
        <f t="shared" si="10"/>
        <v>84.720906438288679</v>
      </c>
      <c r="AP6">
        <v>20</v>
      </c>
      <c r="AQ6">
        <f t="shared" ref="AQ6:AW6" si="16">AVERAGE(B5,V6,AF6,L12)</f>
        <v>31471.833333333328</v>
      </c>
      <c r="AR6">
        <f t="shared" si="16"/>
        <v>7904.25</v>
      </c>
      <c r="AS6">
        <f t="shared" si="16"/>
        <v>629436.66666666663</v>
      </c>
      <c r="AT6">
        <f t="shared" si="16"/>
        <v>158085</v>
      </c>
      <c r="AU6">
        <f t="shared" si="16"/>
        <v>25.249999999999996</v>
      </c>
      <c r="AV6">
        <f t="shared" si="16"/>
        <v>1.2624999999999997</v>
      </c>
      <c r="AW6">
        <f t="shared" si="16"/>
        <v>11350726.271533333</v>
      </c>
      <c r="AX6">
        <f t="shared" si="12"/>
        <v>74.884685247655312</v>
      </c>
      <c r="AY6">
        <f>_xlfn.STDEV.P(E5,O12,Y6,AI6)</f>
        <v>137302.820346124</v>
      </c>
      <c r="AZ6">
        <f>AY6/(SQRT(4))</f>
        <v>68651.410173062002</v>
      </c>
      <c r="BA6">
        <f>_xlfn.STDEV.P(H5,R12,AB6,AL6)</f>
        <v>5996651.4136328567</v>
      </c>
      <c r="BB6">
        <f>BA6/(SQRT(4))</f>
        <v>2998325.7068164283</v>
      </c>
    </row>
    <row r="7" spans="1:54" x14ac:dyDescent="0.2">
      <c r="A7">
        <v>12</v>
      </c>
      <c r="B7">
        <v>9664</v>
      </c>
      <c r="C7">
        <v>5125.333333333333</v>
      </c>
      <c r="D7">
        <v>193280</v>
      </c>
      <c r="E7">
        <v>102506.66666666666</v>
      </c>
      <c r="F7">
        <v>25.42</v>
      </c>
      <c r="G7">
        <v>1.2709999999999999</v>
      </c>
      <c r="H7">
        <v>1815466.6666666672</v>
      </c>
      <c r="I7">
        <f t="shared" si="1"/>
        <v>46.964679911699783</v>
      </c>
      <c r="K7">
        <v>60</v>
      </c>
      <c r="L7">
        <v>77867.666666666672</v>
      </c>
      <c r="M7">
        <v>36424.333333333336</v>
      </c>
      <c r="N7">
        <v>1557353.3333333333</v>
      </c>
      <c r="O7">
        <v>728486.66666666698</v>
      </c>
      <c r="P7">
        <v>25.54</v>
      </c>
      <c r="Q7">
        <v>1.2769999999999999</v>
      </c>
      <c r="R7">
        <v>16577333.333333332</v>
      </c>
      <c r="S7">
        <f t="shared" si="2"/>
        <v>53.222775392439289</v>
      </c>
      <c r="AB7" t="s">
        <v>8</v>
      </c>
      <c r="AC7">
        <f>AVERAGE(AC2:AC6)</f>
        <v>88.190021252464987</v>
      </c>
      <c r="AL7" t="s">
        <v>8</v>
      </c>
      <c r="AM7" s="5">
        <f>AVERAGE(AM2:AM6)</f>
        <v>78.926727694382208</v>
      </c>
      <c r="AP7">
        <v>15</v>
      </c>
      <c r="AQ7">
        <v>12051.666666666666</v>
      </c>
      <c r="AR7">
        <v>6739.333333333333</v>
      </c>
      <c r="AS7">
        <v>241033.33333333331</v>
      </c>
      <c r="AT7">
        <v>134786.66666666666</v>
      </c>
      <c r="AU7">
        <v>25.18</v>
      </c>
      <c r="AV7">
        <v>1.2589999999999999</v>
      </c>
      <c r="AW7">
        <v>2124933.333333333</v>
      </c>
      <c r="AX7">
        <f t="shared" si="12"/>
        <v>44.079657032222372</v>
      </c>
    </row>
    <row r="8" spans="1:54" x14ac:dyDescent="0.2">
      <c r="A8">
        <v>10</v>
      </c>
      <c r="B8">
        <v>7304.333333333333</v>
      </c>
      <c r="C8">
        <v>4424.333333333333</v>
      </c>
      <c r="D8">
        <v>146086.66666666666</v>
      </c>
      <c r="E8">
        <v>88486.666666666657</v>
      </c>
      <c r="F8">
        <v>24.7</v>
      </c>
      <c r="G8">
        <v>1.2350000000000001</v>
      </c>
      <c r="H8">
        <v>1151999.9999999998</v>
      </c>
      <c r="I8">
        <f t="shared" si="1"/>
        <v>39.428649660019168</v>
      </c>
      <c r="K8">
        <v>50</v>
      </c>
      <c r="L8">
        <v>68585.333333333328</v>
      </c>
      <c r="M8">
        <v>21287.333333333332</v>
      </c>
      <c r="N8">
        <v>1371706.6666666665</v>
      </c>
      <c r="O8">
        <v>425746.66666666663</v>
      </c>
      <c r="P8">
        <v>24.62</v>
      </c>
      <c r="Q8">
        <v>1.2310000000000001</v>
      </c>
      <c r="R8">
        <v>18919199.999999996</v>
      </c>
      <c r="S8">
        <f t="shared" si="2"/>
        <v>68.962265984953049</v>
      </c>
      <c r="AP8">
        <v>12</v>
      </c>
      <c r="AQ8">
        <v>9664</v>
      </c>
      <c r="AR8">
        <v>5125.333333333333</v>
      </c>
      <c r="AS8">
        <v>193280</v>
      </c>
      <c r="AT8">
        <v>102506.66666666666</v>
      </c>
      <c r="AU8">
        <v>25.42</v>
      </c>
      <c r="AV8">
        <v>1.2709999999999999</v>
      </c>
      <c r="AW8">
        <v>1815466.6666666672</v>
      </c>
      <c r="AX8">
        <f t="shared" si="12"/>
        <v>46.964679911699783</v>
      </c>
    </row>
    <row r="9" spans="1:54" x14ac:dyDescent="0.2">
      <c r="A9">
        <v>7.5</v>
      </c>
      <c r="B9">
        <v>5516</v>
      </c>
      <c r="C9">
        <v>3116</v>
      </c>
      <c r="D9">
        <v>110320</v>
      </c>
      <c r="E9">
        <v>62320</v>
      </c>
      <c r="F9">
        <v>24.86</v>
      </c>
      <c r="G9">
        <v>1.2430000000000001</v>
      </c>
      <c r="H9">
        <v>959999.99999999988</v>
      </c>
      <c r="I9">
        <f t="shared" si="1"/>
        <v>43.509789702683108</v>
      </c>
      <c r="K9">
        <v>40</v>
      </c>
      <c r="L9">
        <v>53879.333333333336</v>
      </c>
      <c r="M9">
        <v>19185</v>
      </c>
      <c r="N9">
        <v>1077586.6666666667</v>
      </c>
      <c r="O9">
        <v>383700</v>
      </c>
      <c r="P9">
        <v>24.88</v>
      </c>
      <c r="Q9">
        <v>1.244</v>
      </c>
      <c r="R9">
        <v>13877733.333333336</v>
      </c>
      <c r="S9">
        <f t="shared" si="2"/>
        <v>64.392655192467117</v>
      </c>
      <c r="AP9">
        <v>10</v>
      </c>
      <c r="AQ9">
        <f t="shared" ref="AQ9:AW9" si="17">AVERAGE(B8,L13)</f>
        <v>10452.333333333334</v>
      </c>
      <c r="AR9">
        <f t="shared" si="17"/>
        <v>4800.1666666666661</v>
      </c>
      <c r="AS9">
        <f t="shared" si="17"/>
        <v>209046.66666666669</v>
      </c>
      <c r="AT9">
        <f t="shared" si="17"/>
        <v>96003.333333333328</v>
      </c>
      <c r="AU9">
        <f t="shared" si="17"/>
        <v>24.63</v>
      </c>
      <c r="AV9">
        <f t="shared" si="17"/>
        <v>1.2315</v>
      </c>
      <c r="AW9">
        <f t="shared" si="17"/>
        <v>2260866.666666667</v>
      </c>
      <c r="AX9">
        <f t="shared" si="12"/>
        <v>54.075644991548941</v>
      </c>
    </row>
    <row r="10" spans="1:54" x14ac:dyDescent="0.2">
      <c r="A10">
        <v>5</v>
      </c>
      <c r="B10">
        <v>3778</v>
      </c>
      <c r="C10">
        <v>2112</v>
      </c>
      <c r="D10">
        <v>75560</v>
      </c>
      <c r="E10">
        <v>42240</v>
      </c>
      <c r="F10">
        <v>24.78</v>
      </c>
      <c r="G10">
        <v>1.2390000000000001</v>
      </c>
      <c r="H10">
        <v>666400</v>
      </c>
      <c r="I10">
        <f t="shared" si="1"/>
        <v>44.097406034939127</v>
      </c>
      <c r="K10">
        <v>30</v>
      </c>
      <c r="L10">
        <v>41112.666666666664</v>
      </c>
      <c r="M10">
        <v>11317.666666666666</v>
      </c>
      <c r="N10">
        <v>822253.33333333326</v>
      </c>
      <c r="O10">
        <v>226353.33333333331</v>
      </c>
      <c r="P10">
        <v>24.72</v>
      </c>
      <c r="Q10">
        <v>1.236</v>
      </c>
      <c r="R10">
        <v>11918000</v>
      </c>
      <c r="S10">
        <f t="shared" si="2"/>
        <v>72.471582156350848</v>
      </c>
      <c r="AP10">
        <v>7.5</v>
      </c>
      <c r="AQ10">
        <v>5516</v>
      </c>
      <c r="AR10">
        <v>3116</v>
      </c>
      <c r="AS10">
        <v>110320</v>
      </c>
      <c r="AT10">
        <v>62320</v>
      </c>
      <c r="AU10">
        <v>24.86</v>
      </c>
      <c r="AV10">
        <v>1.2430000000000001</v>
      </c>
      <c r="AW10">
        <v>959999.99999999988</v>
      </c>
      <c r="AX10">
        <f t="shared" si="12"/>
        <v>43.509789702683108</v>
      </c>
    </row>
    <row r="11" spans="1:54" x14ac:dyDescent="0.2">
      <c r="A11">
        <v>2.5</v>
      </c>
      <c r="B11">
        <v>2089.3333333333335</v>
      </c>
      <c r="C11">
        <v>1014</v>
      </c>
      <c r="D11">
        <v>41786.666666666664</v>
      </c>
      <c r="E11">
        <v>20280</v>
      </c>
      <c r="F11">
        <v>25.52</v>
      </c>
      <c r="G11">
        <v>1.276</v>
      </c>
      <c r="H11">
        <v>430133.33333333326</v>
      </c>
      <c r="I11">
        <f t="shared" si="1"/>
        <v>51.467772814294833</v>
      </c>
      <c r="K11">
        <v>25</v>
      </c>
      <c r="L11">
        <v>32965.333333333336</v>
      </c>
      <c r="M11">
        <v>793.66666666666663</v>
      </c>
      <c r="N11">
        <v>659306.66666666663</v>
      </c>
      <c r="O11">
        <v>15873.333333333332</v>
      </c>
      <c r="P11">
        <v>24.92</v>
      </c>
      <c r="Q11">
        <v>1.246</v>
      </c>
      <c r="R11">
        <v>12868666.666666664</v>
      </c>
      <c r="S11">
        <f t="shared" si="2"/>
        <v>97.592420320336501</v>
      </c>
      <c r="AP11">
        <v>5</v>
      </c>
      <c r="AQ11">
        <f t="shared" ref="AQ11:AW11" si="18">AVERAGE(B10,L14)</f>
        <v>5388.8333333333339</v>
      </c>
      <c r="AR11">
        <f t="shared" si="18"/>
        <v>2463</v>
      </c>
      <c r="AS11">
        <f t="shared" si="18"/>
        <v>107776.66666666667</v>
      </c>
      <c r="AT11">
        <f t="shared" si="18"/>
        <v>49260</v>
      </c>
      <c r="AU11">
        <f t="shared" si="18"/>
        <v>24.759999999999998</v>
      </c>
      <c r="AV11">
        <f t="shared" si="18"/>
        <v>1.238</v>
      </c>
      <c r="AW11">
        <f t="shared" si="18"/>
        <v>1170333.3333333333</v>
      </c>
      <c r="AX11">
        <f t="shared" si="12"/>
        <v>54.294374168805874</v>
      </c>
    </row>
    <row r="12" spans="1:54" x14ac:dyDescent="0.2">
      <c r="A12">
        <v>1</v>
      </c>
      <c r="B12">
        <v>744.66666666666663</v>
      </c>
      <c r="C12">
        <v>401</v>
      </c>
      <c r="D12">
        <v>14893.333333333332</v>
      </c>
      <c r="E12">
        <v>8020</v>
      </c>
      <c r="F12">
        <v>25.48</v>
      </c>
      <c r="G12">
        <v>1.274</v>
      </c>
      <c r="H12">
        <v>137466.66666666663</v>
      </c>
      <c r="I12">
        <f t="shared" si="1"/>
        <v>46.150402864816471</v>
      </c>
      <c r="K12">
        <v>20</v>
      </c>
      <c r="L12">
        <v>54872.666666666664</v>
      </c>
      <c r="M12">
        <v>18618</v>
      </c>
      <c r="N12">
        <v>1097453.3333333333</v>
      </c>
      <c r="O12">
        <v>372360</v>
      </c>
      <c r="P12">
        <v>25.02</v>
      </c>
      <c r="Q12">
        <v>1.2509999999999999</v>
      </c>
      <c r="R12">
        <v>14501866.666666664</v>
      </c>
      <c r="S12">
        <f t="shared" si="2"/>
        <v>66.070539066201746</v>
      </c>
      <c r="AP12">
        <v>2.5</v>
      </c>
      <c r="AQ12">
        <v>2089.3333333333335</v>
      </c>
      <c r="AR12">
        <v>1014</v>
      </c>
      <c r="AS12">
        <v>41786.666666666664</v>
      </c>
      <c r="AT12">
        <v>20280</v>
      </c>
      <c r="AU12">
        <v>25.52</v>
      </c>
      <c r="AV12">
        <v>1.276</v>
      </c>
      <c r="AW12">
        <v>430133.33333333326</v>
      </c>
      <c r="AX12">
        <f t="shared" si="12"/>
        <v>51.467772814294833</v>
      </c>
    </row>
    <row r="13" spans="1:54" x14ac:dyDescent="0.2">
      <c r="A13">
        <v>0.5</v>
      </c>
      <c r="B13">
        <v>391.66666666666669</v>
      </c>
      <c r="C13">
        <v>224.33333333333334</v>
      </c>
      <c r="D13">
        <v>7833.333333333333</v>
      </c>
      <c r="E13">
        <v>4486.666666666667</v>
      </c>
      <c r="F13">
        <v>25.36</v>
      </c>
      <c r="G13">
        <v>1.268</v>
      </c>
      <c r="H13">
        <v>66933.333333333314</v>
      </c>
      <c r="I13">
        <f t="shared" si="1"/>
        <v>42.723404255319139</v>
      </c>
      <c r="K13">
        <v>10</v>
      </c>
      <c r="L13">
        <v>13600.333333333334</v>
      </c>
      <c r="M13">
        <v>5176</v>
      </c>
      <c r="N13">
        <v>272006.66666666669</v>
      </c>
      <c r="O13">
        <v>103520</v>
      </c>
      <c r="P13">
        <v>24.56</v>
      </c>
      <c r="Q13">
        <v>1.228</v>
      </c>
      <c r="R13">
        <v>3369733.333333334</v>
      </c>
      <c r="S13">
        <f t="shared" si="2"/>
        <v>61.942109262027891</v>
      </c>
      <c r="AP13">
        <v>1</v>
      </c>
      <c r="AQ13">
        <f t="shared" ref="AQ13:AW13" si="19">AVERAGE(B12,L15)</f>
        <v>1089.1666666666667</v>
      </c>
      <c r="AR13">
        <f t="shared" si="19"/>
        <v>507</v>
      </c>
      <c r="AS13">
        <f t="shared" si="19"/>
        <v>21783.333333333332</v>
      </c>
      <c r="AT13">
        <f t="shared" si="19"/>
        <v>10140</v>
      </c>
      <c r="AU13">
        <f t="shared" si="19"/>
        <v>25.02</v>
      </c>
      <c r="AV13">
        <f t="shared" si="19"/>
        <v>1.2509999999999999</v>
      </c>
      <c r="AW13">
        <f t="shared" si="19"/>
        <v>232866.66666666663</v>
      </c>
      <c r="AX13">
        <f t="shared" si="12"/>
        <v>53.450650344299923</v>
      </c>
    </row>
    <row r="14" spans="1:54" x14ac:dyDescent="0.2">
      <c r="H14" t="s">
        <v>8</v>
      </c>
      <c r="I14">
        <f>AVERAGE(I2:I13)</f>
        <v>47.149199373817623</v>
      </c>
      <c r="K14">
        <v>5</v>
      </c>
      <c r="L14">
        <v>6999.666666666667</v>
      </c>
      <c r="M14">
        <v>2814</v>
      </c>
      <c r="N14">
        <v>139993.33333333334</v>
      </c>
      <c r="O14">
        <v>56280</v>
      </c>
      <c r="P14">
        <v>24.74</v>
      </c>
      <c r="Q14">
        <v>1.2370000000000001</v>
      </c>
      <c r="R14">
        <v>1674266.6666666665</v>
      </c>
      <c r="S14">
        <f t="shared" si="2"/>
        <v>59.798085623124905</v>
      </c>
      <c r="AP14">
        <v>0.5</v>
      </c>
      <c r="AQ14">
        <v>391.66666666666669</v>
      </c>
      <c r="AR14">
        <v>224.33333333333334</v>
      </c>
      <c r="AS14">
        <v>7833.333333333333</v>
      </c>
      <c r="AT14">
        <v>4486.666666666667</v>
      </c>
      <c r="AU14">
        <v>25.36</v>
      </c>
      <c r="AV14">
        <v>1.268</v>
      </c>
      <c r="AW14">
        <v>66933.333333333314</v>
      </c>
      <c r="AX14">
        <f t="shared" si="12"/>
        <v>42.723404255319139</v>
      </c>
    </row>
    <row r="15" spans="1:54" x14ac:dyDescent="0.2">
      <c r="B15" t="s">
        <v>10</v>
      </c>
      <c r="C15">
        <v>0.05</v>
      </c>
      <c r="H15" t="s">
        <v>9</v>
      </c>
      <c r="I15">
        <v>8.0707505232537322</v>
      </c>
      <c r="K15">
        <v>1</v>
      </c>
      <c r="L15">
        <v>1433.6666666666667</v>
      </c>
      <c r="M15">
        <v>613</v>
      </c>
      <c r="N15">
        <v>28673.333333333332</v>
      </c>
      <c r="O15">
        <v>12260</v>
      </c>
      <c r="P15">
        <v>24.56</v>
      </c>
      <c r="Q15">
        <v>1.228</v>
      </c>
      <c r="R15">
        <v>328266.66666666663</v>
      </c>
      <c r="S15">
        <f t="shared" si="2"/>
        <v>57.242501743780515</v>
      </c>
      <c r="AW15" t="s">
        <v>49</v>
      </c>
      <c r="AX15">
        <f>AVERAGE(AX2:AX14)</f>
        <v>57.088833921501227</v>
      </c>
    </row>
    <row r="16" spans="1:54" x14ac:dyDescent="0.2">
      <c r="R16" t="s">
        <v>8</v>
      </c>
      <c r="S16">
        <f>AVERAGE(S2:S15)</f>
        <v>66.866026471083259</v>
      </c>
      <c r="AW16" t="s">
        <v>50</v>
      </c>
      <c r="AX16">
        <v>64.927999999999997</v>
      </c>
    </row>
    <row r="17" spans="49:50" x14ac:dyDescent="0.2">
      <c r="AW17" t="s">
        <v>51</v>
      </c>
      <c r="AX17">
        <v>7.1999999999999998E-3</v>
      </c>
    </row>
    <row r="18" spans="49:50" x14ac:dyDescent="0.2">
      <c r="AW18" t="s">
        <v>52</v>
      </c>
      <c r="AX18">
        <f>AX16/AX17</f>
        <v>9017.7777777777774</v>
      </c>
    </row>
    <row r="19" spans="49:50" x14ac:dyDescent="0.2">
      <c r="AW19" t="s">
        <v>56</v>
      </c>
      <c r="AX19">
        <v>0.90390000000000004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701-5F6B-4B40-AA4F-9C103FAC7FB5}">
  <dimension ref="A1:AZ33"/>
  <sheetViews>
    <sheetView topLeftCell="P1" zoomScale="136" workbookViewId="0">
      <selection activeCell="AD2" activeCellId="1" sqref="AA2:AA6 AD2:AD6"/>
    </sheetView>
  </sheetViews>
  <sheetFormatPr baseColWidth="10" defaultRowHeight="16" x14ac:dyDescent="0.2"/>
  <cols>
    <col min="11" max="11" width="12.1640625" bestFit="1" customWidth="1"/>
    <col min="12" max="12" width="11" bestFit="1" customWidth="1"/>
    <col min="14" max="21" width="11" bestFit="1" customWidth="1"/>
    <col min="23" max="30" width="11" bestFit="1" customWidth="1"/>
    <col min="32" max="39" width="11" bestFit="1" customWidth="1"/>
    <col min="47" max="47" width="12" bestFit="1" customWidth="1"/>
  </cols>
  <sheetData>
    <row r="1" spans="1:52" ht="51" x14ac:dyDescent="0.2">
      <c r="A1" s="1" t="s">
        <v>21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103</v>
      </c>
      <c r="J1" s="1"/>
      <c r="K1" s="1"/>
      <c r="L1" s="1"/>
      <c r="N1" s="6" t="s">
        <v>22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103</v>
      </c>
      <c r="W1" s="1" t="s">
        <v>23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103</v>
      </c>
      <c r="AF1" s="1" t="s">
        <v>26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35</v>
      </c>
      <c r="AO1" s="1" t="s">
        <v>44</v>
      </c>
      <c r="AP1" s="1" t="s">
        <v>32</v>
      </c>
      <c r="AQ1" s="1" t="s">
        <v>45</v>
      </c>
      <c r="AR1" s="1" t="s">
        <v>33</v>
      </c>
      <c r="AS1" s="1"/>
      <c r="AT1" s="1"/>
      <c r="AU1" s="1"/>
      <c r="AV1" s="1"/>
      <c r="AW1" s="1"/>
      <c r="AX1" s="1"/>
      <c r="AY1" s="1"/>
      <c r="AZ1" s="1"/>
    </row>
    <row r="2" spans="1:52" x14ac:dyDescent="0.2">
      <c r="A2">
        <v>100</v>
      </c>
      <c r="B2">
        <v>74069.333333333328</v>
      </c>
      <c r="C2">
        <v>46487.333333333336</v>
      </c>
      <c r="D2">
        <v>1481386.6666666665</v>
      </c>
      <c r="E2">
        <v>929746.66666666663</v>
      </c>
      <c r="F2">
        <v>25.2</v>
      </c>
      <c r="G2">
        <v>1.26</v>
      </c>
      <c r="H2">
        <v>11032799.999999998</v>
      </c>
      <c r="I2">
        <f>((D2-E2)/D2)*100</f>
        <v>37.238083237327189</v>
      </c>
      <c r="N2">
        <v>100</v>
      </c>
      <c r="O2">
        <v>108305</v>
      </c>
      <c r="P2">
        <v>24394</v>
      </c>
      <c r="Q2">
        <v>2166100</v>
      </c>
      <c r="R2">
        <v>487880</v>
      </c>
      <c r="S2">
        <v>25.1</v>
      </c>
      <c r="T2">
        <v>1.2549999999999999</v>
      </c>
      <c r="U2">
        <v>53275.979746353238</v>
      </c>
      <c r="V2">
        <f>((Q2-R2)/Q2)*100</f>
        <v>77.476570795438803</v>
      </c>
      <c r="W2">
        <v>100</v>
      </c>
      <c r="X2">
        <v>121844</v>
      </c>
      <c r="Y2">
        <v>48449</v>
      </c>
      <c r="Z2">
        <v>2436880</v>
      </c>
      <c r="AA2">
        <v>968980</v>
      </c>
      <c r="AB2">
        <v>25.44</v>
      </c>
      <c r="AC2">
        <v>1.272</v>
      </c>
      <c r="AD2">
        <v>29358000</v>
      </c>
      <c r="AE2">
        <f>((Z2-AA2)/Z2)*100</f>
        <v>60.236860247529634</v>
      </c>
      <c r="AF2">
        <v>100</v>
      </c>
      <c r="AG2">
        <f t="shared" ref="AG2:AM3" si="0">AVERAGE(B2,O2,X2)</f>
        <v>101406.11111111111</v>
      </c>
      <c r="AH2">
        <f t="shared" si="0"/>
        <v>39776.777777777781</v>
      </c>
      <c r="AI2">
        <f t="shared" si="0"/>
        <v>2028122.222222222</v>
      </c>
      <c r="AJ2">
        <f t="shared" si="0"/>
        <v>795535.5555555555</v>
      </c>
      <c r="AK2">
        <f t="shared" si="0"/>
        <v>25.246666666666666</v>
      </c>
      <c r="AL2">
        <f t="shared" si="0"/>
        <v>1.2623333333333333</v>
      </c>
      <c r="AM2">
        <f t="shared" si="0"/>
        <v>13481358.659915449</v>
      </c>
      <c r="AN2">
        <f>((AI2-AJ2)/AI2)*100</f>
        <v>60.774772504396509</v>
      </c>
      <c r="AO2">
        <f>_xlfn.STDEV.P(E2,R2,AA2)</f>
        <v>218134.16247691761</v>
      </c>
      <c r="AP2">
        <f>AO2/(SQRT(3))</f>
        <v>125939.81742550195</v>
      </c>
      <c r="AQ2">
        <f>_xlfn.STDEV.P(H2,U2,AD2)</f>
        <v>12088239.246173475</v>
      </c>
      <c r="AR2">
        <f>AQ2/(SQRT(3))</f>
        <v>6979148.1828068551</v>
      </c>
    </row>
    <row r="3" spans="1:52" x14ac:dyDescent="0.2">
      <c r="A3">
        <v>80</v>
      </c>
      <c r="B3">
        <v>56626</v>
      </c>
      <c r="C3">
        <v>34811</v>
      </c>
      <c r="D3">
        <v>1132520</v>
      </c>
      <c r="E3">
        <v>696220</v>
      </c>
      <c r="F3">
        <v>24.68</v>
      </c>
      <c r="G3">
        <v>1.234</v>
      </c>
      <c r="H3">
        <v>8726000</v>
      </c>
      <c r="I3">
        <f t="shared" ref="I3:I8" si="1">((D3-E3)/D3)*100</f>
        <v>38.524705965457564</v>
      </c>
      <c r="N3">
        <v>80</v>
      </c>
      <c r="O3">
        <v>103394</v>
      </c>
      <c r="P3">
        <v>33685</v>
      </c>
      <c r="Q3">
        <v>2067880</v>
      </c>
      <c r="R3">
        <v>673700</v>
      </c>
      <c r="S3">
        <v>25.06</v>
      </c>
      <c r="T3">
        <v>1.2529999999999999</v>
      </c>
      <c r="U3">
        <v>44400.382418189969</v>
      </c>
      <c r="V3">
        <f t="shared" ref="V3:V6" si="2">((Q3-R3)/Q3)*100</f>
        <v>67.420740081629489</v>
      </c>
      <c r="W3">
        <v>80</v>
      </c>
      <c r="X3">
        <v>106777</v>
      </c>
      <c r="Y3">
        <v>32526</v>
      </c>
      <c r="Z3">
        <v>2135540</v>
      </c>
      <c r="AA3">
        <v>650520</v>
      </c>
      <c r="AB3">
        <v>25.04</v>
      </c>
      <c r="AC3">
        <v>1.252</v>
      </c>
      <c r="AD3">
        <v>29700400</v>
      </c>
      <c r="AE3">
        <f t="shared" ref="AE3:AE6" si="3">((Z3-AA3)/Z3)*100</f>
        <v>69.53838373432481</v>
      </c>
      <c r="AF3">
        <v>80</v>
      </c>
      <c r="AG3">
        <f t="shared" si="0"/>
        <v>88932.333333333328</v>
      </c>
      <c r="AH3">
        <f t="shared" si="0"/>
        <v>33674</v>
      </c>
      <c r="AI3">
        <f t="shared" si="0"/>
        <v>1778646.6666666667</v>
      </c>
      <c r="AJ3">
        <f t="shared" si="0"/>
        <v>673480</v>
      </c>
      <c r="AK3">
        <f t="shared" si="0"/>
        <v>24.926666666666666</v>
      </c>
      <c r="AL3">
        <f t="shared" si="0"/>
        <v>1.2463333333333333</v>
      </c>
      <c r="AM3">
        <f t="shared" si="0"/>
        <v>12823600.127472728</v>
      </c>
      <c r="AN3">
        <f t="shared" ref="AN3:AN8" si="4">((AI3-AJ3)/AI3)*100</f>
        <v>62.135256393437707</v>
      </c>
      <c r="AO3">
        <f>_xlfn.STDEV.P(E3,R3,AA3)</f>
        <v>18657.595414915253</v>
      </c>
      <c r="AP3">
        <f>AO3/(SQRT(3))</f>
        <v>10771.967735232449</v>
      </c>
      <c r="AQ3">
        <f>_xlfn.STDEV.P(H3,U3,AD3)</f>
        <v>12448890.805556441</v>
      </c>
      <c r="AR3">
        <f t="shared" ref="AR3:AR8" si="5">AQ3/(SQRT(3))</f>
        <v>7187370.4577002684</v>
      </c>
    </row>
    <row r="4" spans="1:52" x14ac:dyDescent="0.2">
      <c r="A4">
        <v>70</v>
      </c>
      <c r="B4">
        <v>58681.666666666664</v>
      </c>
      <c r="C4">
        <v>38313.666666666664</v>
      </c>
      <c r="D4">
        <v>1173633.3333333333</v>
      </c>
      <c r="E4">
        <v>766273.33333333326</v>
      </c>
      <c r="F4">
        <v>25.1</v>
      </c>
      <c r="G4">
        <v>1.2549999999999999</v>
      </c>
      <c r="H4">
        <v>8147200.0000000019</v>
      </c>
      <c r="I4">
        <f t="shared" si="1"/>
        <v>34.709307279388796</v>
      </c>
      <c r="N4">
        <v>60</v>
      </c>
      <c r="O4">
        <v>74127</v>
      </c>
      <c r="P4">
        <v>16156</v>
      </c>
      <c r="Q4">
        <v>1482540</v>
      </c>
      <c r="R4">
        <v>323120</v>
      </c>
      <c r="S4">
        <v>25.12</v>
      </c>
      <c r="T4">
        <v>1.256</v>
      </c>
      <c r="U4">
        <v>36747.814312953873</v>
      </c>
      <c r="V4">
        <f t="shared" si="2"/>
        <v>78.204972547115077</v>
      </c>
      <c r="W4">
        <v>60</v>
      </c>
      <c r="X4">
        <v>77613</v>
      </c>
      <c r="Y4">
        <v>24416</v>
      </c>
      <c r="Z4">
        <v>1552260</v>
      </c>
      <c r="AA4">
        <v>488320</v>
      </c>
      <c r="AB4">
        <v>25.06</v>
      </c>
      <c r="AC4">
        <v>1.2529999999999999</v>
      </c>
      <c r="AD4">
        <v>21278800</v>
      </c>
      <c r="AE4">
        <f t="shared" si="3"/>
        <v>68.541352608454758</v>
      </c>
      <c r="AF4">
        <v>70</v>
      </c>
      <c r="AG4">
        <v>58681.666666666664</v>
      </c>
      <c r="AH4">
        <v>38313.666666666664</v>
      </c>
      <c r="AI4">
        <v>1173633.3333333333</v>
      </c>
      <c r="AJ4">
        <v>766273.33333333326</v>
      </c>
      <c r="AK4">
        <v>25.1</v>
      </c>
      <c r="AL4">
        <v>1.2549999999999999</v>
      </c>
      <c r="AM4">
        <v>8147200.0000000019</v>
      </c>
      <c r="AN4">
        <f t="shared" si="4"/>
        <v>34.709307279388796</v>
      </c>
    </row>
    <row r="5" spans="1:52" x14ac:dyDescent="0.2">
      <c r="A5">
        <v>60</v>
      </c>
      <c r="B5">
        <v>37220.333333333336</v>
      </c>
      <c r="C5">
        <v>20068.333333333332</v>
      </c>
      <c r="D5">
        <v>744406.66666666663</v>
      </c>
      <c r="E5">
        <v>401366.66666666663</v>
      </c>
      <c r="F5">
        <v>25.34</v>
      </c>
      <c r="G5">
        <v>1.2669999999999999</v>
      </c>
      <c r="H5">
        <v>6860800</v>
      </c>
      <c r="I5">
        <f t="shared" si="1"/>
        <v>46.082338506730196</v>
      </c>
      <c r="N5">
        <v>40</v>
      </c>
      <c r="O5">
        <v>52408</v>
      </c>
      <c r="P5">
        <v>17203</v>
      </c>
      <c r="Q5">
        <v>1048160</v>
      </c>
      <c r="R5">
        <v>344060</v>
      </c>
      <c r="S5">
        <v>25.42</v>
      </c>
      <c r="T5">
        <v>1.2709999999999999</v>
      </c>
      <c r="U5">
        <v>21792.810755700768</v>
      </c>
      <c r="V5">
        <f t="shared" si="2"/>
        <v>67.174858800183173</v>
      </c>
      <c r="W5">
        <v>40</v>
      </c>
      <c r="X5">
        <v>56415</v>
      </c>
      <c r="Y5">
        <v>18410</v>
      </c>
      <c r="Z5">
        <v>1128300</v>
      </c>
      <c r="AA5">
        <v>368200</v>
      </c>
      <c r="AB5">
        <v>24.98</v>
      </c>
      <c r="AC5">
        <v>1.2490000000000001</v>
      </c>
      <c r="AD5">
        <v>15202000</v>
      </c>
      <c r="AE5">
        <f t="shared" si="3"/>
        <v>67.366835061597101</v>
      </c>
      <c r="AF5">
        <v>60</v>
      </c>
      <c r="AG5">
        <f t="shared" ref="AG5:AM6" si="6">AVERAGE(B5,O4,X4)</f>
        <v>62986.777777777781</v>
      </c>
      <c r="AH5">
        <f t="shared" si="6"/>
        <v>20213.444444444442</v>
      </c>
      <c r="AI5">
        <f t="shared" si="6"/>
        <v>1259735.5555555555</v>
      </c>
      <c r="AJ5">
        <f t="shared" si="6"/>
        <v>404268.88888888882</v>
      </c>
      <c r="AK5">
        <f t="shared" si="6"/>
        <v>25.173333333333332</v>
      </c>
      <c r="AL5">
        <f t="shared" si="6"/>
        <v>1.2586666666666666</v>
      </c>
      <c r="AM5">
        <f t="shared" si="6"/>
        <v>9392115.9381043185</v>
      </c>
      <c r="AN5">
        <f t="shared" si="4"/>
        <v>67.908432281201883</v>
      </c>
      <c r="AO5">
        <f>_xlfn.STDEV.P(E5,R4,AA4)</f>
        <v>67473.832806357372</v>
      </c>
      <c r="AP5">
        <f>AO5/(SQRT(3))</f>
        <v>38956.035534006231</v>
      </c>
      <c r="AQ5">
        <f>_xlfn.STDEV.P(H5,U4,AD4)</f>
        <v>8854824.1295818947</v>
      </c>
      <c r="AR5">
        <f t="shared" si="5"/>
        <v>5112335.094840901</v>
      </c>
    </row>
    <row r="6" spans="1:52" x14ac:dyDescent="0.2">
      <c r="A6">
        <v>40</v>
      </c>
      <c r="B6">
        <v>36927.333333333336</v>
      </c>
      <c r="C6">
        <v>21817.333333333332</v>
      </c>
      <c r="D6">
        <v>738546.66666666663</v>
      </c>
      <c r="E6">
        <v>436346.66666666663</v>
      </c>
      <c r="F6">
        <v>24.9</v>
      </c>
      <c r="G6">
        <v>1.2450000000000001</v>
      </c>
      <c r="H6">
        <v>6043999.9999999991</v>
      </c>
      <c r="I6">
        <f t="shared" si="1"/>
        <v>40.918199707533716</v>
      </c>
      <c r="N6">
        <v>20</v>
      </c>
      <c r="O6">
        <v>6097</v>
      </c>
      <c r="P6">
        <v>300</v>
      </c>
      <c r="Q6">
        <v>498760</v>
      </c>
      <c r="R6">
        <v>121940</v>
      </c>
      <c r="S6">
        <v>24.96</v>
      </c>
      <c r="T6">
        <v>1.248</v>
      </c>
      <c r="U6">
        <v>12096.919173241287</v>
      </c>
      <c r="V6">
        <f t="shared" si="2"/>
        <v>75.55136739113</v>
      </c>
      <c r="W6">
        <v>20</v>
      </c>
      <c r="X6">
        <v>27354</v>
      </c>
      <c r="Y6">
        <v>8515</v>
      </c>
      <c r="Z6">
        <v>547080</v>
      </c>
      <c r="AA6">
        <v>170240</v>
      </c>
      <c r="AB6">
        <v>25</v>
      </c>
      <c r="AC6">
        <v>1.25</v>
      </c>
      <c r="AD6">
        <v>7536800</v>
      </c>
      <c r="AE6">
        <f t="shared" si="3"/>
        <v>68.882064780288076</v>
      </c>
      <c r="AF6">
        <v>40</v>
      </c>
      <c r="AG6">
        <f t="shared" si="6"/>
        <v>48583.444444444445</v>
      </c>
      <c r="AH6">
        <f t="shared" si="6"/>
        <v>19143.444444444442</v>
      </c>
      <c r="AI6">
        <f t="shared" si="6"/>
        <v>971668.88888888888</v>
      </c>
      <c r="AJ6">
        <f t="shared" si="6"/>
        <v>382868.88888888882</v>
      </c>
      <c r="AK6">
        <f t="shared" si="6"/>
        <v>25.099999999999998</v>
      </c>
      <c r="AL6">
        <f t="shared" si="6"/>
        <v>1.2550000000000001</v>
      </c>
      <c r="AM6">
        <f t="shared" si="6"/>
        <v>7089264.2702519</v>
      </c>
      <c r="AN6">
        <f t="shared" si="4"/>
        <v>60.596773935336913</v>
      </c>
      <c r="AO6">
        <f>_xlfn.STDEV.P(E6,R5,AA5)</f>
        <v>39077.610273548955</v>
      </c>
      <c r="AP6">
        <f>AO6/(SQRT(3))</f>
        <v>22561.468810720777</v>
      </c>
      <c r="AQ6">
        <f>_xlfn.STDEV.P(H6,U5,AD5)</f>
        <v>6241212.7893594</v>
      </c>
      <c r="AR6">
        <f t="shared" si="5"/>
        <v>3603365.8840063848</v>
      </c>
    </row>
    <row r="7" spans="1:52" x14ac:dyDescent="0.2">
      <c r="A7">
        <v>30</v>
      </c>
      <c r="B7">
        <v>24200.333333333332</v>
      </c>
      <c r="C7">
        <v>11054</v>
      </c>
      <c r="D7">
        <v>484006.66666666663</v>
      </c>
      <c r="E7">
        <v>221080</v>
      </c>
      <c r="F7">
        <v>25.02</v>
      </c>
      <c r="G7">
        <v>1.2509999999999999</v>
      </c>
      <c r="H7">
        <v>5258533.3333333321</v>
      </c>
      <c r="I7">
        <f t="shared" si="1"/>
        <v>54.322943210148622</v>
      </c>
      <c r="U7" t="s">
        <v>8</v>
      </c>
      <c r="V7">
        <f>AVERAGE(V2:V6)</f>
        <v>73.165701923099306</v>
      </c>
      <c r="AD7" t="s">
        <v>8</v>
      </c>
      <c r="AE7">
        <f>AVERAGE(AE2:AE6)</f>
        <v>66.913099286438879</v>
      </c>
      <c r="AF7">
        <v>30</v>
      </c>
      <c r="AG7">
        <v>24200.333333333332</v>
      </c>
      <c r="AH7">
        <v>11054</v>
      </c>
      <c r="AI7">
        <v>484006.66666666663</v>
      </c>
      <c r="AJ7">
        <v>221080</v>
      </c>
      <c r="AK7">
        <v>25.02</v>
      </c>
      <c r="AL7">
        <v>1.2509999999999999</v>
      </c>
      <c r="AM7">
        <v>5258533.3333333321</v>
      </c>
      <c r="AN7">
        <f t="shared" si="4"/>
        <v>54.322943210148622</v>
      </c>
    </row>
    <row r="8" spans="1:52" x14ac:dyDescent="0.2">
      <c r="A8">
        <v>20</v>
      </c>
      <c r="B8">
        <v>16722.666666666668</v>
      </c>
      <c r="C8">
        <v>8344</v>
      </c>
      <c r="D8">
        <v>334453.33333333331</v>
      </c>
      <c r="E8">
        <v>166880</v>
      </c>
      <c r="F8">
        <v>24.46</v>
      </c>
      <c r="G8">
        <v>1.2230000000000001</v>
      </c>
      <c r="H8">
        <v>3351466.666666666</v>
      </c>
      <c r="I8">
        <f t="shared" si="1"/>
        <v>50.10365173018657</v>
      </c>
      <c r="Q8">
        <v>0.05</v>
      </c>
      <c r="AF8">
        <v>20</v>
      </c>
      <c r="AG8">
        <f t="shared" ref="AG8:AM8" si="7">AVERAGE(B8,O6,X6)</f>
        <v>16724.555555555558</v>
      </c>
      <c r="AH8">
        <f t="shared" si="7"/>
        <v>5719.666666666667</v>
      </c>
      <c r="AI8">
        <f t="shared" si="7"/>
        <v>460097.77777777775</v>
      </c>
      <c r="AJ8">
        <f t="shared" si="7"/>
        <v>153020</v>
      </c>
      <c r="AK8">
        <f t="shared" si="7"/>
        <v>24.806666666666668</v>
      </c>
      <c r="AL8">
        <f t="shared" si="7"/>
        <v>1.2403333333333333</v>
      </c>
      <c r="AM8">
        <f t="shared" si="7"/>
        <v>3633454.5286133024</v>
      </c>
      <c r="AN8">
        <f t="shared" si="4"/>
        <v>66.741851973493567</v>
      </c>
      <c r="AO8">
        <f>_xlfn.STDEV.P(E8,R6,AA6)</f>
        <v>22019.645773717613</v>
      </c>
      <c r="AP8">
        <f>AO8/(SQRT(3))</f>
        <v>12713.048414916069</v>
      </c>
      <c r="AQ8">
        <f>_xlfn.STDEV.P(H8,U6,AD6)</f>
        <v>3078411.6011740924</v>
      </c>
      <c r="AR8">
        <f t="shared" si="5"/>
        <v>1777321.7666143293</v>
      </c>
    </row>
    <row r="9" spans="1:52" x14ac:dyDescent="0.2">
      <c r="G9" t="s">
        <v>18</v>
      </c>
      <c r="H9">
        <v>6911108.2812499991</v>
      </c>
      <c r="I9">
        <f>AVERAGE(I2:I8)</f>
        <v>43.128461376681805</v>
      </c>
      <c r="AM9" t="s">
        <v>49</v>
      </c>
      <c r="AN9">
        <f>AVERAGE(AN2:AN8)</f>
        <v>58.169905368200567</v>
      </c>
      <c r="AO9" s="1"/>
      <c r="AP9" s="1"/>
    </row>
    <row r="10" spans="1:52" x14ac:dyDescent="0.2">
      <c r="B10" t="s">
        <v>19</v>
      </c>
      <c r="C10">
        <v>50</v>
      </c>
      <c r="AM10" t="s">
        <v>50</v>
      </c>
      <c r="AN10">
        <v>11.782</v>
      </c>
      <c r="AO10" s="1"/>
      <c r="AP10" s="1"/>
      <c r="AQ10" s="1"/>
      <c r="AR10" s="1"/>
      <c r="AS10" s="1"/>
      <c r="AT10" s="1"/>
      <c r="AU10" s="1"/>
      <c r="AV10" s="1"/>
    </row>
    <row r="11" spans="1:52" x14ac:dyDescent="0.2">
      <c r="B11" t="s">
        <v>20</v>
      </c>
      <c r="C11">
        <v>0.05</v>
      </c>
      <c r="AM11" t="s">
        <v>53</v>
      </c>
      <c r="AN11">
        <v>7.1999999999999998E-3</v>
      </c>
      <c r="AR11" s="2"/>
    </row>
    <row r="12" spans="1:52" x14ac:dyDescent="0.2">
      <c r="AM12" t="s">
        <v>54</v>
      </c>
      <c r="AN12">
        <f>AN10/AN11</f>
        <v>1636.3888888888889</v>
      </c>
      <c r="AR12" s="2"/>
    </row>
    <row r="13" spans="1:52" x14ac:dyDescent="0.2">
      <c r="AM13" t="s">
        <v>56</v>
      </c>
      <c r="AN13">
        <v>0.70250000000000001</v>
      </c>
      <c r="AR13" s="2"/>
    </row>
    <row r="14" spans="1:52" x14ac:dyDescent="0.2">
      <c r="AT14" s="2"/>
    </row>
    <row r="15" spans="1:52" x14ac:dyDescent="0.2">
      <c r="AT15" s="2"/>
    </row>
    <row r="16" spans="1:52" x14ac:dyDescent="0.2">
      <c r="AT16" s="2"/>
    </row>
    <row r="17" spans="44:46" x14ac:dyDescent="0.2">
      <c r="AT17" s="2"/>
    </row>
    <row r="18" spans="44:46" ht="17" thickBot="1" x14ac:dyDescent="0.25"/>
    <row r="19" spans="44:46" x14ac:dyDescent="0.2">
      <c r="AR19" s="4"/>
      <c r="AS19" s="4"/>
    </row>
    <row r="33" spans="44:45" ht="17" thickBot="1" x14ac:dyDescent="0.25">
      <c r="AR33" s="3"/>
      <c r="AS33" s="3"/>
    </row>
  </sheetData>
  <sortState xmlns:xlrd2="http://schemas.microsoft.com/office/spreadsheetml/2017/richdata2" ref="AO1:AX9">
    <sortCondition ref="AU2:AU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C39B-6C5B-664B-8C96-34C0A15B7842}">
  <dimension ref="A1:AN11"/>
  <sheetViews>
    <sheetView topLeftCell="AA1" zoomScale="150" workbookViewId="0">
      <selection activeCell="R8" sqref="R8"/>
    </sheetView>
  </sheetViews>
  <sheetFormatPr baseColWidth="10" defaultRowHeight="16" x14ac:dyDescent="0.2"/>
  <sheetData>
    <row r="1" spans="1:40" ht="51" x14ac:dyDescent="0.2">
      <c r="A1" t="s">
        <v>21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103</v>
      </c>
      <c r="J1" s="1" t="s">
        <v>22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103</v>
      </c>
      <c r="S1" s="1" t="s">
        <v>23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103</v>
      </c>
      <c r="AB1" s="1" t="s">
        <v>26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35</v>
      </c>
      <c r="AK1" s="1" t="s">
        <v>36</v>
      </c>
      <c r="AL1" s="1" t="s">
        <v>32</v>
      </c>
      <c r="AM1" s="1" t="s">
        <v>37</v>
      </c>
      <c r="AN1" s="1" t="s">
        <v>33</v>
      </c>
    </row>
    <row r="2" spans="1:40" x14ac:dyDescent="0.2">
      <c r="A2">
        <v>100</v>
      </c>
      <c r="B2">
        <v>124166</v>
      </c>
      <c r="C2">
        <v>12490</v>
      </c>
      <c r="D2">
        <f>B2/0.05</f>
        <v>2483320</v>
      </c>
      <c r="E2">
        <f>C2/0.05</f>
        <v>249800</v>
      </c>
      <c r="F2">
        <v>25.38</v>
      </c>
      <c r="G2">
        <v>1.2689999999999999</v>
      </c>
      <c r="H2">
        <f>(D2-E2)*(F2/G2)</f>
        <v>44670400</v>
      </c>
      <c r="I2">
        <f>((D2-E2)/D2)*100</f>
        <v>89.940885588647461</v>
      </c>
      <c r="J2">
        <v>100</v>
      </c>
      <c r="K2">
        <v>11970</v>
      </c>
      <c r="L2">
        <v>7425</v>
      </c>
      <c r="M2">
        <v>2394200</v>
      </c>
      <c r="N2">
        <v>148500</v>
      </c>
      <c r="O2">
        <v>25.2</v>
      </c>
      <c r="P2">
        <v>1.26</v>
      </c>
      <c r="Q2">
        <v>44914000</v>
      </c>
      <c r="R2">
        <f>((M2-N2)/M2)*100</f>
        <v>93.797510650739298</v>
      </c>
      <c r="S2">
        <v>100</v>
      </c>
      <c r="T2">
        <v>120689</v>
      </c>
      <c r="U2">
        <v>5964</v>
      </c>
      <c r="V2">
        <v>2413780</v>
      </c>
      <c r="W2">
        <v>119280</v>
      </c>
      <c r="X2">
        <v>25.48</v>
      </c>
      <c r="Y2">
        <v>1.274</v>
      </c>
      <c r="Z2">
        <v>45890000</v>
      </c>
      <c r="AA2">
        <f>((V2-W2)/V2)*100</f>
        <v>95.058373174025803</v>
      </c>
      <c r="AB2">
        <v>100</v>
      </c>
      <c r="AC2">
        <f>AVERAGE(B2,K2,T2)</f>
        <v>85608.333333333328</v>
      </c>
      <c r="AD2">
        <f>AVERAGE(C2,L2,U2)</f>
        <v>8626.3333333333339</v>
      </c>
      <c r="AE2">
        <f t="shared" ref="AD2:AI6" si="0">AVERAGE(D2,M2,V2)</f>
        <v>2430433.3333333335</v>
      </c>
      <c r="AF2">
        <f t="shared" si="0"/>
        <v>172526.66666666666</v>
      </c>
      <c r="AG2">
        <f t="shared" si="0"/>
        <v>25.353333333333335</v>
      </c>
      <c r="AH2">
        <f t="shared" si="0"/>
        <v>1.2676666666666667</v>
      </c>
      <c r="AI2">
        <f>AVERAGE(H2,Q2,Z2)</f>
        <v>45158133.333333336</v>
      </c>
      <c r="AJ2">
        <f>((AE2-AF2)/AE2)*100</f>
        <v>92.901403041981538</v>
      </c>
      <c r="AK2">
        <f>_xlfn.STDEV.P(E2,N2,W2)</f>
        <v>55927.501483815831</v>
      </c>
      <c r="AL2">
        <f>AK2/(SQRT(3))</f>
        <v>32289.758036784267</v>
      </c>
      <c r="AM2">
        <f>_xlfn.STDEV.P(H2,Q2,Z2)</f>
        <v>526976.82006791234</v>
      </c>
      <c r="AN2">
        <f>AM2/(SQRT(3))</f>
        <v>304250.20892290218</v>
      </c>
    </row>
    <row r="3" spans="1:40" x14ac:dyDescent="0.2">
      <c r="A3">
        <v>80</v>
      </c>
      <c r="B3">
        <v>98260</v>
      </c>
      <c r="C3">
        <v>4937</v>
      </c>
      <c r="D3">
        <f t="shared" ref="D3:D6" si="1">B3/0.05</f>
        <v>1965200</v>
      </c>
      <c r="E3">
        <f t="shared" ref="E3:E6" si="2">C3/0.05</f>
        <v>98740</v>
      </c>
      <c r="F3">
        <v>25.1</v>
      </c>
      <c r="G3">
        <v>1.2549999999999999</v>
      </c>
      <c r="H3">
        <f t="shared" ref="H3:H6" si="3">(D3-E3)*(F3/G3)</f>
        <v>37329200.000000007</v>
      </c>
      <c r="I3">
        <f t="shared" ref="I3:I6" si="4">((D3-E3)/D3)*100</f>
        <v>94.975575005088544</v>
      </c>
      <c r="J3">
        <v>80</v>
      </c>
      <c r="K3">
        <v>100917</v>
      </c>
      <c r="L3">
        <v>6639</v>
      </c>
      <c r="M3">
        <v>2018340</v>
      </c>
      <c r="N3">
        <v>132780</v>
      </c>
      <c r="O3">
        <v>25.3</v>
      </c>
      <c r="P3">
        <v>1.2649999999999999</v>
      </c>
      <c r="Q3">
        <v>37711200.000000007</v>
      </c>
      <c r="R3">
        <f t="shared" ref="R3:R6" si="5">((M3-N3)/M3)*100</f>
        <v>93.421326436576592</v>
      </c>
      <c r="S3">
        <v>80</v>
      </c>
      <c r="T3">
        <v>85453</v>
      </c>
      <c r="U3">
        <v>5720</v>
      </c>
      <c r="V3">
        <v>1709060</v>
      </c>
      <c r="W3">
        <v>114400</v>
      </c>
      <c r="X3">
        <v>25.26</v>
      </c>
      <c r="Y3">
        <v>1.2629999999999999</v>
      </c>
      <c r="Z3">
        <v>31893200.000000007</v>
      </c>
      <c r="AA3">
        <f t="shared" ref="AA3:AA6" si="6">((V3-W3)/V3)*100</f>
        <v>93.306261921758164</v>
      </c>
      <c r="AB3">
        <v>80</v>
      </c>
      <c r="AC3">
        <f>AVERAGE(B3,K3,T3)</f>
        <v>94876.666666666672</v>
      </c>
      <c r="AD3">
        <f t="shared" si="0"/>
        <v>5765.333333333333</v>
      </c>
      <c r="AE3">
        <f t="shared" si="0"/>
        <v>1897533.3333333333</v>
      </c>
      <c r="AF3">
        <f t="shared" si="0"/>
        <v>115306.66666666667</v>
      </c>
      <c r="AG3">
        <f t="shared" si="0"/>
        <v>25.220000000000002</v>
      </c>
      <c r="AH3">
        <f t="shared" si="0"/>
        <v>1.2609999999999999</v>
      </c>
      <c r="AI3">
        <f t="shared" si="0"/>
        <v>35644533.333333343</v>
      </c>
      <c r="AJ3">
        <f t="shared" ref="AJ3:AJ5" si="7">((AE3-AF3)/AE3)*100</f>
        <v>93.923339071777391</v>
      </c>
      <c r="AK3">
        <f>_xlfn.STDEV.P(E3,N3,W3)</f>
        <v>13911.552353669553</v>
      </c>
      <c r="AL3">
        <f t="shared" ref="AL3:AL6" si="8">AK3/(SQRT(3))</f>
        <v>8031.838496236689</v>
      </c>
      <c r="AM3">
        <f>_xlfn.STDEV.P(H3,Q3,Z3)</f>
        <v>2657173.6028260472</v>
      </c>
      <c r="AN3">
        <f t="shared" ref="AN3:AN6" si="9">AM3/(SQRT(3))</f>
        <v>1534119.8948751863</v>
      </c>
    </row>
    <row r="4" spans="1:40" x14ac:dyDescent="0.2">
      <c r="A4">
        <v>60</v>
      </c>
      <c r="B4">
        <v>64687</v>
      </c>
      <c r="C4">
        <v>5870</v>
      </c>
      <c r="D4">
        <f t="shared" si="1"/>
        <v>1293740</v>
      </c>
      <c r="E4">
        <f t="shared" si="2"/>
        <v>117400</v>
      </c>
      <c r="F4">
        <v>24.9</v>
      </c>
      <c r="G4">
        <v>1.2450000000000001</v>
      </c>
      <c r="H4">
        <f t="shared" si="3"/>
        <v>23526799.999999996</v>
      </c>
      <c r="I4">
        <f t="shared" si="4"/>
        <v>90.925533723932162</v>
      </c>
      <c r="J4">
        <v>60</v>
      </c>
      <c r="K4">
        <v>74697</v>
      </c>
      <c r="L4">
        <v>5867</v>
      </c>
      <c r="M4">
        <v>1493940</v>
      </c>
      <c r="N4">
        <v>117340</v>
      </c>
      <c r="O4">
        <v>25.84</v>
      </c>
      <c r="P4">
        <v>1.292</v>
      </c>
      <c r="Q4">
        <v>27532000</v>
      </c>
      <c r="R4">
        <f t="shared" si="5"/>
        <v>92.145601563650487</v>
      </c>
      <c r="S4">
        <v>60</v>
      </c>
      <c r="T4">
        <v>72473</v>
      </c>
      <c r="U4">
        <v>3592</v>
      </c>
      <c r="V4">
        <v>1449460</v>
      </c>
      <c r="W4">
        <v>71840</v>
      </c>
      <c r="X4">
        <v>24.96</v>
      </c>
      <c r="Y4">
        <v>1.2490000000000001</v>
      </c>
      <c r="Z4">
        <v>27530340.432345875</v>
      </c>
      <c r="AA4">
        <f t="shared" si="6"/>
        <v>95.043671436259018</v>
      </c>
      <c r="AB4">
        <v>60</v>
      </c>
      <c r="AC4">
        <f>AVERAGE(B4,K4,T4)</f>
        <v>70619</v>
      </c>
      <c r="AD4">
        <f t="shared" si="0"/>
        <v>5109.666666666667</v>
      </c>
      <c r="AE4">
        <f t="shared" si="0"/>
        <v>1412380</v>
      </c>
      <c r="AF4">
        <f t="shared" si="0"/>
        <v>102193.33333333333</v>
      </c>
      <c r="AG4">
        <f t="shared" si="0"/>
        <v>25.233333333333331</v>
      </c>
      <c r="AH4">
        <f t="shared" si="0"/>
        <v>1.262</v>
      </c>
      <c r="AI4">
        <f t="shared" si="0"/>
        <v>26196380.144115288</v>
      </c>
      <c r="AJ4">
        <f t="shared" si="7"/>
        <v>92.764459045488238</v>
      </c>
      <c r="AK4">
        <f>_xlfn.STDEV.P(E4,O4,W4)</f>
        <v>48315.721632946312</v>
      </c>
      <c r="AL4">
        <f t="shared" si="8"/>
        <v>27895.09489087258</v>
      </c>
      <c r="AM4">
        <f>_xlfn.STDEV.P(H4,Q4,Z4)</f>
        <v>1887678.3444100809</v>
      </c>
      <c r="AN4">
        <f t="shared" si="9"/>
        <v>1089851.6002885874</v>
      </c>
    </row>
    <row r="5" spans="1:40" x14ac:dyDescent="0.2">
      <c r="A5">
        <v>40</v>
      </c>
      <c r="B5">
        <v>44620</v>
      </c>
      <c r="C5">
        <v>3525</v>
      </c>
      <c r="D5">
        <f t="shared" si="1"/>
        <v>892400</v>
      </c>
      <c r="E5">
        <f t="shared" si="2"/>
        <v>70500</v>
      </c>
      <c r="F5">
        <v>25.1</v>
      </c>
      <c r="G5">
        <v>1.2549999999999999</v>
      </c>
      <c r="H5">
        <f t="shared" si="3"/>
        <v>16438000.000000004</v>
      </c>
      <c r="I5">
        <f t="shared" si="4"/>
        <v>92.099955177050646</v>
      </c>
      <c r="J5">
        <v>40</v>
      </c>
      <c r="K5">
        <v>49661</v>
      </c>
      <c r="L5">
        <v>3623</v>
      </c>
      <c r="M5">
        <v>993220</v>
      </c>
      <c r="N5">
        <v>72460</v>
      </c>
      <c r="O5">
        <v>24.54</v>
      </c>
      <c r="P5">
        <v>1.2270000000000001</v>
      </c>
      <c r="Q5">
        <v>18415199.999999996</v>
      </c>
      <c r="R5">
        <f t="shared" si="5"/>
        <v>92.704536759227565</v>
      </c>
      <c r="S5">
        <v>40</v>
      </c>
      <c r="T5">
        <v>49787</v>
      </c>
      <c r="U5">
        <v>2115</v>
      </c>
      <c r="V5">
        <v>995740</v>
      </c>
      <c r="W5">
        <v>42300</v>
      </c>
      <c r="X5">
        <v>25.34</v>
      </c>
      <c r="Y5">
        <v>1.2669999999999999</v>
      </c>
      <c r="Z5">
        <v>19068800</v>
      </c>
      <c r="AA5">
        <f t="shared" si="6"/>
        <v>95.751903107236828</v>
      </c>
      <c r="AB5">
        <v>40</v>
      </c>
      <c r="AC5">
        <f>AVERAGE(B5,K5,T5)</f>
        <v>48022.666666666664</v>
      </c>
      <c r="AD5">
        <f t="shared" si="0"/>
        <v>3087.6666666666665</v>
      </c>
      <c r="AE5">
        <f t="shared" si="0"/>
        <v>960453.33333333337</v>
      </c>
      <c r="AF5">
        <f t="shared" si="0"/>
        <v>61753.333333333336</v>
      </c>
      <c r="AG5">
        <f t="shared" si="0"/>
        <v>24.993333333333336</v>
      </c>
      <c r="AH5">
        <f t="shared" si="0"/>
        <v>1.2496666666666667</v>
      </c>
      <c r="AI5">
        <f t="shared" si="0"/>
        <v>17974000</v>
      </c>
      <c r="AJ5">
        <f t="shared" si="7"/>
        <v>93.570397312380265</v>
      </c>
      <c r="AK5">
        <f>_xlfn.STDEV.P(E5,N5,W5)</f>
        <v>13778.837235251585</v>
      </c>
      <c r="AL5">
        <f t="shared" si="8"/>
        <v>7955.2153868925425</v>
      </c>
      <c r="AM5">
        <f>_xlfn.STDEV.P(H5,Q5,Z5)</f>
        <v>1118412.6370292236</v>
      </c>
      <c r="AN5">
        <f t="shared" si="9"/>
        <v>645715.83705390152</v>
      </c>
    </row>
    <row r="6" spans="1:40" x14ac:dyDescent="0.2">
      <c r="A6">
        <v>20</v>
      </c>
      <c r="B6">
        <v>22622</v>
      </c>
      <c r="C6">
        <v>1254</v>
      </c>
      <c r="D6">
        <f t="shared" si="1"/>
        <v>452440</v>
      </c>
      <c r="E6">
        <f t="shared" si="2"/>
        <v>25080</v>
      </c>
      <c r="F6">
        <v>24.94</v>
      </c>
      <c r="G6">
        <v>1.2470000000000001</v>
      </c>
      <c r="H6">
        <f t="shared" si="3"/>
        <v>8547200</v>
      </c>
      <c r="I6">
        <f t="shared" si="4"/>
        <v>94.456723543453279</v>
      </c>
      <c r="J6">
        <v>20</v>
      </c>
      <c r="K6">
        <v>29199</v>
      </c>
      <c r="L6">
        <v>1294</v>
      </c>
      <c r="M6">
        <v>583980</v>
      </c>
      <c r="N6">
        <v>25880</v>
      </c>
      <c r="O6">
        <v>24.76</v>
      </c>
      <c r="P6">
        <v>1.238</v>
      </c>
      <c r="Q6">
        <v>11162000</v>
      </c>
      <c r="R6">
        <f t="shared" si="5"/>
        <v>95.568341381554163</v>
      </c>
      <c r="S6">
        <v>20</v>
      </c>
      <c r="T6">
        <v>23819</v>
      </c>
      <c r="U6">
        <v>1657</v>
      </c>
      <c r="V6">
        <v>476380</v>
      </c>
      <c r="W6">
        <v>33140</v>
      </c>
      <c r="X6">
        <v>24.64</v>
      </c>
      <c r="Y6">
        <v>1.232</v>
      </c>
      <c r="Z6">
        <v>8864800</v>
      </c>
      <c r="AA6">
        <f t="shared" si="6"/>
        <v>93.043368739241785</v>
      </c>
      <c r="AB6">
        <v>20</v>
      </c>
      <c r="AC6">
        <f>AVERAGE(B6,K6,T6)</f>
        <v>25213.333333333332</v>
      </c>
      <c r="AD6">
        <f t="shared" si="0"/>
        <v>1401.6666666666667</v>
      </c>
      <c r="AE6">
        <f t="shared" si="0"/>
        <v>504266.66666666669</v>
      </c>
      <c r="AF6">
        <f t="shared" si="0"/>
        <v>28033.333333333332</v>
      </c>
      <c r="AG6">
        <f t="shared" si="0"/>
        <v>24.78</v>
      </c>
      <c r="AH6">
        <f t="shared" si="0"/>
        <v>1.2390000000000001</v>
      </c>
      <c r="AI6">
        <f t="shared" si="0"/>
        <v>9524666.666666666</v>
      </c>
      <c r="AJ6">
        <f>((AE6-AF6)/AE6)*100</f>
        <v>94.440772078265468</v>
      </c>
      <c r="AK6">
        <f>_xlfn.STDEV.P(E6,N6,W6)</f>
        <v>3625.6984001553255</v>
      </c>
      <c r="AL6">
        <f t="shared" si="8"/>
        <v>2093.2979473300729</v>
      </c>
      <c r="AM6">
        <f>_xlfn.STDEV.P(H6,Q6,Z6)</f>
        <v>1165007.2312603423</v>
      </c>
      <c r="AN6">
        <f t="shared" si="9"/>
        <v>672617.2385760193</v>
      </c>
    </row>
    <row r="7" spans="1:40" x14ac:dyDescent="0.2">
      <c r="H7" t="s">
        <v>8</v>
      </c>
      <c r="I7">
        <f>AVERAGE(I2:I6)</f>
        <v>92.479734607634427</v>
      </c>
      <c r="Q7" t="s">
        <v>104</v>
      </c>
      <c r="R7">
        <f>AVERAGE(R2:R6)</f>
        <v>93.527463358349607</v>
      </c>
      <c r="Z7" t="s">
        <v>8</v>
      </c>
      <c r="AA7">
        <f>AVERAGE(AA2:AA6)</f>
        <v>94.440715675704311</v>
      </c>
      <c r="AI7" t="s">
        <v>49</v>
      </c>
      <c r="AJ7">
        <f>AVERAGE(AJ2:AJ6)</f>
        <v>93.52007410997858</v>
      </c>
    </row>
    <row r="8" spans="1:40" x14ac:dyDescent="0.2">
      <c r="AI8" t="s">
        <v>55</v>
      </c>
      <c r="AJ8">
        <v>252.77</v>
      </c>
    </row>
    <row r="9" spans="1:40" x14ac:dyDescent="0.2">
      <c r="AI9" t="s">
        <v>53</v>
      </c>
      <c r="AJ9">
        <v>7.1999999999999998E-3</v>
      </c>
    </row>
    <row r="10" spans="1:40" x14ac:dyDescent="0.2">
      <c r="AI10" t="s">
        <v>52</v>
      </c>
      <c r="AJ10">
        <f>AJ8/AJ9</f>
        <v>35106.944444444445</v>
      </c>
    </row>
    <row r="11" spans="1:40" x14ac:dyDescent="0.2">
      <c r="AI11" t="s">
        <v>56</v>
      </c>
      <c r="AJ11">
        <v>0.97299999999999998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B3BA-DF2E-6E41-9702-028EE7E6554F}">
  <dimension ref="A1:AX18"/>
  <sheetViews>
    <sheetView topLeftCell="Q10" zoomScale="144" workbookViewId="0">
      <selection activeCell="AK8" sqref="AK8"/>
    </sheetView>
  </sheetViews>
  <sheetFormatPr baseColWidth="10" defaultRowHeight="16" x14ac:dyDescent="0.2"/>
  <sheetData>
    <row r="1" spans="1:50" ht="51" x14ac:dyDescent="0.2">
      <c r="A1" s="1" t="s">
        <v>21</v>
      </c>
      <c r="B1" s="1" t="s">
        <v>3</v>
      </c>
      <c r="C1" s="1" t="s">
        <v>4</v>
      </c>
      <c r="D1" s="1" t="s">
        <v>0</v>
      </c>
      <c r="E1" s="1" t="s">
        <v>2</v>
      </c>
      <c r="F1" s="1" t="s">
        <v>5</v>
      </c>
      <c r="G1" s="1" t="s">
        <v>6</v>
      </c>
      <c r="H1" s="1" t="s">
        <v>1</v>
      </c>
      <c r="I1" s="1" t="s">
        <v>7</v>
      </c>
      <c r="K1" s="1" t="s">
        <v>22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103</v>
      </c>
      <c r="T1" s="1" t="s">
        <v>23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103</v>
      </c>
      <c r="AC1" s="1" t="s">
        <v>24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103</v>
      </c>
      <c r="AL1" s="1" t="s">
        <v>27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35</v>
      </c>
      <c r="AU1" s="1" t="s">
        <v>38</v>
      </c>
      <c r="AV1" s="1" t="s">
        <v>46</v>
      </c>
      <c r="AW1" s="1" t="s">
        <v>39</v>
      </c>
      <c r="AX1" s="1" t="s">
        <v>47</v>
      </c>
    </row>
    <row r="2" spans="1:50" x14ac:dyDescent="0.2">
      <c r="A2">
        <v>100</v>
      </c>
      <c r="B2">
        <v>94692.333333333328</v>
      </c>
      <c r="C2">
        <v>47483</v>
      </c>
      <c r="D2">
        <v>1893846.6666666665</v>
      </c>
      <c r="E2">
        <v>949660</v>
      </c>
      <c r="F2">
        <v>24.74</v>
      </c>
      <c r="G2">
        <v>1.2370000000000001</v>
      </c>
      <c r="H2">
        <v>18883733.333333328</v>
      </c>
      <c r="I2">
        <f>((D2-E2)/D2)*100</f>
        <v>49.855496925129451</v>
      </c>
      <c r="K2">
        <v>100</v>
      </c>
      <c r="L2">
        <v>135338.33333333334</v>
      </c>
      <c r="M2">
        <v>69644</v>
      </c>
      <c r="N2">
        <v>2706766.6666666665</v>
      </c>
      <c r="O2">
        <v>1392880</v>
      </c>
      <c r="P2">
        <v>24.86</v>
      </c>
      <c r="Q2">
        <v>1.2430000000000001</v>
      </c>
      <c r="R2">
        <v>26277733.333333325</v>
      </c>
      <c r="S2">
        <f>((N2-O2)/N2)*100</f>
        <v>48.540817457483094</v>
      </c>
      <c r="T2" s="2">
        <v>100</v>
      </c>
      <c r="U2">
        <v>109999</v>
      </c>
      <c r="V2">
        <v>18896</v>
      </c>
      <c r="W2">
        <v>2199980</v>
      </c>
      <c r="X2">
        <v>377920</v>
      </c>
      <c r="Y2">
        <v>25.76</v>
      </c>
      <c r="Z2">
        <v>1.288</v>
      </c>
      <c r="AA2">
        <v>36441200</v>
      </c>
      <c r="AB2">
        <f>((W2-X2)/W2)*100</f>
        <v>82.821662015109226</v>
      </c>
      <c r="AC2">
        <v>100</v>
      </c>
      <c r="AD2">
        <v>148780</v>
      </c>
      <c r="AE2">
        <v>32725</v>
      </c>
      <c r="AF2">
        <v>2975600</v>
      </c>
      <c r="AG2">
        <v>654500</v>
      </c>
      <c r="AH2">
        <v>25.76</v>
      </c>
      <c r="AI2">
        <v>1.288</v>
      </c>
      <c r="AJ2">
        <v>46422000</v>
      </c>
      <c r="AK2">
        <f>((AF2-AG2)/AF2)*100</f>
        <v>78.004436080118296</v>
      </c>
      <c r="AL2">
        <v>100</v>
      </c>
      <c r="AM2">
        <f t="shared" ref="AM2:AS2" si="0">AVERAGE(B2,L2,U2,AD2)</f>
        <v>122202.41666666667</v>
      </c>
      <c r="AN2">
        <f t="shared" si="0"/>
        <v>42187</v>
      </c>
      <c r="AO2">
        <f t="shared" si="0"/>
        <v>2444048.333333333</v>
      </c>
      <c r="AP2">
        <f t="shared" si="0"/>
        <v>843740</v>
      </c>
      <c r="AQ2">
        <f t="shared" si="0"/>
        <v>25.28</v>
      </c>
      <c r="AR2">
        <f t="shared" si="0"/>
        <v>1.2640000000000002</v>
      </c>
      <c r="AS2">
        <f t="shared" si="0"/>
        <v>32006166.666666664</v>
      </c>
      <c r="AT2">
        <f>((AO2-AP2)/AO2)*100</f>
        <v>65.477769465824792</v>
      </c>
      <c r="AU2">
        <f>_xlfn.STDEV.P(E2,O2,X2,AG2)</f>
        <v>376023.21603858453</v>
      </c>
      <c r="AV2">
        <f>AU2/(SQRT(4))</f>
        <v>188011.60801929227</v>
      </c>
      <c r="AW2">
        <f>_xlfn.STDEV.P(H2,R2,AA2,AJ2)</f>
        <v>10398304.866713192</v>
      </c>
      <c r="AX2">
        <f>AW2/(SQRT(4))</f>
        <v>5199152.4333565962</v>
      </c>
    </row>
    <row r="3" spans="1:50" x14ac:dyDescent="0.2">
      <c r="A3">
        <v>80</v>
      </c>
      <c r="B3">
        <v>74368.666666666672</v>
      </c>
      <c r="C3">
        <v>38643.333333333336</v>
      </c>
      <c r="D3">
        <v>1487373.3333333333</v>
      </c>
      <c r="E3">
        <v>772866.66666666663</v>
      </c>
      <c r="F3">
        <v>24.86</v>
      </c>
      <c r="G3">
        <v>1.2430000000000001</v>
      </c>
      <c r="H3">
        <v>14290133.33333333</v>
      </c>
      <c r="I3">
        <f t="shared" ref="I3:I13" si="1">((D3-E3)/D3)*100</f>
        <v>48.038152268428455</v>
      </c>
      <c r="K3">
        <v>80</v>
      </c>
      <c r="L3">
        <v>116159.66666666667</v>
      </c>
      <c r="M3">
        <v>44386</v>
      </c>
      <c r="N3">
        <v>2323193.3333333335</v>
      </c>
      <c r="O3">
        <v>887720</v>
      </c>
      <c r="P3">
        <v>24.62</v>
      </c>
      <c r="Q3">
        <v>1.2310000000000001</v>
      </c>
      <c r="R3">
        <v>28709466.666666672</v>
      </c>
      <c r="S3">
        <f t="shared" ref="S3:S14" si="2">((N3-O3)/N3)*100</f>
        <v>61.788802194680315</v>
      </c>
      <c r="T3" s="2">
        <v>80</v>
      </c>
      <c r="U3">
        <v>82074</v>
      </c>
      <c r="V3">
        <v>23256</v>
      </c>
      <c r="W3">
        <v>1641480</v>
      </c>
      <c r="X3">
        <v>465120</v>
      </c>
      <c r="Y3">
        <v>26.5</v>
      </c>
      <c r="Z3">
        <v>1.325</v>
      </c>
      <c r="AA3">
        <v>23527200</v>
      </c>
      <c r="AB3">
        <f t="shared" ref="AB3:AB6" si="3">((W3-X3)/W3)*100</f>
        <v>71.664595365158263</v>
      </c>
      <c r="AC3">
        <v>80</v>
      </c>
      <c r="AD3">
        <v>110333</v>
      </c>
      <c r="AE3">
        <v>25570</v>
      </c>
      <c r="AF3">
        <v>2206660</v>
      </c>
      <c r="AG3">
        <v>511400</v>
      </c>
      <c r="AH3">
        <v>27.18</v>
      </c>
      <c r="AI3">
        <v>1.359</v>
      </c>
      <c r="AJ3">
        <v>33905200</v>
      </c>
      <c r="AK3">
        <f t="shared" ref="AK3:AK6" si="4">((AF3-AG3)/AF3)*100</f>
        <v>76.824703397895462</v>
      </c>
      <c r="AL3">
        <v>80</v>
      </c>
      <c r="AM3">
        <f>AVERAGE(B3,L3,U3,AD3)</f>
        <v>95733.833333333343</v>
      </c>
      <c r="AN3">
        <f t="shared" ref="AN3:AS3" si="5">AVERAGE(C3,M3,V3,AE3)</f>
        <v>32963.833333333336</v>
      </c>
      <c r="AO3">
        <f t="shared" si="5"/>
        <v>1914676.6666666667</v>
      </c>
      <c r="AP3">
        <f t="shared" si="5"/>
        <v>659276.66666666663</v>
      </c>
      <c r="AQ3">
        <f t="shared" si="5"/>
        <v>25.79</v>
      </c>
      <c r="AR3">
        <f t="shared" si="5"/>
        <v>1.2895000000000001</v>
      </c>
      <c r="AS3">
        <f t="shared" si="5"/>
        <v>25108000</v>
      </c>
      <c r="AT3">
        <f t="shared" ref="AT3:AT13" si="6">((AO3-AP3)/AO3)*100</f>
        <v>65.567206299410003</v>
      </c>
      <c r="AU3">
        <f>_xlfn.STDEV.P(E3,O3,X3,AG3)</f>
        <v>176531.41675067358</v>
      </c>
      <c r="AV3">
        <f>AU3/(SQRT(4))</f>
        <v>88265.708375336792</v>
      </c>
      <c r="AW3">
        <f>_xlfn.STDEV.P(H3,R3,AA3,AJ3)</f>
        <v>7243729.3200548468</v>
      </c>
      <c r="AX3">
        <f>AW3/(SQRT(4))</f>
        <v>3621864.6600274234</v>
      </c>
    </row>
    <row r="4" spans="1:50" x14ac:dyDescent="0.2">
      <c r="A4">
        <v>60</v>
      </c>
      <c r="B4">
        <v>53155</v>
      </c>
      <c r="C4">
        <v>28409.666666666668</v>
      </c>
      <c r="D4">
        <v>1063100</v>
      </c>
      <c r="E4">
        <v>568193.33333333337</v>
      </c>
      <c r="F4">
        <v>25.3</v>
      </c>
      <c r="G4">
        <v>1.2649999999999999</v>
      </c>
      <c r="H4">
        <v>9898133.333333334</v>
      </c>
      <c r="I4">
        <f t="shared" si="1"/>
        <v>46.553162135891881</v>
      </c>
      <c r="K4">
        <v>75</v>
      </c>
      <c r="L4">
        <v>114028.66666666667</v>
      </c>
      <c r="M4">
        <v>48258.333333333336</v>
      </c>
      <c r="N4">
        <v>2280573.3333333335</v>
      </c>
      <c r="O4">
        <v>965166.66666666663</v>
      </c>
      <c r="P4">
        <v>25.38</v>
      </c>
      <c r="Q4">
        <v>1.2689999999999999</v>
      </c>
      <c r="R4">
        <v>26308133.33333334</v>
      </c>
      <c r="S4">
        <f t="shared" si="2"/>
        <v>57.678770835403967</v>
      </c>
      <c r="T4" s="2">
        <v>60</v>
      </c>
      <c r="U4">
        <v>72571</v>
      </c>
      <c r="V4">
        <v>15490</v>
      </c>
      <c r="W4">
        <v>1451420</v>
      </c>
      <c r="X4">
        <v>309800</v>
      </c>
      <c r="Y4">
        <v>25.14</v>
      </c>
      <c r="Z4">
        <v>1.2569999999999999</v>
      </c>
      <c r="AA4">
        <v>22832400.000000004</v>
      </c>
      <c r="AB4">
        <f t="shared" si="3"/>
        <v>78.655385760152129</v>
      </c>
      <c r="AC4">
        <v>60</v>
      </c>
      <c r="AD4">
        <v>91080</v>
      </c>
      <c r="AE4">
        <v>14393</v>
      </c>
      <c r="AF4">
        <v>1821600</v>
      </c>
      <c r="AG4">
        <v>287860</v>
      </c>
      <c r="AH4">
        <v>24.74</v>
      </c>
      <c r="AI4">
        <v>1.2370000000000001</v>
      </c>
      <c r="AJ4">
        <v>30674799.999999996</v>
      </c>
      <c r="AK4">
        <f t="shared" si="4"/>
        <v>84.197408871321912</v>
      </c>
      <c r="AL4">
        <v>60</v>
      </c>
      <c r="AM4">
        <f t="shared" ref="AM4:AS4" si="7">AVERAGE(B4,L6,U4,AD4)</f>
        <v>76121.916666666672</v>
      </c>
      <c r="AN4">
        <f t="shared" si="7"/>
        <v>24411.583333333332</v>
      </c>
      <c r="AO4">
        <f t="shared" si="7"/>
        <v>1522438.3333333333</v>
      </c>
      <c r="AP4">
        <f t="shared" si="7"/>
        <v>488231.66666666663</v>
      </c>
      <c r="AQ4">
        <f t="shared" si="7"/>
        <v>25.009999999999998</v>
      </c>
      <c r="AR4">
        <f t="shared" si="7"/>
        <v>1.2504999999999999</v>
      </c>
      <c r="AS4">
        <f t="shared" si="7"/>
        <v>20684133.333333332</v>
      </c>
      <c r="AT4">
        <f>((AO4-AP4)/AO4)*100</f>
        <v>67.930939731549074</v>
      </c>
      <c r="AU4">
        <f>_xlfn.STDEV.P(E4,O6,X4,AG4)</f>
        <v>204747.93914985115</v>
      </c>
      <c r="AV4">
        <f>AU4/(SQRT(4))</f>
        <v>102373.96957492558</v>
      </c>
      <c r="AW4">
        <f>_xlfn.STDEV.P(H4,R6,AA4,AJ4)</f>
        <v>7459837.3762435326</v>
      </c>
      <c r="AX4">
        <f t="shared" ref="AX4:AX6" si="8">AW4/(SQRT(4))</f>
        <v>3729918.6881217663</v>
      </c>
    </row>
    <row r="5" spans="1:50" x14ac:dyDescent="0.2">
      <c r="A5">
        <v>40</v>
      </c>
      <c r="B5">
        <v>36145</v>
      </c>
      <c r="C5">
        <v>15912.666666666666</v>
      </c>
      <c r="D5">
        <v>722900</v>
      </c>
      <c r="E5">
        <v>318253.33333333331</v>
      </c>
      <c r="F5">
        <v>24.94</v>
      </c>
      <c r="G5">
        <v>1.2470000000000001</v>
      </c>
      <c r="H5">
        <v>8092933.333333334</v>
      </c>
      <c r="I5">
        <f t="shared" si="1"/>
        <v>55.975469175081848</v>
      </c>
      <c r="K5">
        <v>70</v>
      </c>
      <c r="L5">
        <v>96925.666666666672</v>
      </c>
      <c r="M5">
        <v>50806.666666666664</v>
      </c>
      <c r="N5">
        <v>1938513.3333333333</v>
      </c>
      <c r="O5">
        <v>1016133.3333333333</v>
      </c>
      <c r="P5">
        <v>24.66</v>
      </c>
      <c r="Q5">
        <v>1.2330000000000001</v>
      </c>
      <c r="R5">
        <v>18447600</v>
      </c>
      <c r="S5">
        <f t="shared" si="2"/>
        <v>47.581823871901832</v>
      </c>
      <c r="T5" s="2">
        <v>40</v>
      </c>
      <c r="U5">
        <v>53183</v>
      </c>
      <c r="V5">
        <v>16622</v>
      </c>
      <c r="W5">
        <v>1063660</v>
      </c>
      <c r="X5">
        <v>332440</v>
      </c>
      <c r="Y5">
        <v>25.11</v>
      </c>
      <c r="Z5">
        <v>1.2549999999999999</v>
      </c>
      <c r="AA5">
        <v>14630226.454183267</v>
      </c>
      <c r="AB5">
        <f t="shared" si="3"/>
        <v>68.745651806028235</v>
      </c>
      <c r="AC5">
        <v>40</v>
      </c>
      <c r="AD5">
        <v>15210</v>
      </c>
      <c r="AE5">
        <v>9590</v>
      </c>
      <c r="AF5">
        <v>304200</v>
      </c>
      <c r="AG5">
        <v>191800</v>
      </c>
      <c r="AH5">
        <v>25.3</v>
      </c>
      <c r="AI5">
        <v>1.2649999999999999</v>
      </c>
      <c r="AJ5">
        <v>2248000.0000000005</v>
      </c>
      <c r="AK5">
        <f t="shared" si="4"/>
        <v>36.949375410913873</v>
      </c>
      <c r="AL5">
        <v>40</v>
      </c>
      <c r="AM5">
        <f t="shared" ref="AM5:AS5" si="9">AVERAGE(B5,L8,U5,AD5)</f>
        <v>40342.166666666664</v>
      </c>
      <c r="AN5">
        <f t="shared" si="9"/>
        <v>18645.25</v>
      </c>
      <c r="AO5">
        <f t="shared" si="9"/>
        <v>806843.33333333326</v>
      </c>
      <c r="AP5">
        <f t="shared" si="9"/>
        <v>372905</v>
      </c>
      <c r="AQ5">
        <f t="shared" si="9"/>
        <v>24.942499999999999</v>
      </c>
      <c r="AR5">
        <f t="shared" si="9"/>
        <v>1.2469999999999999</v>
      </c>
      <c r="AS5">
        <f t="shared" si="9"/>
        <v>8680223.2802124824</v>
      </c>
      <c r="AT5">
        <f t="shared" si="6"/>
        <v>53.782229511718505</v>
      </c>
      <c r="AU5">
        <f>_xlfn.STDEV.P(E5,O8,X5,AG5)</f>
        <v>168613.20459527735</v>
      </c>
      <c r="AV5">
        <f>AU5/(SQRT(4))</f>
        <v>84306.602297638674</v>
      </c>
      <c r="AW5">
        <f>_xlfn.STDEV.P(H5,R8,AA5,AJ5)</f>
        <v>4423369.6242853636</v>
      </c>
      <c r="AX5">
        <f t="shared" si="8"/>
        <v>2211684.8121426818</v>
      </c>
    </row>
    <row r="6" spans="1:50" x14ac:dyDescent="0.2">
      <c r="A6">
        <v>20</v>
      </c>
      <c r="B6">
        <v>19640.666666666668</v>
      </c>
      <c r="C6">
        <v>8927.6666666666661</v>
      </c>
      <c r="D6">
        <v>392813.33333333331</v>
      </c>
      <c r="E6">
        <v>178553.33333333331</v>
      </c>
      <c r="F6">
        <v>24.94</v>
      </c>
      <c r="G6">
        <v>1.2470000000000001</v>
      </c>
      <c r="H6">
        <v>4285200</v>
      </c>
      <c r="I6">
        <f t="shared" si="1"/>
        <v>54.544991683921118</v>
      </c>
      <c r="K6">
        <v>60</v>
      </c>
      <c r="L6">
        <v>87681.666666666672</v>
      </c>
      <c r="M6">
        <v>39353.666666666664</v>
      </c>
      <c r="N6">
        <v>1753633.3333333333</v>
      </c>
      <c r="O6">
        <v>787073.33333333326</v>
      </c>
      <c r="P6">
        <v>24.86</v>
      </c>
      <c r="Q6">
        <v>1.2430000000000001</v>
      </c>
      <c r="R6">
        <v>19331199.999999996</v>
      </c>
      <c r="S6">
        <f t="shared" si="2"/>
        <v>55.117565435571855</v>
      </c>
      <c r="T6" s="2">
        <v>20</v>
      </c>
      <c r="U6">
        <v>30065</v>
      </c>
      <c r="V6">
        <v>6342</v>
      </c>
      <c r="W6">
        <v>601300</v>
      </c>
      <c r="X6">
        <v>126840</v>
      </c>
      <c r="Y6">
        <v>25.6</v>
      </c>
      <c r="Z6">
        <v>1.28</v>
      </c>
      <c r="AA6">
        <v>9489200</v>
      </c>
      <c r="AB6">
        <f t="shared" si="3"/>
        <v>78.905704307334119</v>
      </c>
      <c r="AC6">
        <v>20</v>
      </c>
      <c r="AD6">
        <v>31683</v>
      </c>
      <c r="AE6">
        <v>3711</v>
      </c>
      <c r="AF6">
        <v>633660</v>
      </c>
      <c r="AG6">
        <v>74220</v>
      </c>
      <c r="AH6">
        <v>25</v>
      </c>
      <c r="AI6">
        <v>1.25</v>
      </c>
      <c r="AJ6">
        <v>11188800</v>
      </c>
      <c r="AK6">
        <f t="shared" si="4"/>
        <v>88.287094025187002</v>
      </c>
      <c r="AL6">
        <v>20</v>
      </c>
      <c r="AM6">
        <f>AVERAGE(B6,L11,U6,AD6)</f>
        <v>27201</v>
      </c>
      <c r="AN6">
        <f>AVERAGE(C6,M11,V6,AD6)</f>
        <v>15361.666666666666</v>
      </c>
      <c r="AO6">
        <f>AVERAGE(D6,N11,W6,AE6)</f>
        <v>386532.75</v>
      </c>
      <c r="AP6">
        <f>AVERAGE(E6,O11,X6,AG6)</f>
        <v>167373.33333333331</v>
      </c>
      <c r="AQ6">
        <f>AVERAGE(F6,P11,Y6,AH6)</f>
        <v>25.490000000000002</v>
      </c>
      <c r="AR6">
        <f>AVERAGE(G6,Q11,Z6,AI6)</f>
        <v>1.2745</v>
      </c>
      <c r="AS6">
        <f>AVERAGE(H6,R11,AA6,AI6)</f>
        <v>4735733.645833333</v>
      </c>
      <c r="AT6">
        <f t="shared" si="6"/>
        <v>56.698796328814751</v>
      </c>
      <c r="AU6">
        <f>_xlfn.STDEV.P(E6,O11,X6,AG6)</f>
        <v>79770.562239462815</v>
      </c>
      <c r="AV6">
        <f>AU6/(SQRT(4))</f>
        <v>39885.281119731408</v>
      </c>
      <c r="AW6">
        <f>_xlfn.STDEV.P(H6,R11,AA6,AJ6)</f>
        <v>2886628.6356232259</v>
      </c>
      <c r="AX6">
        <f t="shared" si="8"/>
        <v>1443314.317811613</v>
      </c>
    </row>
    <row r="7" spans="1:50" x14ac:dyDescent="0.2">
      <c r="A7">
        <v>15</v>
      </c>
      <c r="B7">
        <v>15621.666666666666</v>
      </c>
      <c r="C7">
        <v>2297</v>
      </c>
      <c r="D7">
        <v>312433.33333333331</v>
      </c>
      <c r="E7">
        <v>45940</v>
      </c>
      <c r="F7">
        <v>24.66</v>
      </c>
      <c r="G7">
        <v>1.2330000000000001</v>
      </c>
      <c r="H7">
        <v>5329866.666666666</v>
      </c>
      <c r="I7">
        <f t="shared" si="1"/>
        <v>85.296063160140832</v>
      </c>
      <c r="K7">
        <v>50</v>
      </c>
      <c r="L7">
        <v>76807.666666666672</v>
      </c>
      <c r="M7">
        <v>37828</v>
      </c>
      <c r="N7">
        <v>1536153.3333333333</v>
      </c>
      <c r="O7">
        <v>756560</v>
      </c>
      <c r="P7">
        <v>24.78</v>
      </c>
      <c r="Q7">
        <v>1.2390000000000001</v>
      </c>
      <c r="R7">
        <v>15591866.666666664</v>
      </c>
      <c r="S7">
        <f t="shared" si="2"/>
        <v>50.749708145454228</v>
      </c>
      <c r="AA7" t="s">
        <v>104</v>
      </c>
      <c r="AB7">
        <f>AVERAGE(AB2:AB6)</f>
        <v>76.158599850756389</v>
      </c>
      <c r="AJ7" t="s">
        <v>104</v>
      </c>
      <c r="AK7">
        <f>AVERAGE(AK2:AK6)</f>
        <v>72.852603557087306</v>
      </c>
      <c r="AL7">
        <v>15</v>
      </c>
      <c r="AM7">
        <v>15621.666666666666</v>
      </c>
      <c r="AN7">
        <v>2297</v>
      </c>
      <c r="AO7">
        <v>312433.33333333331</v>
      </c>
      <c r="AP7">
        <v>45940</v>
      </c>
      <c r="AQ7">
        <v>24.66</v>
      </c>
      <c r="AR7">
        <v>1.2330000000000001</v>
      </c>
      <c r="AS7">
        <v>5329866.666666666</v>
      </c>
      <c r="AT7">
        <f t="shared" si="6"/>
        <v>85.296063160140832</v>
      </c>
    </row>
    <row r="8" spans="1:50" x14ac:dyDescent="0.2">
      <c r="A8">
        <v>12</v>
      </c>
      <c r="B8">
        <v>12138</v>
      </c>
      <c r="C8">
        <v>6415</v>
      </c>
      <c r="D8">
        <v>242760</v>
      </c>
      <c r="E8">
        <v>128300</v>
      </c>
      <c r="F8">
        <v>24.92</v>
      </c>
      <c r="G8">
        <v>1.246</v>
      </c>
      <c r="H8">
        <v>2289200</v>
      </c>
      <c r="I8">
        <f t="shared" si="1"/>
        <v>47.149448014499917</v>
      </c>
      <c r="K8">
        <v>40</v>
      </c>
      <c r="L8">
        <v>56830.666666666664</v>
      </c>
      <c r="M8">
        <v>32456.333333333332</v>
      </c>
      <c r="N8">
        <v>1136613.3333333333</v>
      </c>
      <c r="O8">
        <v>649126.66666666663</v>
      </c>
      <c r="P8">
        <v>24.42</v>
      </c>
      <c r="Q8">
        <v>1.2210000000000001</v>
      </c>
      <c r="R8">
        <v>9749733.3333333321</v>
      </c>
      <c r="S8">
        <f t="shared" si="2"/>
        <v>42.889402435304881</v>
      </c>
      <c r="AL8">
        <v>12</v>
      </c>
      <c r="AM8">
        <v>12138</v>
      </c>
      <c r="AN8">
        <v>6415</v>
      </c>
      <c r="AO8">
        <v>242760</v>
      </c>
      <c r="AP8">
        <v>128300</v>
      </c>
      <c r="AQ8">
        <v>24.92</v>
      </c>
      <c r="AR8">
        <v>1.246</v>
      </c>
      <c r="AS8">
        <v>2289200</v>
      </c>
      <c r="AT8">
        <f t="shared" si="6"/>
        <v>47.149448014499917</v>
      </c>
    </row>
    <row r="9" spans="1:50" x14ac:dyDescent="0.2">
      <c r="A9">
        <v>10</v>
      </c>
      <c r="B9">
        <v>9873</v>
      </c>
      <c r="C9">
        <v>4959.333333333333</v>
      </c>
      <c r="D9">
        <v>197460</v>
      </c>
      <c r="E9">
        <v>99186.666666666657</v>
      </c>
      <c r="F9">
        <v>25.2</v>
      </c>
      <c r="G9">
        <v>1.26</v>
      </c>
      <c r="H9">
        <v>1965466.666666667</v>
      </c>
      <c r="I9">
        <f t="shared" si="1"/>
        <v>49.768729531719508</v>
      </c>
      <c r="K9">
        <v>30</v>
      </c>
      <c r="L9">
        <v>41331.333333333336</v>
      </c>
      <c r="M9">
        <v>24580</v>
      </c>
      <c r="N9">
        <v>826626.66666666663</v>
      </c>
      <c r="O9">
        <v>491600</v>
      </c>
      <c r="P9">
        <v>25.62</v>
      </c>
      <c r="Q9">
        <v>1.2809999999999999</v>
      </c>
      <c r="R9">
        <v>6700533.333333334</v>
      </c>
      <c r="S9">
        <f t="shared" si="2"/>
        <v>40.529380453892927</v>
      </c>
      <c r="AL9">
        <v>10</v>
      </c>
      <c r="AM9">
        <f>AVERAGE(B9,L12)</f>
        <v>12478</v>
      </c>
      <c r="AN9">
        <f t="shared" ref="AN9:AS9" si="10">AVERAGE(C9,M12)</f>
        <v>5899.1666666666661</v>
      </c>
      <c r="AO9">
        <f t="shared" si="10"/>
        <v>249560</v>
      </c>
      <c r="AP9">
        <f t="shared" si="10"/>
        <v>117983.33333333333</v>
      </c>
      <c r="AQ9">
        <f t="shared" si="10"/>
        <v>25.08</v>
      </c>
      <c r="AR9">
        <f t="shared" si="10"/>
        <v>1.254</v>
      </c>
      <c r="AS9">
        <f t="shared" si="10"/>
        <v>2631533.3333333335</v>
      </c>
      <c r="AT9">
        <f t="shared" si="6"/>
        <v>52.723459956189565</v>
      </c>
    </row>
    <row r="10" spans="1:50" x14ac:dyDescent="0.2">
      <c r="A10">
        <v>7.5</v>
      </c>
      <c r="B10">
        <v>7014</v>
      </c>
      <c r="C10">
        <v>4089</v>
      </c>
      <c r="D10">
        <v>140280</v>
      </c>
      <c r="E10">
        <v>81780</v>
      </c>
      <c r="F10">
        <v>24.74</v>
      </c>
      <c r="G10">
        <v>1.2370000000000001</v>
      </c>
      <c r="H10">
        <v>1169999.9999999998</v>
      </c>
      <c r="I10">
        <f t="shared" si="1"/>
        <v>41.702309666381524</v>
      </c>
      <c r="K10">
        <v>25</v>
      </c>
      <c r="L10">
        <v>37875.666666666664</v>
      </c>
      <c r="M10">
        <v>18133</v>
      </c>
      <c r="N10">
        <v>757513.33333333326</v>
      </c>
      <c r="O10">
        <v>362660</v>
      </c>
      <c r="P10">
        <v>25.14</v>
      </c>
      <c r="Q10">
        <v>1.2569999999999999</v>
      </c>
      <c r="R10">
        <v>7897066.666666667</v>
      </c>
      <c r="S10">
        <f t="shared" si="2"/>
        <v>52.124935094651789</v>
      </c>
      <c r="AL10">
        <v>7.5</v>
      </c>
      <c r="AM10">
        <v>7014</v>
      </c>
      <c r="AN10">
        <v>4089</v>
      </c>
      <c r="AO10">
        <v>140280</v>
      </c>
      <c r="AP10">
        <v>81780</v>
      </c>
      <c r="AQ10">
        <v>24.74</v>
      </c>
      <c r="AR10">
        <v>1.2370000000000001</v>
      </c>
      <c r="AS10">
        <v>1169999.9999999998</v>
      </c>
      <c r="AT10">
        <f t="shared" si="6"/>
        <v>41.702309666381524</v>
      </c>
    </row>
    <row r="11" spans="1:50" x14ac:dyDescent="0.2">
      <c r="A11">
        <v>5</v>
      </c>
      <c r="B11">
        <v>4149</v>
      </c>
      <c r="C11">
        <v>1519</v>
      </c>
      <c r="D11">
        <v>82980</v>
      </c>
      <c r="E11">
        <v>30380</v>
      </c>
      <c r="F11">
        <v>25.14</v>
      </c>
      <c r="G11">
        <v>1.2569999999999999</v>
      </c>
      <c r="H11">
        <v>1052000.0000000002</v>
      </c>
      <c r="I11">
        <f t="shared" si="1"/>
        <v>63.388768377922389</v>
      </c>
      <c r="K11">
        <v>20</v>
      </c>
      <c r="L11">
        <v>27415.333333333332</v>
      </c>
      <c r="M11">
        <v>14494</v>
      </c>
      <c r="N11">
        <v>548306.66666666663</v>
      </c>
      <c r="O11">
        <v>289880</v>
      </c>
      <c r="P11">
        <v>26.42</v>
      </c>
      <c r="Q11">
        <v>1.321</v>
      </c>
      <c r="R11">
        <v>5168533.333333333</v>
      </c>
      <c r="S11">
        <f t="shared" si="2"/>
        <v>47.131775405490842</v>
      </c>
      <c r="AL11">
        <v>5</v>
      </c>
      <c r="AM11">
        <f>AVERAGE(B11,L13)</f>
        <v>5880.1666666666661</v>
      </c>
      <c r="AN11">
        <f t="shared" ref="AN11:AS11" si="11">AVERAGE(C11,M13)</f>
        <v>2904.5</v>
      </c>
      <c r="AO11">
        <f t="shared" si="11"/>
        <v>117603.33333333333</v>
      </c>
      <c r="AP11">
        <f t="shared" si="11"/>
        <v>58090</v>
      </c>
      <c r="AQ11">
        <f t="shared" si="11"/>
        <v>25.240000000000002</v>
      </c>
      <c r="AR11">
        <f t="shared" si="11"/>
        <v>1.262</v>
      </c>
      <c r="AS11">
        <f t="shared" si="11"/>
        <v>1190266.6666666665</v>
      </c>
      <c r="AT11">
        <f t="shared" si="6"/>
        <v>50.605141577619683</v>
      </c>
    </row>
    <row r="12" spans="1:50" x14ac:dyDescent="0.2">
      <c r="A12">
        <v>1</v>
      </c>
      <c r="B12">
        <v>912.33333333333337</v>
      </c>
      <c r="C12">
        <v>348</v>
      </c>
      <c r="D12">
        <v>18246.666666666668</v>
      </c>
      <c r="E12">
        <v>6960</v>
      </c>
      <c r="F12">
        <v>24.78</v>
      </c>
      <c r="G12">
        <v>1.2390000000000001</v>
      </c>
      <c r="H12">
        <v>225733.33333333337</v>
      </c>
      <c r="I12">
        <f t="shared" si="1"/>
        <v>61.8560467665327</v>
      </c>
      <c r="K12">
        <v>10</v>
      </c>
      <c r="L12">
        <v>15083</v>
      </c>
      <c r="M12">
        <v>6839</v>
      </c>
      <c r="N12">
        <v>301660</v>
      </c>
      <c r="O12">
        <v>136780</v>
      </c>
      <c r="P12">
        <v>24.96</v>
      </c>
      <c r="Q12">
        <v>1.248</v>
      </c>
      <c r="R12">
        <v>3297600</v>
      </c>
      <c r="S12">
        <f t="shared" si="2"/>
        <v>54.657561493071668</v>
      </c>
      <c r="AL12">
        <v>1</v>
      </c>
      <c r="AM12">
        <f>AVERAGE(B12,L14)</f>
        <v>1179.8333333333333</v>
      </c>
      <c r="AN12">
        <f t="shared" ref="AN12:AS12" si="12">AVERAGE(C12,M14)</f>
        <v>630.16666666666674</v>
      </c>
      <c r="AO12">
        <f t="shared" si="12"/>
        <v>23596.666666666664</v>
      </c>
      <c r="AP12">
        <f t="shared" si="12"/>
        <v>12603.333333333334</v>
      </c>
      <c r="AQ12">
        <f t="shared" si="12"/>
        <v>25.259999999999998</v>
      </c>
      <c r="AR12">
        <f t="shared" si="12"/>
        <v>1.2629999999999999</v>
      </c>
      <c r="AS12">
        <f t="shared" si="12"/>
        <v>219866.66666666666</v>
      </c>
      <c r="AT12">
        <f t="shared" si="6"/>
        <v>46.588501200734562</v>
      </c>
    </row>
    <row r="13" spans="1:50" x14ac:dyDescent="0.2">
      <c r="A13">
        <v>0.5</v>
      </c>
      <c r="B13">
        <v>521</v>
      </c>
      <c r="C13">
        <v>19</v>
      </c>
      <c r="D13">
        <v>10420</v>
      </c>
      <c r="E13">
        <v>380</v>
      </c>
      <c r="F13">
        <v>24.74</v>
      </c>
      <c r="G13">
        <v>1.2370000000000001</v>
      </c>
      <c r="H13">
        <v>200799.99999999997</v>
      </c>
      <c r="I13">
        <f t="shared" si="1"/>
        <v>96.353166986564304</v>
      </c>
      <c r="K13">
        <v>5</v>
      </c>
      <c r="L13">
        <v>7611.333333333333</v>
      </c>
      <c r="M13">
        <v>4290</v>
      </c>
      <c r="N13">
        <v>152226.66666666666</v>
      </c>
      <c r="O13">
        <v>85800</v>
      </c>
      <c r="P13">
        <v>25.34</v>
      </c>
      <c r="Q13">
        <v>1.2669999999999999</v>
      </c>
      <c r="R13">
        <v>1328533.333333333</v>
      </c>
      <c r="S13">
        <f t="shared" si="2"/>
        <v>43.636682140667418</v>
      </c>
      <c r="AL13">
        <v>0.5</v>
      </c>
      <c r="AM13">
        <v>521</v>
      </c>
      <c r="AN13">
        <v>19</v>
      </c>
      <c r="AO13">
        <v>10420</v>
      </c>
      <c r="AP13">
        <v>380</v>
      </c>
      <c r="AQ13">
        <v>24.74</v>
      </c>
      <c r="AR13">
        <v>1.2370000000000001</v>
      </c>
      <c r="AS13">
        <v>200799.99999999997</v>
      </c>
      <c r="AT13">
        <f t="shared" si="6"/>
        <v>96.353166986564304</v>
      </c>
    </row>
    <row r="14" spans="1:50" x14ac:dyDescent="0.2">
      <c r="H14" t="s">
        <v>104</v>
      </c>
      <c r="I14">
        <f>AVERAGE(I2:I13)</f>
        <v>58.373483724351161</v>
      </c>
      <c r="K14">
        <v>1</v>
      </c>
      <c r="L14">
        <v>1447.3333333333333</v>
      </c>
      <c r="M14">
        <v>912.33333333333337</v>
      </c>
      <c r="N14">
        <v>28946.666666666664</v>
      </c>
      <c r="O14">
        <v>18246.666666666668</v>
      </c>
      <c r="P14">
        <v>25.74</v>
      </c>
      <c r="Q14">
        <v>1.2869999999999999</v>
      </c>
      <c r="R14">
        <v>213999.99999999994</v>
      </c>
      <c r="S14">
        <f t="shared" si="2"/>
        <v>36.964532473514502</v>
      </c>
      <c r="AS14" t="s">
        <v>49</v>
      </c>
      <c r="AT14">
        <f>AVERAGE(AT2:AT13)</f>
        <v>60.822919324953943</v>
      </c>
    </row>
    <row r="15" spans="1:50" x14ac:dyDescent="0.2">
      <c r="R15" t="s">
        <v>104</v>
      </c>
      <c r="S15">
        <f>AVERAGE(S2:S14)</f>
        <v>49.183981341314556</v>
      </c>
      <c r="AS15" t="s">
        <v>50</v>
      </c>
      <c r="AT15">
        <f>38.54</f>
        <v>38.54</v>
      </c>
    </row>
    <row r="16" spans="1:50" x14ac:dyDescent="0.2">
      <c r="C16">
        <v>0.05</v>
      </c>
      <c r="AS16" t="s">
        <v>57</v>
      </c>
      <c r="AT16">
        <f>0.0072</f>
        <v>7.1999999999999998E-3</v>
      </c>
    </row>
    <row r="17" spans="45:46" x14ac:dyDescent="0.2">
      <c r="AS17" t="s">
        <v>58</v>
      </c>
      <c r="AT17">
        <f>AT15/AT16</f>
        <v>5352.7777777777774</v>
      </c>
    </row>
    <row r="18" spans="45:46" x14ac:dyDescent="0.2">
      <c r="AS18" t="s">
        <v>56</v>
      </c>
      <c r="AT18">
        <f>0.9556</f>
        <v>0.9556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ADAF-9A80-DD49-963D-53B0B72B161A}">
  <dimension ref="A1:AW12"/>
  <sheetViews>
    <sheetView topLeftCell="X1" zoomScale="169" workbookViewId="0">
      <selection activeCell="AC8" sqref="AC8"/>
    </sheetView>
  </sheetViews>
  <sheetFormatPr baseColWidth="10" defaultRowHeight="16" x14ac:dyDescent="0.2"/>
  <sheetData>
    <row r="1" spans="1:49" ht="51" x14ac:dyDescent="0.2">
      <c r="A1" s="1" t="s">
        <v>28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103</v>
      </c>
      <c r="M1" s="1" t="s">
        <v>29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103</v>
      </c>
      <c r="V1" s="1" t="s">
        <v>30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103</v>
      </c>
      <c r="AE1" s="1" t="s">
        <v>27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41</v>
      </c>
      <c r="AN1" s="1" t="s">
        <v>34</v>
      </c>
      <c r="AO1" s="1" t="s">
        <v>32</v>
      </c>
      <c r="AP1" s="1" t="s">
        <v>40</v>
      </c>
      <c r="AQ1" s="1" t="s">
        <v>48</v>
      </c>
      <c r="AR1" s="1"/>
      <c r="AS1" s="1"/>
      <c r="AT1" s="1"/>
      <c r="AU1" s="1"/>
      <c r="AV1" s="1"/>
      <c r="AW1" s="1"/>
    </row>
    <row r="2" spans="1:49" x14ac:dyDescent="0.2">
      <c r="A2">
        <v>100</v>
      </c>
      <c r="B2">
        <v>157146</v>
      </c>
      <c r="C2">
        <v>107470</v>
      </c>
      <c r="D2">
        <v>3142920</v>
      </c>
      <c r="E2">
        <v>2149400</v>
      </c>
      <c r="F2">
        <v>25.2</v>
      </c>
      <c r="G2">
        <v>1.26</v>
      </c>
      <c r="H2">
        <f>(D2-E2)*(F2/G2)</f>
        <v>19870400</v>
      </c>
      <c r="I2">
        <f>((D2-E2)/D2)*100</f>
        <v>31.611367772644549</v>
      </c>
      <c r="M2">
        <v>100</v>
      </c>
      <c r="N2">
        <v>170671</v>
      </c>
      <c r="O2">
        <v>66141</v>
      </c>
      <c r="P2">
        <v>3413420</v>
      </c>
      <c r="Q2">
        <v>1322820</v>
      </c>
      <c r="R2">
        <v>25.08</v>
      </c>
      <c r="S2">
        <v>1.254</v>
      </c>
      <c r="T2">
        <f>(P2-Q2)*(R2/S2)</f>
        <v>41812000</v>
      </c>
      <c r="U2">
        <f>((P2-Q2)/P2)*100</f>
        <v>61.246491788294435</v>
      </c>
      <c r="V2">
        <v>100</v>
      </c>
      <c r="W2">
        <v>166793</v>
      </c>
      <c r="X2">
        <v>48464</v>
      </c>
      <c r="Y2">
        <v>3335860</v>
      </c>
      <c r="Z2">
        <v>969280</v>
      </c>
      <c r="AA2">
        <v>24.86</v>
      </c>
      <c r="AB2">
        <v>1.2430000000000001</v>
      </c>
      <c r="AC2">
        <f>(Y2-Z2)*(AA2/AB2)</f>
        <v>47331599.999999993</v>
      </c>
      <c r="AD2">
        <f>((Y2-Z2)/Y2)*100</f>
        <v>70.943624732452804</v>
      </c>
      <c r="AE2">
        <v>100</v>
      </c>
      <c r="AF2">
        <f t="shared" ref="AF2:AK2" si="0">AVERAGE(B2,N2,W2)</f>
        <v>164870</v>
      </c>
      <c r="AG2">
        <f t="shared" si="0"/>
        <v>74025</v>
      </c>
      <c r="AH2">
        <f t="shared" si="0"/>
        <v>3297400</v>
      </c>
      <c r="AI2">
        <f t="shared" si="0"/>
        <v>1480500</v>
      </c>
      <c r="AJ2">
        <f t="shared" si="0"/>
        <v>25.046666666666667</v>
      </c>
      <c r="AK2">
        <f t="shared" si="0"/>
        <v>1.2523333333333335</v>
      </c>
      <c r="AL2">
        <f t="shared" ref="AL2" si="1">AVERAGE(H2,T2,AC2)</f>
        <v>36338000</v>
      </c>
      <c r="AM2">
        <f>((AH2-AI2)/AH2)*100</f>
        <v>55.100988657730333</v>
      </c>
      <c r="AN2">
        <f>_xlfn.STDEV.P(E2,Q2,Z2,)</f>
        <v>770964.69898108824</v>
      </c>
      <c r="AO2">
        <f>AN2/(SQRT(3))</f>
        <v>445116.6764924301</v>
      </c>
      <c r="AP2">
        <f>_xlfn.STDEV.P(H2,T2,AC2)</f>
        <v>11860378.952911505</v>
      </c>
      <c r="AQ2">
        <f>AP2/(SQRT(3))</f>
        <v>6847592.9811544297</v>
      </c>
    </row>
    <row r="3" spans="1:49" x14ac:dyDescent="0.2">
      <c r="A3">
        <v>90</v>
      </c>
      <c r="B3">
        <v>143533.33333333334</v>
      </c>
      <c r="C3">
        <v>97079</v>
      </c>
      <c r="D3">
        <v>2870666.6666666665</v>
      </c>
      <c r="E3">
        <v>1941580</v>
      </c>
      <c r="F3">
        <v>25</v>
      </c>
      <c r="G3">
        <v>1.25</v>
      </c>
      <c r="H3">
        <f t="shared" ref="H3:H11" si="2">(D3-E3)*(F3/G3)</f>
        <v>18581733.333333328</v>
      </c>
      <c r="I3">
        <f t="shared" ref="I3:I11" si="3">((D3-E3)/D3)*100</f>
        <v>32.364839758476535</v>
      </c>
      <c r="M3">
        <v>80</v>
      </c>
      <c r="N3">
        <v>132840</v>
      </c>
      <c r="O3">
        <v>44246</v>
      </c>
      <c r="P3">
        <v>2656800</v>
      </c>
      <c r="Q3">
        <v>884920</v>
      </c>
      <c r="R3">
        <v>25.04</v>
      </c>
      <c r="S3">
        <v>1.252</v>
      </c>
      <c r="T3">
        <f t="shared" ref="T3:T6" si="4">(P3-Q3)*(R3/S3)</f>
        <v>35437600</v>
      </c>
      <c r="U3">
        <f t="shared" ref="U3:U6" si="5">((P3-Q3)/P3)*100</f>
        <v>66.692261367058109</v>
      </c>
      <c r="V3">
        <v>80</v>
      </c>
      <c r="W3">
        <v>137685</v>
      </c>
      <c r="X3">
        <v>45134</v>
      </c>
      <c r="Y3">
        <v>2753700</v>
      </c>
      <c r="Z3">
        <v>902680</v>
      </c>
      <c r="AA3">
        <v>24.9</v>
      </c>
      <c r="AB3">
        <v>1.2450000000000001</v>
      </c>
      <c r="AC3">
        <f t="shared" ref="AC3:AC6" si="6">(Y3-Z3)*(AA3/AB3)</f>
        <v>37020399.999999993</v>
      </c>
      <c r="AD3">
        <f t="shared" ref="AD3:AD6" si="7">((Y3-Z3)/Y3)*100</f>
        <v>67.21937756473109</v>
      </c>
      <c r="AE3">
        <v>80</v>
      </c>
      <c r="AF3">
        <f t="shared" ref="AF3:AL3" si="8">AVERAGE(B4,N3,W3)</f>
        <v>133000.77777777778</v>
      </c>
      <c r="AG3">
        <f t="shared" si="8"/>
        <v>58855.555555555562</v>
      </c>
      <c r="AH3">
        <f t="shared" si="8"/>
        <v>2660015.5555555555</v>
      </c>
      <c r="AI3">
        <f t="shared" si="8"/>
        <v>1177111.111111111</v>
      </c>
      <c r="AJ3">
        <f t="shared" si="8"/>
        <v>25.27333333333333</v>
      </c>
      <c r="AK3">
        <f t="shared" si="8"/>
        <v>1.2636666666666667</v>
      </c>
      <c r="AL3">
        <f t="shared" si="8"/>
        <v>29658088.888888884</v>
      </c>
      <c r="AM3">
        <f t="shared" ref="AM3:AM7" si="9">((AH3-AI3)/AH3)*100</f>
        <v>55.747961373659471</v>
      </c>
      <c r="AN3">
        <f>_xlfn.STDEV.P(E4,Q3,Z3)</f>
        <v>400728.01369261014</v>
      </c>
      <c r="AO3">
        <f t="shared" ref="AO3:AO6" si="10">AN3/(SQRT(3))</f>
        <v>231360.42657725251</v>
      </c>
      <c r="AP3">
        <f>_xlfn.STDEV.P(H4,T3,AC3)</f>
        <v>9315110.7508309856</v>
      </c>
      <c r="AQ3">
        <f t="shared" ref="AQ3:AQ6" si="11">AP3/(SQRT(3))</f>
        <v>5378081.6995234471</v>
      </c>
    </row>
    <row r="4" spans="1:49" x14ac:dyDescent="0.2">
      <c r="A4">
        <v>80</v>
      </c>
      <c r="B4">
        <v>128477.33333333333</v>
      </c>
      <c r="C4">
        <v>87186.666666666672</v>
      </c>
      <c r="D4">
        <v>2569546.6666666665</v>
      </c>
      <c r="E4">
        <v>1743733.3333333333</v>
      </c>
      <c r="F4">
        <v>25.88</v>
      </c>
      <c r="G4">
        <v>1.294</v>
      </c>
      <c r="H4">
        <f t="shared" si="2"/>
        <v>16516266.666666664</v>
      </c>
      <c r="I4">
        <f t="shared" si="3"/>
        <v>32.138483571680609</v>
      </c>
      <c r="M4">
        <v>60</v>
      </c>
      <c r="N4">
        <v>101588</v>
      </c>
      <c r="O4">
        <v>33390</v>
      </c>
      <c r="P4">
        <v>2031760</v>
      </c>
      <c r="Q4">
        <v>667800</v>
      </c>
      <c r="R4">
        <v>25.06</v>
      </c>
      <c r="S4">
        <v>1.2529999999999999</v>
      </c>
      <c r="T4">
        <f t="shared" si="4"/>
        <v>27279200</v>
      </c>
      <c r="U4">
        <f t="shared" si="5"/>
        <v>67.13194471788006</v>
      </c>
      <c r="V4">
        <v>60</v>
      </c>
      <c r="W4">
        <v>103580</v>
      </c>
      <c r="X4">
        <v>31529</v>
      </c>
      <c r="Y4">
        <v>2071600</v>
      </c>
      <c r="Z4">
        <v>630580</v>
      </c>
      <c r="AA4">
        <v>24.96</v>
      </c>
      <c r="AB4">
        <v>1.2490000000000001</v>
      </c>
      <c r="AC4">
        <f t="shared" si="6"/>
        <v>28797325.220176142</v>
      </c>
      <c r="AD4">
        <f t="shared" si="7"/>
        <v>69.560726008882028</v>
      </c>
      <c r="AE4">
        <v>60</v>
      </c>
      <c r="AF4">
        <f t="shared" ref="AF4:AL4" si="12">AVERAGE(B6,N4,W4)</f>
        <v>101758.77777777777</v>
      </c>
      <c r="AG4">
        <f t="shared" si="12"/>
        <v>43568.555555555555</v>
      </c>
      <c r="AH4">
        <f t="shared" si="12"/>
        <v>2035175.5555555553</v>
      </c>
      <c r="AI4">
        <f t="shared" si="12"/>
        <v>871371.11111111101</v>
      </c>
      <c r="AJ4">
        <f t="shared" si="12"/>
        <v>25.320000000000004</v>
      </c>
      <c r="AK4">
        <f t="shared" si="12"/>
        <v>1.2663333333333333</v>
      </c>
      <c r="AL4">
        <f t="shared" si="12"/>
        <v>23268397.295614272</v>
      </c>
      <c r="AM4">
        <f t="shared" si="9"/>
        <v>57.184474394237348</v>
      </c>
      <c r="AN4">
        <f>_xlfn.STDEV.P(E6,Q4,Z4)</f>
        <v>314578.73471644998</v>
      </c>
      <c r="AO4">
        <f t="shared" si="10"/>
        <v>181622.11716987428</v>
      </c>
      <c r="AP4">
        <f>_xlfn.STDEV.P(H6,T4,AC4)</f>
        <v>6774020.0472439472</v>
      </c>
      <c r="AQ4">
        <f t="shared" si="11"/>
        <v>3910982.2977722147</v>
      </c>
    </row>
    <row r="5" spans="1:49" x14ac:dyDescent="0.2">
      <c r="A5">
        <v>70</v>
      </c>
      <c r="B5">
        <v>118268</v>
      </c>
      <c r="C5">
        <v>78586.333333333328</v>
      </c>
      <c r="D5">
        <v>2365360</v>
      </c>
      <c r="E5">
        <v>1571726.6666666665</v>
      </c>
      <c r="F5">
        <v>24.98</v>
      </c>
      <c r="G5">
        <v>1.2490000000000001</v>
      </c>
      <c r="H5">
        <f t="shared" si="2"/>
        <v>15872666.66666667</v>
      </c>
      <c r="I5">
        <f t="shared" si="3"/>
        <v>33.552327482215539</v>
      </c>
      <c r="M5">
        <v>40</v>
      </c>
      <c r="N5">
        <v>68784</v>
      </c>
      <c r="O5">
        <v>21911</v>
      </c>
      <c r="P5">
        <v>1375680</v>
      </c>
      <c r="Q5">
        <v>438220</v>
      </c>
      <c r="R5">
        <v>25.18</v>
      </c>
      <c r="S5">
        <v>1.2589999999999999</v>
      </c>
      <c r="T5">
        <f t="shared" si="4"/>
        <v>18749200</v>
      </c>
      <c r="U5">
        <f t="shared" si="5"/>
        <v>68.145208187950686</v>
      </c>
      <c r="V5">
        <v>40</v>
      </c>
      <c r="W5">
        <v>70877</v>
      </c>
      <c r="X5">
        <v>24306</v>
      </c>
      <c r="Y5">
        <v>1417540</v>
      </c>
      <c r="Z5">
        <v>486120</v>
      </c>
      <c r="AA5">
        <v>25.02</v>
      </c>
      <c r="AB5">
        <v>1.2509999999999999</v>
      </c>
      <c r="AC5">
        <f t="shared" si="6"/>
        <v>18628400</v>
      </c>
      <c r="AD5">
        <f t="shared" si="7"/>
        <v>65.706787815511376</v>
      </c>
      <c r="AE5">
        <v>40</v>
      </c>
      <c r="AF5">
        <f t="shared" ref="AF5:AL5" si="13">AVERAGE(B8,N5,W5)</f>
        <v>68884.777777777766</v>
      </c>
      <c r="AG5">
        <f t="shared" si="13"/>
        <v>30898.333333333332</v>
      </c>
      <c r="AH5">
        <f t="shared" si="13"/>
        <v>1377695.5555555555</v>
      </c>
      <c r="AI5">
        <f t="shared" si="13"/>
        <v>617966.66666666663</v>
      </c>
      <c r="AJ5">
        <f t="shared" si="13"/>
        <v>25.633333333333329</v>
      </c>
      <c r="AK5">
        <f t="shared" si="13"/>
        <v>1.2816666666666665</v>
      </c>
      <c r="AL5">
        <f t="shared" si="13"/>
        <v>15194577.777777776</v>
      </c>
      <c r="AM5">
        <f t="shared" si="9"/>
        <v>55.144903808775695</v>
      </c>
      <c r="AN5">
        <f>_xlfn.STDEV.P(E8,Q5,Z5)</f>
        <v>221195.85067436405</v>
      </c>
      <c r="AO5">
        <f t="shared" si="10"/>
        <v>127707.48393047236</v>
      </c>
      <c r="AP5">
        <f>_xlfn.STDEV.P(H8,T5,AC5)</f>
        <v>4941822.536596179</v>
      </c>
      <c r="AQ5">
        <f t="shared" si="11"/>
        <v>2853162.5717911632</v>
      </c>
    </row>
    <row r="6" spans="1:49" x14ac:dyDescent="0.2">
      <c r="A6">
        <v>60</v>
      </c>
      <c r="B6">
        <v>100108.33333333333</v>
      </c>
      <c r="C6">
        <v>65786.666666666672</v>
      </c>
      <c r="D6">
        <v>2002166.6666666665</v>
      </c>
      <c r="E6">
        <v>1315733.3333333333</v>
      </c>
      <c r="F6">
        <v>25.94</v>
      </c>
      <c r="G6">
        <v>1.2969999999999999</v>
      </c>
      <c r="H6">
        <f t="shared" si="2"/>
        <v>13728666.666666668</v>
      </c>
      <c r="I6">
        <f t="shared" si="3"/>
        <v>34.2845250978107</v>
      </c>
      <c r="M6">
        <v>20</v>
      </c>
      <c r="N6">
        <v>34724</v>
      </c>
      <c r="O6">
        <v>8610</v>
      </c>
      <c r="P6">
        <v>694480</v>
      </c>
      <c r="Q6">
        <v>172200</v>
      </c>
      <c r="R6">
        <v>25.26</v>
      </c>
      <c r="S6">
        <v>1.2629999999999999</v>
      </c>
      <c r="T6">
        <f t="shared" si="4"/>
        <v>10445600.000000002</v>
      </c>
      <c r="U6">
        <f t="shared" si="5"/>
        <v>75.204469531160001</v>
      </c>
      <c r="V6">
        <v>20</v>
      </c>
      <c r="W6">
        <v>35128</v>
      </c>
      <c r="X6">
        <v>11989</v>
      </c>
      <c r="Y6">
        <v>702560</v>
      </c>
      <c r="Z6">
        <v>239780</v>
      </c>
      <c r="AA6">
        <v>24.98</v>
      </c>
      <c r="AB6">
        <v>1.2490000000000001</v>
      </c>
      <c r="AC6">
        <f t="shared" si="6"/>
        <v>9255600</v>
      </c>
      <c r="AD6">
        <f t="shared" si="7"/>
        <v>65.870530630835802</v>
      </c>
      <c r="AE6">
        <v>20</v>
      </c>
      <c r="AF6">
        <f t="shared" ref="AF6:AL6" si="14">AVERAGE(B10,N6,W6)</f>
        <v>32370.333333333332</v>
      </c>
      <c r="AG6">
        <f t="shared" si="14"/>
        <v>13107.333333333334</v>
      </c>
      <c r="AH6">
        <f t="shared" si="14"/>
        <v>647406.66666666663</v>
      </c>
      <c r="AI6">
        <f t="shared" si="14"/>
        <v>262146.66666666669</v>
      </c>
      <c r="AJ6">
        <f t="shared" si="14"/>
        <v>25.066666666666666</v>
      </c>
      <c r="AK6">
        <f t="shared" si="14"/>
        <v>1.2533333333333334</v>
      </c>
      <c r="AL6">
        <f t="shared" si="14"/>
        <v>7705200</v>
      </c>
      <c r="AM6">
        <f t="shared" si="9"/>
        <v>59.508191656969856</v>
      </c>
      <c r="AN6">
        <f>_xlfn.STDEV.P(E10,Q6,Z6)</f>
        <v>84073.292363799395</v>
      </c>
      <c r="AO6">
        <f t="shared" si="10"/>
        <v>48539.73797789769</v>
      </c>
      <c r="AP6">
        <f>_xlfn.STDEV.P(H10,T6,AC6)</f>
        <v>3072702.2287665103</v>
      </c>
      <c r="AQ6">
        <f t="shared" si="11"/>
        <v>1774025.4589179079</v>
      </c>
    </row>
    <row r="7" spans="1:49" x14ac:dyDescent="0.2">
      <c r="A7">
        <v>50</v>
      </c>
      <c r="B7">
        <v>83089</v>
      </c>
      <c r="C7">
        <v>52688.666666666664</v>
      </c>
      <c r="D7">
        <v>1661780</v>
      </c>
      <c r="E7">
        <v>1053773.3333333333</v>
      </c>
      <c r="F7">
        <v>25.96</v>
      </c>
      <c r="G7">
        <v>1.298</v>
      </c>
      <c r="H7">
        <f t="shared" si="2"/>
        <v>12160133.333333336</v>
      </c>
      <c r="I7">
        <f t="shared" si="3"/>
        <v>36.587675063285559</v>
      </c>
      <c r="T7" t="s">
        <v>105</v>
      </c>
      <c r="U7">
        <f>AVERAGE(U2:U6)</f>
        <v>67.684075118468655</v>
      </c>
      <c r="AC7" t="s">
        <v>8</v>
      </c>
      <c r="AD7">
        <f>AVERAGE(AD2:AD6)</f>
        <v>67.86020935048262</v>
      </c>
      <c r="AE7">
        <v>10</v>
      </c>
      <c r="AF7">
        <v>13659</v>
      </c>
      <c r="AG7">
        <v>10612</v>
      </c>
      <c r="AH7">
        <v>273180</v>
      </c>
      <c r="AI7">
        <v>212240</v>
      </c>
      <c r="AJ7">
        <v>24.58</v>
      </c>
      <c r="AK7">
        <v>1.2290000000000001</v>
      </c>
      <c r="AL7">
        <v>1218799.9999999998</v>
      </c>
      <c r="AM7">
        <f t="shared" si="9"/>
        <v>22.307635990921739</v>
      </c>
    </row>
    <row r="8" spans="1:49" x14ac:dyDescent="0.2">
      <c r="A8">
        <v>40</v>
      </c>
      <c r="B8">
        <v>66993.333333333328</v>
      </c>
      <c r="C8">
        <v>46478</v>
      </c>
      <c r="D8">
        <v>1339866.6666666665</v>
      </c>
      <c r="E8">
        <v>929560</v>
      </c>
      <c r="F8">
        <v>26.7</v>
      </c>
      <c r="G8">
        <v>1.335</v>
      </c>
      <c r="H8">
        <f t="shared" si="2"/>
        <v>8206133.3333333302</v>
      </c>
      <c r="I8">
        <f>((D8-E8)/D8)*100</f>
        <v>30.622947556970836</v>
      </c>
      <c r="AL8" t="s">
        <v>49</v>
      </c>
      <c r="AM8">
        <f>AVERAGE(AM2:AM7)</f>
        <v>50.832359313715735</v>
      </c>
    </row>
    <row r="9" spans="1:49" x14ac:dyDescent="0.2">
      <c r="A9">
        <v>30</v>
      </c>
      <c r="B9">
        <v>50610.666666666664</v>
      </c>
      <c r="C9">
        <v>35250.666666666664</v>
      </c>
      <c r="D9">
        <v>1012213.3333333333</v>
      </c>
      <c r="E9">
        <v>705013.33333333326</v>
      </c>
      <c r="F9">
        <v>25.24</v>
      </c>
      <c r="G9">
        <v>1.262</v>
      </c>
      <c r="H9">
        <f t="shared" si="2"/>
        <v>6144000</v>
      </c>
      <c r="I9">
        <f t="shared" si="3"/>
        <v>30.349333473839508</v>
      </c>
      <c r="AL9" t="s">
        <v>55</v>
      </c>
      <c r="AM9">
        <f>26.178</f>
        <v>26.178000000000001</v>
      </c>
    </row>
    <row r="10" spans="1:49" x14ac:dyDescent="0.2">
      <c r="A10">
        <v>20</v>
      </c>
      <c r="B10">
        <v>27259</v>
      </c>
      <c r="C10">
        <v>18723</v>
      </c>
      <c r="D10">
        <v>545180</v>
      </c>
      <c r="E10">
        <v>374460</v>
      </c>
      <c r="F10">
        <v>24.96</v>
      </c>
      <c r="G10">
        <v>1.248</v>
      </c>
      <c r="H10">
        <f t="shared" si="2"/>
        <v>3414400</v>
      </c>
      <c r="I10">
        <f t="shared" si="3"/>
        <v>31.31442826222532</v>
      </c>
      <c r="AL10" t="s">
        <v>53</v>
      </c>
      <c r="AM10">
        <f>0.0072</f>
        <v>7.1999999999999998E-3</v>
      </c>
    </row>
    <row r="11" spans="1:49" x14ac:dyDescent="0.2">
      <c r="A11">
        <v>10</v>
      </c>
      <c r="B11">
        <v>13659</v>
      </c>
      <c r="C11">
        <v>10612</v>
      </c>
      <c r="D11">
        <v>273180</v>
      </c>
      <c r="E11">
        <v>212240</v>
      </c>
      <c r="F11">
        <v>24.58</v>
      </c>
      <c r="G11">
        <v>1.2290000000000001</v>
      </c>
      <c r="H11">
        <f t="shared" si="2"/>
        <v>1218799.9999999998</v>
      </c>
      <c r="I11">
        <f t="shared" si="3"/>
        <v>22.307635990921739</v>
      </c>
      <c r="AL11" t="s">
        <v>54</v>
      </c>
      <c r="AM11">
        <f>AM9/AM10</f>
        <v>3635.8333333333335</v>
      </c>
    </row>
    <row r="12" spans="1:49" x14ac:dyDescent="0.2">
      <c r="H12" t="s">
        <v>8</v>
      </c>
      <c r="I12">
        <f>AVERAGE(I2:I11)</f>
        <v>31.513356403007084</v>
      </c>
      <c r="AL12" t="s">
        <v>56</v>
      </c>
      <c r="AM12">
        <f>0.9795</f>
        <v>0.97950000000000004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8444-9355-DD45-84AD-7A7AB97132CE}">
  <dimension ref="A1:AN11"/>
  <sheetViews>
    <sheetView topLeftCell="AA1" zoomScale="131" workbookViewId="0">
      <selection activeCell="Z14" sqref="Z14"/>
    </sheetView>
  </sheetViews>
  <sheetFormatPr baseColWidth="10" defaultRowHeight="16" x14ac:dyDescent="0.2"/>
  <sheetData>
    <row r="1" spans="1:40" ht="51" x14ac:dyDescent="0.2">
      <c r="A1" s="1" t="s">
        <v>28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103</v>
      </c>
      <c r="J1" s="1" t="s">
        <v>29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103</v>
      </c>
      <c r="S1" s="1" t="s">
        <v>30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103</v>
      </c>
      <c r="AB1" s="1" t="s">
        <v>27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35</v>
      </c>
      <c r="AK1" s="1" t="s">
        <v>36</v>
      </c>
      <c r="AL1" s="1" t="s">
        <v>36</v>
      </c>
      <c r="AM1" s="1" t="s">
        <v>37</v>
      </c>
      <c r="AN1" s="1" t="s">
        <v>37</v>
      </c>
    </row>
    <row r="2" spans="1:40" x14ac:dyDescent="0.2">
      <c r="A2">
        <v>100</v>
      </c>
      <c r="B2">
        <v>95922</v>
      </c>
      <c r="C2">
        <v>4599</v>
      </c>
      <c r="D2">
        <v>1918440</v>
      </c>
      <c r="E2">
        <v>91980</v>
      </c>
      <c r="F2">
        <v>25.54</v>
      </c>
      <c r="G2">
        <v>1.2769999999999999</v>
      </c>
      <c r="H2">
        <v>36529200</v>
      </c>
      <c r="I2">
        <f>((D2-E2)/D2)*100</f>
        <v>95.205479452054803</v>
      </c>
      <c r="J2">
        <v>100</v>
      </c>
      <c r="K2">
        <v>31954</v>
      </c>
      <c r="L2">
        <v>4337</v>
      </c>
      <c r="M2">
        <v>639080</v>
      </c>
      <c r="N2">
        <v>86740</v>
      </c>
      <c r="O2">
        <v>24.38</v>
      </c>
      <c r="P2">
        <v>1.2190000000000001</v>
      </c>
      <c r="Q2">
        <v>11046799.999999998</v>
      </c>
      <c r="R2">
        <f>((M2-N2)/M2)*100</f>
        <v>86.427364336233339</v>
      </c>
      <c r="S2">
        <v>100</v>
      </c>
      <c r="T2">
        <v>35736</v>
      </c>
      <c r="U2">
        <v>559</v>
      </c>
      <c r="V2">
        <v>714720</v>
      </c>
      <c r="W2">
        <v>11180</v>
      </c>
      <c r="X2">
        <v>25</v>
      </c>
      <c r="Y2">
        <v>1.25</v>
      </c>
      <c r="Z2">
        <v>14070800</v>
      </c>
      <c r="AA2">
        <f>((V2-W2)/V2)*100</f>
        <v>98.435751063353479</v>
      </c>
      <c r="AB2">
        <v>100</v>
      </c>
      <c r="AC2">
        <f>AVERAGE(B2,K2,T2)</f>
        <v>54537.333333333336</v>
      </c>
      <c r="AD2">
        <f t="shared" ref="AD2:AI2" si="0">AVERAGE(C2,L2,U2)</f>
        <v>3165</v>
      </c>
      <c r="AE2">
        <f t="shared" si="0"/>
        <v>1090746.6666666667</v>
      </c>
      <c r="AF2">
        <f t="shared" si="0"/>
        <v>63300</v>
      </c>
      <c r="AG2">
        <f t="shared" si="0"/>
        <v>24.973333333333333</v>
      </c>
      <c r="AH2">
        <f t="shared" si="0"/>
        <v>1.2486666666666666</v>
      </c>
      <c r="AI2">
        <f t="shared" si="0"/>
        <v>20548933.333333332</v>
      </c>
      <c r="AJ2">
        <f>((AE2-AF2)/AE2)*100</f>
        <v>94.196635943573824</v>
      </c>
      <c r="AK2">
        <f>_xlfn.STDEV.P(E2,N2,W2)</f>
        <v>36916.438975972029</v>
      </c>
      <c r="AL2">
        <f>AK2/(SQRT(3))</f>
        <v>21313.715980299843</v>
      </c>
      <c r="AM2">
        <f>_xlfn.STDEV.P(H2,Q2,Z2)</f>
        <v>11366994.209943492</v>
      </c>
      <c r="AN2">
        <f>AM2/(SQRT(3))</f>
        <v>6562737.1669877926</v>
      </c>
    </row>
    <row r="3" spans="1:40" x14ac:dyDescent="0.2">
      <c r="A3">
        <v>80</v>
      </c>
      <c r="B3">
        <v>110432</v>
      </c>
      <c r="C3">
        <v>3758</v>
      </c>
      <c r="D3">
        <v>2208640</v>
      </c>
      <c r="E3">
        <v>75160</v>
      </c>
      <c r="F3">
        <v>26.94</v>
      </c>
      <c r="G3">
        <v>1.347</v>
      </c>
      <c r="H3">
        <v>42669600</v>
      </c>
      <c r="I3">
        <f t="shared" ref="I3:I6" si="1">((D3-E3)/D3)*100</f>
        <v>96.597000869313248</v>
      </c>
      <c r="J3">
        <v>80</v>
      </c>
      <c r="K3">
        <v>70645</v>
      </c>
      <c r="L3">
        <v>3646</v>
      </c>
      <c r="M3">
        <v>1412900</v>
      </c>
      <c r="N3">
        <v>72920</v>
      </c>
      <c r="O3">
        <v>26.14</v>
      </c>
      <c r="P3">
        <v>1.3069999999999999</v>
      </c>
      <c r="Q3">
        <v>26799600</v>
      </c>
      <c r="R3">
        <f t="shared" ref="R3:R6" si="2">((M3-N3)/M3)*100</f>
        <v>94.838983650647606</v>
      </c>
      <c r="S3">
        <v>80</v>
      </c>
      <c r="T3">
        <v>61009</v>
      </c>
      <c r="U3">
        <v>3039</v>
      </c>
      <c r="V3">
        <v>1220180</v>
      </c>
      <c r="W3">
        <v>60780</v>
      </c>
      <c r="X3">
        <v>25.64</v>
      </c>
      <c r="Y3">
        <v>1.282</v>
      </c>
      <c r="Z3">
        <v>23188000</v>
      </c>
      <c r="AA3">
        <f t="shared" ref="AA3:AA6" si="3">((V3-W3)/V3)*100</f>
        <v>95.018767722794991</v>
      </c>
      <c r="AB3">
        <v>80</v>
      </c>
      <c r="AC3">
        <f t="shared" ref="AC3:AC6" si="4">AVERAGE(B3,K3,T3)</f>
        <v>80695.333333333328</v>
      </c>
      <c r="AD3">
        <f t="shared" ref="AD3:AD6" si="5">AVERAGE(C3,L3,U3)</f>
        <v>3481</v>
      </c>
      <c r="AE3">
        <f t="shared" ref="AE3:AE6" si="6">AVERAGE(D3,M3,V3)</f>
        <v>1613906.6666666667</v>
      </c>
      <c r="AF3">
        <f t="shared" ref="AF3:AF6" si="7">AVERAGE(E3,N3,W3)</f>
        <v>69620</v>
      </c>
      <c r="AG3">
        <f t="shared" ref="AG3:AG6" si="8">AVERAGE(F3,O3,X3)</f>
        <v>26.24</v>
      </c>
      <c r="AH3">
        <f t="shared" ref="AH3:AH6" si="9">AVERAGE(G3,P3,Y3)</f>
        <v>1.3120000000000001</v>
      </c>
      <c r="AI3">
        <f t="shared" ref="AI3:AI6" si="10">AVERAGE(H3,Q3,Z3)</f>
        <v>30885733.333333332</v>
      </c>
      <c r="AJ3">
        <f t="shared" ref="AJ3:AJ6" si="11">((AE3-AF3)/AE3)*100</f>
        <v>95.686243731566464</v>
      </c>
      <c r="AK3">
        <f t="shared" ref="AK3:AK5" si="12">_xlfn.STDEV.P(E3,N3,W3)</f>
        <v>6317.3623187740832</v>
      </c>
      <c r="AL3">
        <f t="shared" ref="AL3:AL6" si="13">AK3/(SQRT(3))</f>
        <v>3647.3308353126154</v>
      </c>
      <c r="AM3">
        <f t="shared" ref="AM3:AM6" si="14">_xlfn.STDEV.P(H3,Q3,Z3)</f>
        <v>8461896.9052781276</v>
      </c>
      <c r="AN3">
        <f t="shared" ref="AN3:AN6" si="15">AM3/(SQRT(3))</f>
        <v>4885478.4561171886</v>
      </c>
    </row>
    <row r="4" spans="1:40" x14ac:dyDescent="0.2">
      <c r="A4">
        <v>60</v>
      </c>
      <c r="B4">
        <v>46007</v>
      </c>
      <c r="C4">
        <v>2479</v>
      </c>
      <c r="D4">
        <v>920140</v>
      </c>
      <c r="E4">
        <v>49580</v>
      </c>
      <c r="F4">
        <v>25.3</v>
      </c>
      <c r="G4">
        <v>1.2649999999999999</v>
      </c>
      <c r="H4">
        <v>17411200.000000004</v>
      </c>
      <c r="I4">
        <f t="shared" si="1"/>
        <v>94.611689525506989</v>
      </c>
      <c r="J4">
        <v>60</v>
      </c>
      <c r="K4">
        <v>53728</v>
      </c>
      <c r="L4">
        <v>2748</v>
      </c>
      <c r="M4">
        <v>1074560</v>
      </c>
      <c r="N4">
        <v>54960</v>
      </c>
      <c r="O4">
        <v>25.28</v>
      </c>
      <c r="P4">
        <v>1.264</v>
      </c>
      <c r="Q4">
        <v>20392000</v>
      </c>
      <c r="R4">
        <f t="shared" si="2"/>
        <v>94.885348421679566</v>
      </c>
      <c r="S4">
        <v>60</v>
      </c>
      <c r="T4">
        <v>44062</v>
      </c>
      <c r="U4">
        <v>2530</v>
      </c>
      <c r="V4">
        <v>881240</v>
      </c>
      <c r="W4">
        <v>50600</v>
      </c>
      <c r="X4">
        <v>25.3</v>
      </c>
      <c r="Y4">
        <v>1.2649999999999999</v>
      </c>
      <c r="Z4">
        <v>16612800.000000004</v>
      </c>
      <c r="AA4">
        <f t="shared" si="3"/>
        <v>94.258090871953158</v>
      </c>
      <c r="AB4">
        <v>60</v>
      </c>
      <c r="AC4">
        <f t="shared" si="4"/>
        <v>47932.333333333336</v>
      </c>
      <c r="AD4">
        <f t="shared" si="5"/>
        <v>2585.6666666666665</v>
      </c>
      <c r="AE4">
        <f t="shared" si="6"/>
        <v>958646.66666666663</v>
      </c>
      <c r="AF4">
        <f t="shared" si="7"/>
        <v>51713.333333333336</v>
      </c>
      <c r="AG4">
        <f t="shared" si="8"/>
        <v>25.293333333333333</v>
      </c>
      <c r="AH4">
        <f t="shared" si="9"/>
        <v>1.2646666666666666</v>
      </c>
      <c r="AI4">
        <f t="shared" si="10"/>
        <v>18138666.666666668</v>
      </c>
      <c r="AJ4">
        <f t="shared" si="11"/>
        <v>94.605589824544325</v>
      </c>
      <c r="AK4">
        <f t="shared" si="12"/>
        <v>2333.1999961902588</v>
      </c>
      <c r="AL4">
        <f t="shared" si="13"/>
        <v>1347.0736458736799</v>
      </c>
      <c r="AM4">
        <f t="shared" si="14"/>
        <v>1626344.3615121052</v>
      </c>
      <c r="AN4">
        <f t="shared" si="15"/>
        <v>938970.35491404403</v>
      </c>
    </row>
    <row r="5" spans="1:40" x14ac:dyDescent="0.2">
      <c r="A5">
        <v>40</v>
      </c>
      <c r="B5">
        <v>11295</v>
      </c>
      <c r="C5">
        <v>1823</v>
      </c>
      <c r="D5">
        <v>225900</v>
      </c>
      <c r="E5">
        <v>36460</v>
      </c>
      <c r="F5">
        <v>27.24</v>
      </c>
      <c r="G5">
        <v>1.3620000000000001</v>
      </c>
      <c r="H5">
        <v>3788799.9999999995</v>
      </c>
      <c r="I5">
        <f t="shared" si="1"/>
        <v>83.860115095174862</v>
      </c>
      <c r="J5">
        <v>40</v>
      </c>
      <c r="K5">
        <v>42599</v>
      </c>
      <c r="L5">
        <v>2414</v>
      </c>
      <c r="M5">
        <v>851980</v>
      </c>
      <c r="N5">
        <v>48280</v>
      </c>
      <c r="O5">
        <v>25.5</v>
      </c>
      <c r="P5">
        <v>1.2749999999999999</v>
      </c>
      <c r="Q5">
        <v>16074000</v>
      </c>
      <c r="R5">
        <f t="shared" si="2"/>
        <v>94.333200309866427</v>
      </c>
      <c r="S5">
        <v>40</v>
      </c>
      <c r="T5">
        <v>18679</v>
      </c>
      <c r="U5">
        <v>3071</v>
      </c>
      <c r="V5">
        <v>373580</v>
      </c>
      <c r="W5">
        <v>61420</v>
      </c>
      <c r="X5">
        <v>25.34</v>
      </c>
      <c r="Y5">
        <v>1.2669999999999999</v>
      </c>
      <c r="Z5">
        <v>6243200</v>
      </c>
      <c r="AA5">
        <f t="shared" si="3"/>
        <v>83.559077038385354</v>
      </c>
      <c r="AB5">
        <v>40</v>
      </c>
      <c r="AC5">
        <f t="shared" si="4"/>
        <v>24191</v>
      </c>
      <c r="AD5">
        <f t="shared" si="5"/>
        <v>2436</v>
      </c>
      <c r="AE5">
        <f t="shared" si="6"/>
        <v>483820</v>
      </c>
      <c r="AF5">
        <f t="shared" si="7"/>
        <v>48720</v>
      </c>
      <c r="AG5">
        <f t="shared" si="8"/>
        <v>26.026666666666667</v>
      </c>
      <c r="AH5">
        <f t="shared" si="9"/>
        <v>1.3013333333333332</v>
      </c>
      <c r="AI5">
        <f t="shared" si="10"/>
        <v>8702000</v>
      </c>
      <c r="AJ5">
        <f t="shared" si="11"/>
        <v>89.930139308007114</v>
      </c>
      <c r="AK5">
        <f t="shared" si="12"/>
        <v>10194.626035318804</v>
      </c>
      <c r="AL5">
        <f t="shared" si="13"/>
        <v>5885.870085778879</v>
      </c>
      <c r="AM5">
        <f t="shared" si="14"/>
        <v>5308220.5329721058</v>
      </c>
      <c r="AN5">
        <f t="shared" si="15"/>
        <v>3064702.5536293443</v>
      </c>
    </row>
    <row r="6" spans="1:40" x14ac:dyDescent="0.2">
      <c r="A6">
        <v>20</v>
      </c>
      <c r="B6">
        <v>28087</v>
      </c>
      <c r="C6">
        <v>612</v>
      </c>
      <c r="D6">
        <v>561740</v>
      </c>
      <c r="E6">
        <v>12240</v>
      </c>
      <c r="F6">
        <v>24.58</v>
      </c>
      <c r="G6">
        <v>1.2290000000000001</v>
      </c>
      <c r="H6">
        <v>10989999.999999998</v>
      </c>
      <c r="I6">
        <f t="shared" si="1"/>
        <v>97.821056004557278</v>
      </c>
      <c r="J6">
        <v>20</v>
      </c>
      <c r="K6">
        <v>15112</v>
      </c>
      <c r="L6">
        <v>1232</v>
      </c>
      <c r="M6">
        <v>302240</v>
      </c>
      <c r="N6">
        <v>24640</v>
      </c>
      <c r="O6">
        <v>24.78</v>
      </c>
      <c r="P6">
        <v>1.2390000000000001</v>
      </c>
      <c r="Q6">
        <v>5552000</v>
      </c>
      <c r="R6">
        <f t="shared" si="2"/>
        <v>91.847538380095287</v>
      </c>
      <c r="S6">
        <v>20</v>
      </c>
      <c r="T6">
        <v>14538</v>
      </c>
      <c r="U6">
        <v>1361</v>
      </c>
      <c r="V6">
        <v>290760</v>
      </c>
      <c r="W6">
        <v>27220</v>
      </c>
      <c r="X6">
        <v>25.68</v>
      </c>
      <c r="Y6">
        <v>1.284</v>
      </c>
      <c r="Z6">
        <v>5270800</v>
      </c>
      <c r="AA6">
        <f t="shared" si="3"/>
        <v>90.638327142660614</v>
      </c>
      <c r="AB6">
        <v>20</v>
      </c>
      <c r="AC6">
        <f t="shared" si="4"/>
        <v>19245.666666666668</v>
      </c>
      <c r="AD6">
        <f t="shared" si="5"/>
        <v>1068.3333333333333</v>
      </c>
      <c r="AE6">
        <f t="shared" si="6"/>
        <v>384913.33333333331</v>
      </c>
      <c r="AF6">
        <f t="shared" si="7"/>
        <v>21366.666666666668</v>
      </c>
      <c r="AG6">
        <f t="shared" si="8"/>
        <v>25.013333333333332</v>
      </c>
      <c r="AH6">
        <f t="shared" si="9"/>
        <v>1.2506666666666666</v>
      </c>
      <c r="AI6">
        <f t="shared" si="10"/>
        <v>7270933.333333333</v>
      </c>
      <c r="AJ6">
        <f t="shared" si="11"/>
        <v>94.448966867000365</v>
      </c>
      <c r="AK6">
        <f>_xlfn.STDEV.P(E6,N6,W6)</f>
        <v>6538.9159821963012</v>
      </c>
      <c r="AL6">
        <f t="shared" si="13"/>
        <v>3775.2449025293809</v>
      </c>
      <c r="AM6">
        <f t="shared" si="14"/>
        <v>2632281.7748527988</v>
      </c>
      <c r="AN6">
        <f t="shared" si="15"/>
        <v>1519748.5912942092</v>
      </c>
    </row>
    <row r="7" spans="1:40" x14ac:dyDescent="0.2">
      <c r="H7" t="s">
        <v>104</v>
      </c>
      <c r="I7">
        <f>AVERAGE(I2:I6)</f>
        <v>93.619068189321439</v>
      </c>
      <c r="Q7" t="s">
        <v>8</v>
      </c>
      <c r="R7">
        <f>AVERAGE(R2:R6)</f>
        <v>92.466487019704431</v>
      </c>
      <c r="Z7" t="s">
        <v>104</v>
      </c>
      <c r="AA7">
        <f>AVERAGE(AA2:AA6)</f>
        <v>92.382002767829519</v>
      </c>
      <c r="AI7" t="s">
        <v>8</v>
      </c>
      <c r="AJ7">
        <f>AVERAGE(AJ2:AJ6)</f>
        <v>93.773515134938421</v>
      </c>
    </row>
    <row r="8" spans="1:40" x14ac:dyDescent="0.2">
      <c r="AI8" t="s">
        <v>55</v>
      </c>
      <c r="AJ8">
        <f>441.64</f>
        <v>441.64</v>
      </c>
    </row>
    <row r="9" spans="1:40" x14ac:dyDescent="0.2">
      <c r="AI9" t="s">
        <v>53</v>
      </c>
      <c r="AJ9">
        <v>7.1999999999999998E-3</v>
      </c>
    </row>
    <row r="10" spans="1:40" x14ac:dyDescent="0.2">
      <c r="AI10" t="s">
        <v>54</v>
      </c>
      <c r="AJ10">
        <f>AJ8/AJ9</f>
        <v>61338.888888888891</v>
      </c>
    </row>
    <row r="11" spans="1:40" x14ac:dyDescent="0.2">
      <c r="AI11" t="s">
        <v>56</v>
      </c>
      <c r="AJ11">
        <v>0.72809999999999997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9A16-BFE4-9E45-A6E3-331269204B43}">
  <dimension ref="A1:AF62"/>
  <sheetViews>
    <sheetView topLeftCell="P15" workbookViewId="0">
      <selection activeCell="W34" sqref="W34"/>
    </sheetView>
  </sheetViews>
  <sheetFormatPr baseColWidth="10" defaultRowHeight="16" x14ac:dyDescent="0.2"/>
  <sheetData>
    <row r="1" spans="1:32" ht="17" customHeight="1" thickBot="1" x14ac:dyDescent="0.25">
      <c r="A1" s="27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P1" t="s">
        <v>55</v>
      </c>
      <c r="T1" t="s">
        <v>124</v>
      </c>
      <c r="Y1" t="s">
        <v>125</v>
      </c>
      <c r="AD1" t="s">
        <v>128</v>
      </c>
    </row>
    <row r="2" spans="1:32" ht="17" thickBot="1" x14ac:dyDescent="0.25">
      <c r="A2" s="28" t="s">
        <v>60</v>
      </c>
      <c r="B2" s="28"/>
      <c r="C2" s="28"/>
      <c r="D2" s="28"/>
      <c r="E2" s="29"/>
      <c r="F2" s="14" t="s">
        <v>77</v>
      </c>
      <c r="G2" s="30" t="s">
        <v>61</v>
      </c>
      <c r="H2" s="28"/>
      <c r="I2" s="28"/>
      <c r="J2" s="28"/>
      <c r="K2" s="28"/>
      <c r="L2" t="s">
        <v>77</v>
      </c>
      <c r="N2" t="s">
        <v>78</v>
      </c>
      <c r="O2" t="s">
        <v>79</v>
      </c>
      <c r="P2" t="s">
        <v>97</v>
      </c>
      <c r="Q2" t="s">
        <v>60</v>
      </c>
      <c r="R2" t="s">
        <v>61</v>
      </c>
      <c r="T2" t="s">
        <v>111</v>
      </c>
      <c r="Y2" t="s">
        <v>111</v>
      </c>
      <c r="AD2" t="s">
        <v>111</v>
      </c>
    </row>
    <row r="3" spans="1:32" ht="19" thickBot="1" x14ac:dyDescent="0.25">
      <c r="A3" s="9" t="s">
        <v>62</v>
      </c>
      <c r="B3" s="10" t="s">
        <v>63</v>
      </c>
      <c r="C3" s="10" t="s">
        <v>64</v>
      </c>
      <c r="D3" s="10" t="s">
        <v>65</v>
      </c>
      <c r="E3" s="11" t="s">
        <v>31</v>
      </c>
      <c r="F3" s="10"/>
      <c r="G3" s="9" t="s">
        <v>66</v>
      </c>
      <c r="H3" s="10" t="s">
        <v>63</v>
      </c>
      <c r="I3" s="10" t="s">
        <v>64</v>
      </c>
      <c r="J3" s="10" t="s">
        <v>65</v>
      </c>
      <c r="K3" s="10" t="s">
        <v>31</v>
      </c>
      <c r="M3" s="18" t="s">
        <v>67</v>
      </c>
      <c r="N3" s="19">
        <v>64.900000000000006</v>
      </c>
      <c r="O3" s="19">
        <v>38.5</v>
      </c>
      <c r="P3" t="s">
        <v>67</v>
      </c>
      <c r="Q3">
        <v>24.334</v>
      </c>
      <c r="R3">
        <v>22.247</v>
      </c>
      <c r="T3" t="s">
        <v>122</v>
      </c>
      <c r="Y3" t="s">
        <v>126</v>
      </c>
      <c r="AD3" t="s">
        <v>130</v>
      </c>
    </row>
    <row r="4" spans="1:32" x14ac:dyDescent="0.2">
      <c r="A4" s="7" t="s">
        <v>67</v>
      </c>
      <c r="B4" s="12">
        <v>64.900000000000006</v>
      </c>
      <c r="C4" s="12" t="s">
        <v>68</v>
      </c>
      <c r="D4" s="12">
        <v>0.9</v>
      </c>
      <c r="E4" s="13">
        <v>57.1</v>
      </c>
      <c r="F4" s="12">
        <v>13</v>
      </c>
      <c r="G4" s="7" t="s">
        <v>67</v>
      </c>
      <c r="H4" s="12">
        <v>38.5</v>
      </c>
      <c r="I4" s="12" t="s">
        <v>69</v>
      </c>
      <c r="J4" s="12">
        <v>0.96</v>
      </c>
      <c r="K4" s="12">
        <v>60.8</v>
      </c>
      <c r="L4" s="12">
        <v>12</v>
      </c>
      <c r="M4" t="s">
        <v>99</v>
      </c>
      <c r="N4" s="19">
        <v>11.8</v>
      </c>
      <c r="O4" s="19">
        <v>26.2</v>
      </c>
      <c r="P4" t="s">
        <v>67</v>
      </c>
      <c r="Q4">
        <v>32.853000000000002</v>
      </c>
      <c r="R4">
        <v>54.587000000000003</v>
      </c>
      <c r="T4" s="16"/>
      <c r="U4" s="16" t="s">
        <v>112</v>
      </c>
      <c r="V4" s="16" t="s">
        <v>113</v>
      </c>
      <c r="Y4" s="16"/>
      <c r="Z4" s="16" t="s">
        <v>112</v>
      </c>
      <c r="AA4" s="16" t="s">
        <v>113</v>
      </c>
      <c r="AD4" s="16"/>
      <c r="AE4" s="16" t="s">
        <v>112</v>
      </c>
      <c r="AF4" s="16" t="s">
        <v>113</v>
      </c>
    </row>
    <row r="5" spans="1:32" ht="32" x14ac:dyDescent="0.2">
      <c r="A5" s="7" t="s">
        <v>70</v>
      </c>
      <c r="B5" s="12">
        <v>11.8</v>
      </c>
      <c r="C5" s="12" t="s">
        <v>71</v>
      </c>
      <c r="D5" s="12">
        <v>0.7</v>
      </c>
      <c r="E5" s="13">
        <v>58.2</v>
      </c>
      <c r="F5" s="12">
        <v>7</v>
      </c>
      <c r="G5" s="7" t="s">
        <v>70</v>
      </c>
      <c r="H5" s="12">
        <v>26.2</v>
      </c>
      <c r="I5" s="12" t="s">
        <v>72</v>
      </c>
      <c r="J5" s="12">
        <v>0.98</v>
      </c>
      <c r="K5" s="12">
        <v>50.8</v>
      </c>
      <c r="L5" s="12">
        <v>5</v>
      </c>
      <c r="M5" t="s">
        <v>100</v>
      </c>
      <c r="N5" s="25">
        <v>252</v>
      </c>
      <c r="O5" s="25">
        <v>442</v>
      </c>
      <c r="P5" t="s">
        <v>67</v>
      </c>
      <c r="Q5">
        <v>101.78</v>
      </c>
      <c r="R5">
        <v>18.170999999999999</v>
      </c>
      <c r="T5" t="s">
        <v>114</v>
      </c>
      <c r="U5">
        <v>96.111029999999985</v>
      </c>
      <c r="V5">
        <v>94.472099999999998</v>
      </c>
      <c r="Y5" t="s">
        <v>114</v>
      </c>
      <c r="Z5">
        <v>46.012499999999996</v>
      </c>
      <c r="AA5">
        <v>12.403433333333334</v>
      </c>
      <c r="AD5" t="s">
        <v>114</v>
      </c>
      <c r="AE5">
        <v>40.541499999999999</v>
      </c>
      <c r="AF5">
        <v>28.939999999999998</v>
      </c>
    </row>
    <row r="6" spans="1:32" ht="17" thickBot="1" x14ac:dyDescent="0.25">
      <c r="A6" s="7" t="s">
        <v>73</v>
      </c>
      <c r="B6" s="23">
        <v>252</v>
      </c>
      <c r="C6" s="23" t="s">
        <v>75</v>
      </c>
      <c r="D6" s="23">
        <v>0.97</v>
      </c>
      <c r="E6" s="31">
        <v>93.5</v>
      </c>
      <c r="F6" s="12">
        <v>5</v>
      </c>
      <c r="G6" s="7" t="s">
        <v>73</v>
      </c>
      <c r="H6" s="23">
        <v>442</v>
      </c>
      <c r="I6" s="23" t="s">
        <v>76</v>
      </c>
      <c r="J6" s="23">
        <v>0.73</v>
      </c>
      <c r="K6" s="23">
        <v>93.8</v>
      </c>
      <c r="L6">
        <v>5</v>
      </c>
      <c r="N6" s="26"/>
      <c r="O6" s="26"/>
      <c r="P6" t="s">
        <v>67</v>
      </c>
      <c r="Q6">
        <v>25.082999999999998</v>
      </c>
      <c r="R6">
        <v>67.161000000000001</v>
      </c>
      <c r="T6" t="s">
        <v>85</v>
      </c>
      <c r="U6">
        <v>13202.186502031229</v>
      </c>
      <c r="V6">
        <v>17658.906494988885</v>
      </c>
      <c r="Y6" t="s">
        <v>85</v>
      </c>
      <c r="Z6">
        <v>1397.0626096666667</v>
      </c>
      <c r="AA6">
        <v>218.01428276333334</v>
      </c>
      <c r="AD6" t="s">
        <v>85</v>
      </c>
      <c r="AE6">
        <v>580.33395033333363</v>
      </c>
      <c r="AF6">
        <v>383.27403700000013</v>
      </c>
    </row>
    <row r="7" spans="1:32" ht="17" thickBot="1" x14ac:dyDescent="0.25">
      <c r="A7" s="8" t="s">
        <v>74</v>
      </c>
      <c r="B7" s="24"/>
      <c r="C7" s="24"/>
      <c r="D7" s="24"/>
      <c r="E7" s="32"/>
      <c r="F7" s="15"/>
      <c r="G7" s="8" t="s">
        <v>74</v>
      </c>
      <c r="H7" s="24"/>
      <c r="I7" s="24"/>
      <c r="J7" s="24"/>
      <c r="K7" s="24"/>
      <c r="P7" t="s">
        <v>99</v>
      </c>
      <c r="Q7">
        <v>8.3815000000000008</v>
      </c>
      <c r="R7">
        <v>9.7769999999999992</v>
      </c>
      <c r="T7" t="s">
        <v>115</v>
      </c>
      <c r="U7">
        <v>10</v>
      </c>
      <c r="V7">
        <v>10</v>
      </c>
      <c r="Y7" t="s">
        <v>115</v>
      </c>
      <c r="Z7">
        <v>4</v>
      </c>
      <c r="AA7">
        <v>3</v>
      </c>
      <c r="AD7" t="s">
        <v>115</v>
      </c>
      <c r="AE7">
        <v>4</v>
      </c>
      <c r="AF7">
        <v>3</v>
      </c>
    </row>
    <row r="8" spans="1:32" x14ac:dyDescent="0.2">
      <c r="P8" t="s">
        <v>99</v>
      </c>
      <c r="Q8">
        <v>6.5799999999999997E-2</v>
      </c>
      <c r="R8">
        <v>28.135999999999999</v>
      </c>
      <c r="T8" t="s">
        <v>116</v>
      </c>
      <c r="U8">
        <v>0</v>
      </c>
      <c r="Y8" t="s">
        <v>116</v>
      </c>
      <c r="Z8">
        <v>0</v>
      </c>
      <c r="AD8" t="s">
        <v>116</v>
      </c>
      <c r="AE8">
        <v>0</v>
      </c>
    </row>
    <row r="9" spans="1:32" x14ac:dyDescent="0.2">
      <c r="A9" t="s">
        <v>135</v>
      </c>
      <c r="P9" t="s">
        <v>99</v>
      </c>
      <c r="Q9">
        <v>28.763000000000002</v>
      </c>
      <c r="R9">
        <v>48.906999999999996</v>
      </c>
      <c r="T9" t="s">
        <v>89</v>
      </c>
      <c r="U9">
        <v>18</v>
      </c>
      <c r="Y9" t="s">
        <v>89</v>
      </c>
      <c r="Z9">
        <v>4</v>
      </c>
      <c r="AD9" t="s">
        <v>89</v>
      </c>
      <c r="AE9">
        <v>5</v>
      </c>
    </row>
    <row r="10" spans="1:32" x14ac:dyDescent="0.2">
      <c r="P10" t="s">
        <v>100</v>
      </c>
      <c r="Q10">
        <v>151.84</v>
      </c>
      <c r="R10">
        <v>452.34</v>
      </c>
      <c r="T10" t="s">
        <v>117</v>
      </c>
      <c r="U10">
        <v>2.950222380588053E-2</v>
      </c>
      <c r="Y10" t="s">
        <v>117</v>
      </c>
      <c r="Z10">
        <v>1.6361857488237312</v>
      </c>
      <c r="AD10" t="s">
        <v>117</v>
      </c>
      <c r="AE10">
        <v>0.70235864156086725</v>
      </c>
    </row>
    <row r="11" spans="1:32" ht="17" thickBot="1" x14ac:dyDescent="0.25">
      <c r="A11" t="s">
        <v>81</v>
      </c>
      <c r="P11" t="s">
        <v>100</v>
      </c>
      <c r="Q11">
        <v>323.18</v>
      </c>
      <c r="R11">
        <v>156</v>
      </c>
      <c r="T11" t="s">
        <v>118</v>
      </c>
      <c r="U11">
        <v>0.48839434790616953</v>
      </c>
      <c r="Y11" t="s">
        <v>118</v>
      </c>
      <c r="Z11">
        <v>8.8570705531846025E-2</v>
      </c>
      <c r="AD11" t="s">
        <v>118</v>
      </c>
      <c r="AE11">
        <v>0.25689870766188166</v>
      </c>
    </row>
    <row r="12" spans="1:32" x14ac:dyDescent="0.2">
      <c r="A12" s="16" t="s">
        <v>82</v>
      </c>
      <c r="B12" s="16" t="s">
        <v>83</v>
      </c>
      <c r="C12" s="16" t="s">
        <v>84</v>
      </c>
      <c r="D12" s="16" t="s">
        <v>49</v>
      </c>
      <c r="E12" s="16" t="s">
        <v>85</v>
      </c>
      <c r="N12" t="s">
        <v>106</v>
      </c>
      <c r="P12" t="s">
        <v>100</v>
      </c>
      <c r="Q12">
        <v>264.83</v>
      </c>
      <c r="R12">
        <v>87.394999999999996</v>
      </c>
      <c r="T12" t="s">
        <v>119</v>
      </c>
      <c r="U12">
        <v>1.7340636066175394</v>
      </c>
      <c r="Y12" t="s">
        <v>119</v>
      </c>
      <c r="Z12">
        <v>2.1318467863266499</v>
      </c>
      <c r="AD12" t="s">
        <v>119</v>
      </c>
      <c r="AE12">
        <v>2.0150483733330233</v>
      </c>
    </row>
    <row r="13" spans="1:32" x14ac:dyDescent="0.2">
      <c r="A13" t="s">
        <v>60</v>
      </c>
      <c r="B13">
        <v>10</v>
      </c>
      <c r="C13">
        <v>961.11029999999982</v>
      </c>
      <c r="D13">
        <v>96.111029999999985</v>
      </c>
      <c r="E13">
        <v>13202.186502031229</v>
      </c>
      <c r="T13" t="s">
        <v>120</v>
      </c>
      <c r="U13">
        <v>0.97678869581233907</v>
      </c>
      <c r="Y13" t="s">
        <v>120</v>
      </c>
      <c r="Z13">
        <v>0.17714141106369205</v>
      </c>
      <c r="AD13" t="s">
        <v>120</v>
      </c>
      <c r="AE13">
        <v>0.51379741532376333</v>
      </c>
    </row>
    <row r="14" spans="1:32" ht="17" thickBot="1" x14ac:dyDescent="0.25">
      <c r="A14" s="3" t="s">
        <v>61</v>
      </c>
      <c r="B14" s="3">
        <v>10</v>
      </c>
      <c r="C14" s="3">
        <v>944.721</v>
      </c>
      <c r="D14" s="3">
        <v>94.472099999999998</v>
      </c>
      <c r="E14" s="3">
        <v>17658.906494988885</v>
      </c>
      <c r="N14" t="s">
        <v>81</v>
      </c>
      <c r="O14" t="s">
        <v>60</v>
      </c>
      <c r="T14" s="3" t="s">
        <v>121</v>
      </c>
      <c r="U14" s="3">
        <v>2.1009220402410378</v>
      </c>
      <c r="V14" s="3"/>
      <c r="Y14" s="3" t="s">
        <v>121</v>
      </c>
      <c r="Z14" s="3">
        <v>2.7764451051977934</v>
      </c>
      <c r="AA14" s="3"/>
      <c r="AD14" s="3" t="s">
        <v>121</v>
      </c>
      <c r="AE14" s="3">
        <v>2.570581835636315</v>
      </c>
      <c r="AF14" s="3"/>
    </row>
    <row r="15" spans="1:32" ht="17" thickBot="1" x14ac:dyDescent="0.25">
      <c r="N15" s="17" t="s">
        <v>67</v>
      </c>
      <c r="O15" s="17"/>
      <c r="P15" t="s">
        <v>61</v>
      </c>
      <c r="Q15" t="s">
        <v>96</v>
      </c>
    </row>
    <row r="16" spans="1:32" ht="17" thickBot="1" x14ac:dyDescent="0.25">
      <c r="N16" t="s">
        <v>83</v>
      </c>
      <c r="O16">
        <v>3</v>
      </c>
      <c r="P16" s="17"/>
      <c r="Q16" s="17"/>
      <c r="T16" t="s">
        <v>111</v>
      </c>
      <c r="Y16" t="s">
        <v>111</v>
      </c>
      <c r="AD16" t="s">
        <v>111</v>
      </c>
    </row>
    <row r="17" spans="1:32" ht="17" thickBot="1" x14ac:dyDescent="0.25">
      <c r="A17" t="s">
        <v>86</v>
      </c>
      <c r="N17" t="s">
        <v>84</v>
      </c>
      <c r="O17">
        <v>82.27</v>
      </c>
      <c r="P17">
        <v>3</v>
      </c>
      <c r="Q17">
        <v>6</v>
      </c>
      <c r="T17" t="s">
        <v>67</v>
      </c>
      <c r="Y17" t="s">
        <v>127</v>
      </c>
      <c r="AD17" t="s">
        <v>131</v>
      </c>
    </row>
    <row r="18" spans="1:32" x14ac:dyDescent="0.2">
      <c r="A18" s="16" t="s">
        <v>87</v>
      </c>
      <c r="B18" s="16" t="s">
        <v>88</v>
      </c>
      <c r="C18" s="16" t="s">
        <v>89</v>
      </c>
      <c r="D18" s="16" t="s">
        <v>90</v>
      </c>
      <c r="E18" s="16" t="s">
        <v>91</v>
      </c>
      <c r="F18" s="16" t="s">
        <v>92</v>
      </c>
      <c r="G18" s="16" t="s">
        <v>93</v>
      </c>
      <c r="N18" t="s">
        <v>49</v>
      </c>
      <c r="O18">
        <v>27.423333333333332</v>
      </c>
      <c r="P18">
        <v>143.995</v>
      </c>
      <c r="Q18">
        <v>226.26500000000001</v>
      </c>
      <c r="T18" s="16"/>
      <c r="U18" s="16" t="s">
        <v>112</v>
      </c>
      <c r="V18" s="16" t="s">
        <v>113</v>
      </c>
      <c r="Y18" s="16"/>
      <c r="Z18" s="16" t="s">
        <v>112</v>
      </c>
      <c r="AA18" s="16" t="s">
        <v>113</v>
      </c>
      <c r="AD18" s="16"/>
      <c r="AE18" s="16" t="s">
        <v>112</v>
      </c>
      <c r="AF18" s="16" t="s">
        <v>113</v>
      </c>
    </row>
    <row r="19" spans="1:32" x14ac:dyDescent="0.2">
      <c r="A19" t="s">
        <v>94</v>
      </c>
      <c r="B19">
        <v>13.430457724491134</v>
      </c>
      <c r="C19">
        <v>1</v>
      </c>
      <c r="D19">
        <v>13.430457724491134</v>
      </c>
      <c r="E19">
        <v>8.7038120949170235E-4</v>
      </c>
      <c r="F19">
        <v>0.97678869581234651</v>
      </c>
      <c r="G19">
        <v>4.4138734191705664</v>
      </c>
      <c r="N19" t="s">
        <v>85</v>
      </c>
      <c r="O19">
        <v>22.251210333333574</v>
      </c>
      <c r="P19">
        <v>47.998333333333335</v>
      </c>
      <c r="Q19">
        <v>37.710833333333333</v>
      </c>
      <c r="T19" t="s">
        <v>114</v>
      </c>
      <c r="U19">
        <v>46.012499999999996</v>
      </c>
      <c r="V19">
        <v>40.541499999999999</v>
      </c>
      <c r="Y19" t="s">
        <v>114</v>
      </c>
      <c r="Z19">
        <v>12.403433333333334</v>
      </c>
      <c r="AA19">
        <v>246.61666666666665</v>
      </c>
      <c r="AD19" t="s">
        <v>114</v>
      </c>
      <c r="AE19">
        <v>28.939999999999998</v>
      </c>
      <c r="AF19">
        <v>231.91166666666663</v>
      </c>
    </row>
    <row r="20" spans="1:32" x14ac:dyDescent="0.2">
      <c r="A20" t="s">
        <v>95</v>
      </c>
      <c r="B20">
        <v>277749.83697318099</v>
      </c>
      <c r="C20">
        <v>18</v>
      </c>
      <c r="D20">
        <v>15430.546498510055</v>
      </c>
      <c r="P20">
        <v>536.87474533333307</v>
      </c>
      <c r="Q20">
        <v>350.64956976666656</v>
      </c>
      <c r="T20" t="s">
        <v>85</v>
      </c>
      <c r="U20">
        <v>1397.0626096666667</v>
      </c>
      <c r="V20">
        <v>580.33395033333363</v>
      </c>
      <c r="Y20" t="s">
        <v>85</v>
      </c>
      <c r="Z20">
        <v>218.01428276333334</v>
      </c>
      <c r="AA20">
        <v>7588.143033333341</v>
      </c>
      <c r="AD20" t="s">
        <v>85</v>
      </c>
      <c r="AE20">
        <v>383.27403700000013</v>
      </c>
      <c r="AF20">
        <v>37618.149108333339</v>
      </c>
    </row>
    <row r="21" spans="1:32" ht="17" thickBot="1" x14ac:dyDescent="0.25">
      <c r="N21" s="17" t="s">
        <v>99</v>
      </c>
      <c r="O21" s="17"/>
      <c r="T21" t="s">
        <v>115</v>
      </c>
      <c r="U21">
        <v>4</v>
      </c>
      <c r="V21">
        <v>4</v>
      </c>
      <c r="Y21" t="s">
        <v>115</v>
      </c>
      <c r="Z21">
        <v>3</v>
      </c>
      <c r="AA21">
        <v>3</v>
      </c>
      <c r="AD21" t="s">
        <v>115</v>
      </c>
      <c r="AE21">
        <v>3</v>
      </c>
      <c r="AF21">
        <v>3</v>
      </c>
    </row>
    <row r="22" spans="1:32" ht="17" thickBot="1" x14ac:dyDescent="0.25">
      <c r="A22" s="3" t="s">
        <v>96</v>
      </c>
      <c r="B22" s="3">
        <v>277763.26743090549</v>
      </c>
      <c r="C22" s="3">
        <v>19</v>
      </c>
      <c r="D22" s="3"/>
      <c r="E22" s="3"/>
      <c r="F22" s="3"/>
      <c r="G22" s="3"/>
      <c r="N22" t="s">
        <v>83</v>
      </c>
      <c r="O22">
        <v>3</v>
      </c>
      <c r="P22" s="17"/>
      <c r="Q22" s="17"/>
      <c r="T22" t="s">
        <v>116</v>
      </c>
      <c r="U22">
        <v>0</v>
      </c>
      <c r="Y22" t="s">
        <v>116</v>
      </c>
      <c r="Z22">
        <v>0</v>
      </c>
      <c r="AD22" t="s">
        <v>116</v>
      </c>
      <c r="AE22">
        <v>0</v>
      </c>
    </row>
    <row r="23" spans="1:32" x14ac:dyDescent="0.2">
      <c r="N23" t="s">
        <v>84</v>
      </c>
      <c r="O23">
        <v>37.210300000000004</v>
      </c>
      <c r="P23">
        <v>3</v>
      </c>
      <c r="Q23">
        <v>6</v>
      </c>
      <c r="T23" t="s">
        <v>89</v>
      </c>
      <c r="U23">
        <v>5</v>
      </c>
      <c r="Y23" t="s">
        <v>89</v>
      </c>
      <c r="Z23">
        <v>2</v>
      </c>
      <c r="AD23" t="s">
        <v>89</v>
      </c>
      <c r="AE23">
        <v>2</v>
      </c>
    </row>
    <row r="24" spans="1:32" x14ac:dyDescent="0.2">
      <c r="A24" t="s">
        <v>136</v>
      </c>
      <c r="N24" t="s">
        <v>49</v>
      </c>
      <c r="O24">
        <v>12.403433333333334</v>
      </c>
      <c r="P24">
        <v>86.82</v>
      </c>
      <c r="Q24">
        <v>124.0303</v>
      </c>
      <c r="T24" t="s">
        <v>117</v>
      </c>
      <c r="U24">
        <v>0.24606498795497475</v>
      </c>
      <c r="Y24" t="s">
        <v>117</v>
      </c>
      <c r="Z24">
        <v>-4.5914875104915485</v>
      </c>
      <c r="AD24" t="s">
        <v>117</v>
      </c>
      <c r="AE24">
        <v>-1.803416814763986</v>
      </c>
    </row>
    <row r="25" spans="1:32" x14ac:dyDescent="0.2">
      <c r="N25" t="s">
        <v>85</v>
      </c>
      <c r="O25">
        <v>218.01428276333334</v>
      </c>
      <c r="P25">
        <v>28.939999999999998</v>
      </c>
      <c r="Q25">
        <v>20.671716666666665</v>
      </c>
      <c r="T25" t="s">
        <v>118</v>
      </c>
      <c r="U25">
        <v>0.40770701312514779</v>
      </c>
      <c r="Y25" t="s">
        <v>118</v>
      </c>
      <c r="Z25">
        <v>2.2152878606415623E-2</v>
      </c>
      <c r="AD25" t="s">
        <v>118</v>
      </c>
      <c r="AE25">
        <v>0.1065488199167548</v>
      </c>
    </row>
    <row r="26" spans="1:32" ht="17" thickBot="1" x14ac:dyDescent="0.25">
      <c r="A26" t="s">
        <v>81</v>
      </c>
      <c r="P26">
        <v>383.27403700000013</v>
      </c>
      <c r="Q26">
        <v>322.5527390416666</v>
      </c>
      <c r="T26" t="s">
        <v>119</v>
      </c>
      <c r="U26">
        <v>2.0150483733330233</v>
      </c>
      <c r="Y26" t="s">
        <v>119</v>
      </c>
      <c r="Z26">
        <v>2.9199855803537269</v>
      </c>
      <c r="AD26" t="s">
        <v>119</v>
      </c>
      <c r="AE26">
        <v>2.9199855803537269</v>
      </c>
    </row>
    <row r="27" spans="1:32" ht="17" thickBot="1" x14ac:dyDescent="0.25">
      <c r="A27" s="16" t="s">
        <v>82</v>
      </c>
      <c r="B27" s="16" t="s">
        <v>83</v>
      </c>
      <c r="C27" s="16" t="s">
        <v>84</v>
      </c>
      <c r="D27" s="16" t="s">
        <v>49</v>
      </c>
      <c r="E27" s="16" t="s">
        <v>85</v>
      </c>
      <c r="N27" s="17" t="s">
        <v>100</v>
      </c>
      <c r="O27" s="17"/>
      <c r="T27" t="s">
        <v>120</v>
      </c>
      <c r="U27">
        <v>0.81541402625029558</v>
      </c>
      <c r="Y27" t="s">
        <v>120</v>
      </c>
      <c r="Z27">
        <v>4.4305757212831247E-2</v>
      </c>
      <c r="AD27" t="s">
        <v>120</v>
      </c>
      <c r="AE27">
        <v>0.2130976398335096</v>
      </c>
    </row>
    <row r="28" spans="1:32" ht="17" thickBot="1" x14ac:dyDescent="0.25">
      <c r="A28" t="s">
        <v>67</v>
      </c>
      <c r="B28">
        <v>8</v>
      </c>
      <c r="C28">
        <v>346.21599999999995</v>
      </c>
      <c r="D28">
        <v>43.276999999999994</v>
      </c>
      <c r="E28">
        <v>856.00762314285748</v>
      </c>
      <c r="N28" t="s">
        <v>83</v>
      </c>
      <c r="O28">
        <v>3</v>
      </c>
      <c r="P28" s="17"/>
      <c r="Q28" s="17"/>
      <c r="T28" s="3" t="s">
        <v>121</v>
      </c>
      <c r="U28" s="3">
        <v>2.570581835636315</v>
      </c>
      <c r="V28" s="3"/>
      <c r="Y28" s="3" t="s">
        <v>121</v>
      </c>
      <c r="Z28" s="3">
        <v>4.3026527297494637</v>
      </c>
      <c r="AA28" s="3"/>
      <c r="AD28" s="3" t="s">
        <v>121</v>
      </c>
      <c r="AE28" s="3">
        <v>4.3026527297494637</v>
      </c>
      <c r="AF28" s="3"/>
    </row>
    <row r="29" spans="1:32" x14ac:dyDescent="0.2">
      <c r="A29" t="s">
        <v>99</v>
      </c>
      <c r="B29">
        <v>6</v>
      </c>
      <c r="C29">
        <v>124.0303</v>
      </c>
      <c r="D29">
        <v>20.671716666666665</v>
      </c>
      <c r="E29">
        <v>322.5527390416666</v>
      </c>
      <c r="N29" t="s">
        <v>84</v>
      </c>
      <c r="O29">
        <v>739.84999999999991</v>
      </c>
      <c r="P29">
        <v>3</v>
      </c>
      <c r="Q29">
        <v>6</v>
      </c>
    </row>
    <row r="30" spans="1:32" ht="17" thickBot="1" x14ac:dyDescent="0.25">
      <c r="A30" s="3" t="s">
        <v>100</v>
      </c>
      <c r="B30" s="3">
        <v>6</v>
      </c>
      <c r="C30" s="3">
        <v>1435.5849999999998</v>
      </c>
      <c r="D30" s="3">
        <v>239.26416666666663</v>
      </c>
      <c r="E30" s="3">
        <v>18147.387964166664</v>
      </c>
      <c r="N30" t="s">
        <v>49</v>
      </c>
      <c r="O30">
        <v>246.61666666666665</v>
      </c>
      <c r="P30">
        <v>695.7349999999999</v>
      </c>
      <c r="Q30">
        <v>1435.5849999999998</v>
      </c>
    </row>
    <row r="31" spans="1:32" x14ac:dyDescent="0.2">
      <c r="N31" t="s">
        <v>85</v>
      </c>
      <c r="O31">
        <v>7588.143033333341</v>
      </c>
      <c r="P31">
        <v>231.91166666666663</v>
      </c>
      <c r="Q31">
        <v>239.26416666666663</v>
      </c>
      <c r="V31" t="s">
        <v>111</v>
      </c>
      <c r="Z31" t="s">
        <v>111</v>
      </c>
      <c r="AD31" t="s">
        <v>111</v>
      </c>
    </row>
    <row r="32" spans="1:32" ht="17" thickBot="1" x14ac:dyDescent="0.25">
      <c r="P32">
        <v>37618.149108333339</v>
      </c>
      <c r="Q32">
        <v>18147.387964166679</v>
      </c>
      <c r="V32" t="s">
        <v>123</v>
      </c>
      <c r="Z32" t="s">
        <v>129</v>
      </c>
      <c r="AD32" t="s">
        <v>132</v>
      </c>
    </row>
    <row r="33" spans="1:32" ht="17" thickBot="1" x14ac:dyDescent="0.25">
      <c r="A33" t="s">
        <v>86</v>
      </c>
      <c r="N33" s="17" t="s">
        <v>96</v>
      </c>
      <c r="O33" s="17"/>
      <c r="V33" s="16"/>
      <c r="W33" s="16" t="s">
        <v>112</v>
      </c>
      <c r="X33" s="16" t="s">
        <v>113</v>
      </c>
      <c r="Z33" s="16"/>
      <c r="AA33" s="16" t="s">
        <v>112</v>
      </c>
      <c r="AB33" s="16" t="s">
        <v>113</v>
      </c>
      <c r="AD33" s="16"/>
      <c r="AE33" s="16" t="s">
        <v>112</v>
      </c>
      <c r="AF33" s="16" t="s">
        <v>113</v>
      </c>
    </row>
    <row r="34" spans="1:32" ht="17" thickBot="1" x14ac:dyDescent="0.25">
      <c r="A34" s="16" t="s">
        <v>87</v>
      </c>
      <c r="B34" s="16" t="s">
        <v>88</v>
      </c>
      <c r="C34" s="16" t="s">
        <v>89</v>
      </c>
      <c r="D34" s="16" t="s">
        <v>90</v>
      </c>
      <c r="E34" s="16" t="s">
        <v>91</v>
      </c>
      <c r="F34" s="16" t="s">
        <v>92</v>
      </c>
      <c r="G34" s="16" t="s">
        <v>93</v>
      </c>
      <c r="N34" t="s">
        <v>83</v>
      </c>
      <c r="O34">
        <v>9</v>
      </c>
      <c r="P34" s="17"/>
      <c r="Q34" s="17"/>
      <c r="R34" s="17"/>
      <c r="V34" t="s">
        <v>114</v>
      </c>
      <c r="W34" t="s">
        <v>137</v>
      </c>
      <c r="X34">
        <v>28.939999999999998</v>
      </c>
      <c r="Z34" t="s">
        <v>114</v>
      </c>
      <c r="AA34">
        <v>46.012499999999996</v>
      </c>
      <c r="AB34">
        <v>246.61666666666665</v>
      </c>
      <c r="AD34" t="s">
        <v>114</v>
      </c>
      <c r="AE34">
        <v>40.541499999999999</v>
      </c>
      <c r="AF34">
        <v>231.91166666666663</v>
      </c>
    </row>
    <row r="35" spans="1:32" x14ac:dyDescent="0.2">
      <c r="A35" t="s">
        <v>94</v>
      </c>
      <c r="B35">
        <v>179421.51055286382</v>
      </c>
      <c r="C35">
        <v>2</v>
      </c>
      <c r="D35">
        <v>89710.755276431912</v>
      </c>
      <c r="E35">
        <v>15.507988550485944</v>
      </c>
      <c r="F35">
        <v>1.4690506799274535E-4</v>
      </c>
      <c r="G35">
        <v>3.5915305684750827</v>
      </c>
      <c r="N35" t="s">
        <v>84</v>
      </c>
      <c r="O35">
        <v>859.33029999999985</v>
      </c>
      <c r="P35">
        <v>9</v>
      </c>
      <c r="V35" t="s">
        <v>85</v>
      </c>
      <c r="W35">
        <v>218.01428276333334</v>
      </c>
      <c r="X35">
        <v>383.27403700000013</v>
      </c>
      <c r="Z35" t="s">
        <v>85</v>
      </c>
      <c r="AA35">
        <v>1397.0626096666667</v>
      </c>
      <c r="AB35">
        <v>7588.143033333341</v>
      </c>
      <c r="AD35" t="s">
        <v>85</v>
      </c>
      <c r="AE35">
        <v>580.33395033333363</v>
      </c>
      <c r="AF35">
        <v>37618.149108333339</v>
      </c>
    </row>
    <row r="36" spans="1:32" x14ac:dyDescent="0.2">
      <c r="A36" t="s">
        <v>95</v>
      </c>
      <c r="B36">
        <v>98341.756878041662</v>
      </c>
      <c r="C36">
        <v>17</v>
      </c>
      <c r="D36">
        <v>5784.8092281200979</v>
      </c>
      <c r="N36" t="s">
        <v>49</v>
      </c>
      <c r="O36">
        <v>95.481144444444425</v>
      </c>
      <c r="P36">
        <v>926.55</v>
      </c>
      <c r="V36" t="s">
        <v>115</v>
      </c>
      <c r="W36">
        <v>3</v>
      </c>
      <c r="X36">
        <v>3</v>
      </c>
      <c r="Z36" t="s">
        <v>115</v>
      </c>
      <c r="AA36">
        <v>4</v>
      </c>
      <c r="AB36">
        <v>3</v>
      </c>
      <c r="AD36" t="s">
        <v>115</v>
      </c>
      <c r="AE36">
        <v>4</v>
      </c>
      <c r="AF36">
        <v>3</v>
      </c>
    </row>
    <row r="37" spans="1:32" x14ac:dyDescent="0.2">
      <c r="N37" t="s">
        <v>85</v>
      </c>
      <c r="O37">
        <v>14847.99631188778</v>
      </c>
      <c r="P37">
        <v>102.94999999999999</v>
      </c>
      <c r="V37" t="s">
        <v>116</v>
      </c>
      <c r="W37">
        <v>0</v>
      </c>
      <c r="Z37" t="s">
        <v>116</v>
      </c>
      <c r="AA37">
        <v>0</v>
      </c>
      <c r="AD37" t="s">
        <v>116</v>
      </c>
      <c r="AE37">
        <v>0</v>
      </c>
    </row>
    <row r="38" spans="1:32" ht="17" thickBot="1" x14ac:dyDescent="0.25">
      <c r="A38" s="3" t="s">
        <v>96</v>
      </c>
      <c r="B38" s="3">
        <v>277763.26743090549</v>
      </c>
      <c r="C38" s="3">
        <v>19</v>
      </c>
      <c r="D38" s="3"/>
      <c r="E38" s="3"/>
      <c r="F38" s="3"/>
      <c r="G38" s="3"/>
      <c r="P38">
        <v>19057.678437249997</v>
      </c>
      <c r="V38" t="s">
        <v>89</v>
      </c>
      <c r="W38">
        <v>4</v>
      </c>
      <c r="Z38" t="s">
        <v>89</v>
      </c>
      <c r="AA38">
        <v>3</v>
      </c>
      <c r="AD38" t="s">
        <v>89</v>
      </c>
      <c r="AE38">
        <v>2</v>
      </c>
    </row>
    <row r="39" spans="1:32" x14ac:dyDescent="0.2">
      <c r="V39" t="s">
        <v>117</v>
      </c>
      <c r="W39">
        <v>-1.1680584878321989</v>
      </c>
      <c r="Z39" t="s">
        <v>117</v>
      </c>
      <c r="AA39">
        <v>-3.7389165211832553</v>
      </c>
      <c r="AD39" t="s">
        <v>117</v>
      </c>
      <c r="AE39">
        <v>-1.6991750865717634</v>
      </c>
    </row>
    <row r="40" spans="1:32" ht="17" thickBot="1" x14ac:dyDescent="0.25">
      <c r="N40" t="s">
        <v>86</v>
      </c>
      <c r="V40" t="s">
        <v>118</v>
      </c>
      <c r="W40">
        <v>0.1538273985578536</v>
      </c>
      <c r="Z40" t="s">
        <v>118</v>
      </c>
      <c r="AA40">
        <v>1.6684705283780021E-2</v>
      </c>
      <c r="AD40" t="s">
        <v>118</v>
      </c>
      <c r="AE40">
        <v>0.11569303196943148</v>
      </c>
    </row>
    <row r="41" spans="1:32" ht="17" thickBot="1" x14ac:dyDescent="0.25">
      <c r="N41" s="16" t="s">
        <v>87</v>
      </c>
      <c r="O41" s="16" t="s">
        <v>88</v>
      </c>
      <c r="S41" s="16" t="s">
        <v>92</v>
      </c>
      <c r="T41" s="16" t="s">
        <v>93</v>
      </c>
      <c r="V41" t="s">
        <v>119</v>
      </c>
      <c r="W41">
        <v>2.1318467863266499</v>
      </c>
      <c r="Z41" t="s">
        <v>119</v>
      </c>
      <c r="AA41">
        <v>2.3533634348018233</v>
      </c>
      <c r="AD41" t="s">
        <v>119</v>
      </c>
      <c r="AE41">
        <v>2.9199855803537269</v>
      </c>
    </row>
    <row r="42" spans="1:32" x14ac:dyDescent="0.2">
      <c r="N42" t="s">
        <v>107</v>
      </c>
      <c r="O42">
        <v>177393.4737431212</v>
      </c>
      <c r="P42" s="16" t="s">
        <v>89</v>
      </c>
      <c r="Q42" s="16" t="s">
        <v>90</v>
      </c>
      <c r="R42" s="16" t="s">
        <v>91</v>
      </c>
      <c r="S42">
        <v>1.6368564021095758E-3</v>
      </c>
      <c r="T42">
        <v>3.8852938346523942</v>
      </c>
      <c r="V42" t="s">
        <v>120</v>
      </c>
      <c r="W42">
        <v>0.3076547971157072</v>
      </c>
      <c r="Z42" t="s">
        <v>120</v>
      </c>
      <c r="AA42">
        <v>3.3369410567560043E-2</v>
      </c>
      <c r="AD42" t="s">
        <v>120</v>
      </c>
      <c r="AE42">
        <v>0.23138606393886296</v>
      </c>
    </row>
    <row r="43" spans="1:32" ht="17" thickBot="1" x14ac:dyDescent="0.25">
      <c r="N43" t="s">
        <v>108</v>
      </c>
      <c r="O43">
        <v>251.02711489395006</v>
      </c>
      <c r="P43">
        <v>2</v>
      </c>
      <c r="Q43">
        <v>88696.736871560599</v>
      </c>
      <c r="R43">
        <v>11.477641229076694</v>
      </c>
      <c r="S43">
        <v>0.85997799265562247</v>
      </c>
      <c r="T43">
        <v>4.7472253467225149</v>
      </c>
      <c r="V43" s="3" t="s">
        <v>121</v>
      </c>
      <c r="W43" s="3">
        <v>2.7764451051977934</v>
      </c>
      <c r="X43" s="3"/>
      <c r="Z43" s="3" t="s">
        <v>121</v>
      </c>
      <c r="AA43" s="3">
        <v>3.1824463052837091</v>
      </c>
      <c r="AB43" s="3"/>
      <c r="AD43" s="3" t="s">
        <v>121</v>
      </c>
      <c r="AE43" s="3">
        <v>4.3026527297494637</v>
      </c>
      <c r="AF43" s="3"/>
    </row>
    <row r="44" spans="1:32" x14ac:dyDescent="0.2">
      <c r="A44" s="16"/>
      <c r="B44" s="16"/>
      <c r="C44" s="16"/>
      <c r="D44" s="16"/>
      <c r="E44" s="16"/>
      <c r="N44" t="s">
        <v>109</v>
      </c>
      <c r="O44">
        <v>1118.5114157876815</v>
      </c>
      <c r="P44">
        <v>1</v>
      </c>
      <c r="Q44">
        <v>251.02711489395006</v>
      </c>
      <c r="R44">
        <v>3.2483710958782643E-2</v>
      </c>
      <c r="S44">
        <v>0.93058997807201282</v>
      </c>
      <c r="T44">
        <v>3.8852938346523942</v>
      </c>
    </row>
    <row r="45" spans="1:32" x14ac:dyDescent="0.2">
      <c r="N45" t="s">
        <v>110</v>
      </c>
      <c r="O45">
        <v>92733.412834193325</v>
      </c>
      <c r="P45">
        <v>2</v>
      </c>
      <c r="Q45">
        <v>559.25570789384074</v>
      </c>
      <c r="R45">
        <v>7.2369476002413835E-2</v>
      </c>
      <c r="V45" t="s">
        <v>111</v>
      </c>
    </row>
    <row r="46" spans="1:32" ht="17" thickBot="1" x14ac:dyDescent="0.25">
      <c r="P46">
        <v>12</v>
      </c>
      <c r="Q46">
        <v>7727.7844028494437</v>
      </c>
      <c r="V46" t="s">
        <v>100</v>
      </c>
    </row>
    <row r="47" spans="1:32" ht="17" thickBot="1" x14ac:dyDescent="0.25">
      <c r="N47" s="3" t="s">
        <v>96</v>
      </c>
      <c r="O47" s="3">
        <v>271496.42510799615</v>
      </c>
      <c r="S47" s="3"/>
      <c r="T47" s="3"/>
      <c r="V47" s="16"/>
      <c r="W47" s="16" t="s">
        <v>112</v>
      </c>
      <c r="X47" s="16" t="s">
        <v>113</v>
      </c>
    </row>
    <row r="48" spans="1:32" ht="17" thickBot="1" x14ac:dyDescent="0.25">
      <c r="P48" s="3">
        <v>17</v>
      </c>
      <c r="Q48" s="3"/>
      <c r="R48" s="3"/>
      <c r="V48" t="s">
        <v>114</v>
      </c>
      <c r="W48">
        <v>246.61666666666665</v>
      </c>
      <c r="X48">
        <v>231.91166666666663</v>
      </c>
    </row>
    <row r="49" spans="1:24" x14ac:dyDescent="0.2">
      <c r="V49" t="s">
        <v>85</v>
      </c>
      <c r="W49">
        <v>7588.143033333341</v>
      </c>
      <c r="X49">
        <v>37618.149108333339</v>
      </c>
    </row>
    <row r="50" spans="1:24" x14ac:dyDescent="0.2">
      <c r="V50" t="s">
        <v>115</v>
      </c>
      <c r="W50">
        <v>3</v>
      </c>
      <c r="X50">
        <v>3</v>
      </c>
    </row>
    <row r="51" spans="1:24" x14ac:dyDescent="0.2">
      <c r="V51" t="s">
        <v>116</v>
      </c>
      <c r="W51">
        <v>0</v>
      </c>
    </row>
    <row r="52" spans="1:24" x14ac:dyDescent="0.2">
      <c r="V52" t="s">
        <v>89</v>
      </c>
      <c r="W52">
        <v>3</v>
      </c>
    </row>
    <row r="53" spans="1:24" x14ac:dyDescent="0.2">
      <c r="N53" t="s">
        <v>60</v>
      </c>
      <c r="O53" t="s">
        <v>134</v>
      </c>
      <c r="P53" t="s">
        <v>60</v>
      </c>
      <c r="Q53" t="s">
        <v>60</v>
      </c>
      <c r="R53" t="s">
        <v>61</v>
      </c>
      <c r="S53" t="s">
        <v>61</v>
      </c>
      <c r="T53" t="s">
        <v>61</v>
      </c>
      <c r="U53" t="s">
        <v>61</v>
      </c>
      <c r="V53" t="s">
        <v>117</v>
      </c>
      <c r="W53">
        <v>0.11979155778036038</v>
      </c>
    </row>
    <row r="54" spans="1:24" ht="17" thickBot="1" x14ac:dyDescent="0.25">
      <c r="A54" s="3"/>
      <c r="B54" s="3"/>
      <c r="C54" s="3"/>
      <c r="D54" s="3"/>
      <c r="E54" s="3"/>
      <c r="M54" t="s">
        <v>67</v>
      </c>
      <c r="N54">
        <v>24.334</v>
      </c>
      <c r="O54">
        <v>32.853000000000002</v>
      </c>
      <c r="P54">
        <v>101.78</v>
      </c>
      <c r="Q54">
        <v>25.082999999999998</v>
      </c>
      <c r="R54">
        <v>22.247</v>
      </c>
      <c r="S54">
        <v>54.587000000000003</v>
      </c>
      <c r="T54">
        <v>18.170999999999999</v>
      </c>
      <c r="U54">
        <v>67.161000000000001</v>
      </c>
      <c r="V54" t="s">
        <v>118</v>
      </c>
      <c r="W54">
        <v>0.45611010612240899</v>
      </c>
    </row>
    <row r="55" spans="1:24" x14ac:dyDescent="0.2">
      <c r="M55" t="s">
        <v>99</v>
      </c>
      <c r="N55">
        <v>8.3815000000000008</v>
      </c>
      <c r="O55">
        <v>6.5799999999999997E-2</v>
      </c>
      <c r="P55">
        <v>28.763000000000002</v>
      </c>
      <c r="R55">
        <v>9.7769999999999992</v>
      </c>
      <c r="S55">
        <v>28.135999999999999</v>
      </c>
      <c r="T55">
        <v>48.906999999999996</v>
      </c>
      <c r="V55" t="s">
        <v>119</v>
      </c>
      <c r="W55">
        <v>2.3533634348018233</v>
      </c>
    </row>
    <row r="56" spans="1:24" x14ac:dyDescent="0.2">
      <c r="M56" t="s">
        <v>100</v>
      </c>
      <c r="N56">
        <v>151.84</v>
      </c>
      <c r="O56">
        <v>323.18</v>
      </c>
      <c r="P56">
        <v>264.83</v>
      </c>
      <c r="R56">
        <v>452.34</v>
      </c>
      <c r="S56">
        <v>156</v>
      </c>
      <c r="T56">
        <v>87.394999999999996</v>
      </c>
      <c r="V56" t="s">
        <v>120</v>
      </c>
      <c r="W56">
        <v>0.91222021224481797</v>
      </c>
    </row>
    <row r="57" spans="1:24" ht="17" thickBot="1" x14ac:dyDescent="0.25">
      <c r="V57" s="3" t="s">
        <v>121</v>
      </c>
      <c r="W57" s="3">
        <v>3.1824463052837091</v>
      </c>
      <c r="X57" s="3"/>
    </row>
    <row r="58" spans="1:24" x14ac:dyDescent="0.2">
      <c r="A58" s="16"/>
      <c r="B58" s="16"/>
      <c r="C58" s="16"/>
      <c r="D58" s="16"/>
      <c r="E58" s="16"/>
      <c r="F58" s="16"/>
      <c r="G58" s="16"/>
    </row>
    <row r="62" spans="1:24" ht="17" thickBot="1" x14ac:dyDescent="0.25">
      <c r="A62" s="3"/>
      <c r="B62" s="3"/>
      <c r="C62" s="3"/>
      <c r="D62" s="3"/>
      <c r="E62" s="3"/>
      <c r="F62" s="3"/>
      <c r="G62" s="3"/>
    </row>
  </sheetData>
  <mergeCells count="13">
    <mergeCell ref="K6:K7"/>
    <mergeCell ref="N5:N6"/>
    <mergeCell ref="O5:O6"/>
    <mergeCell ref="A1:K1"/>
    <mergeCell ref="A2:E2"/>
    <mergeCell ref="G2:K2"/>
    <mergeCell ref="B6:B7"/>
    <mergeCell ref="C6:C7"/>
    <mergeCell ref="D6:D7"/>
    <mergeCell ref="E6:E7"/>
    <mergeCell ref="H6:H7"/>
    <mergeCell ref="I6:I7"/>
    <mergeCell ref="J6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0B3B-C941-CF4F-BD7C-F51E543453A9}">
  <dimension ref="A1:P58"/>
  <sheetViews>
    <sheetView tabSelected="1" workbookViewId="0">
      <selection activeCell="I27" sqref="I27"/>
    </sheetView>
  </sheetViews>
  <sheetFormatPr baseColWidth="10" defaultRowHeight="16" x14ac:dyDescent="0.2"/>
  <sheetData>
    <row r="1" spans="1:16" ht="17" thickBot="1" x14ac:dyDescent="0.25">
      <c r="A1" s="27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6" ht="17" thickBot="1" x14ac:dyDescent="0.25">
      <c r="A2" s="28" t="s">
        <v>60</v>
      </c>
      <c r="B2" s="28"/>
      <c r="C2" s="28"/>
      <c r="D2" s="28"/>
      <c r="E2" s="29"/>
      <c r="F2" s="14" t="s">
        <v>77</v>
      </c>
      <c r="G2" s="30" t="s">
        <v>61</v>
      </c>
      <c r="H2" s="28"/>
      <c r="I2" s="28"/>
      <c r="J2" s="28"/>
      <c r="K2" s="28"/>
      <c r="L2" t="s">
        <v>77</v>
      </c>
    </row>
    <row r="3" spans="1:16" ht="19" thickBot="1" x14ac:dyDescent="0.25">
      <c r="A3" s="9" t="s">
        <v>62</v>
      </c>
      <c r="B3" s="10" t="s">
        <v>63</v>
      </c>
      <c r="C3" s="10" t="s">
        <v>64</v>
      </c>
      <c r="D3" s="10" t="s">
        <v>65</v>
      </c>
      <c r="E3" s="11" t="s">
        <v>31</v>
      </c>
      <c r="F3" s="10"/>
      <c r="G3" s="9" t="s">
        <v>66</v>
      </c>
      <c r="H3" s="10" t="s">
        <v>63</v>
      </c>
      <c r="I3" s="10" t="s">
        <v>64</v>
      </c>
      <c r="J3" s="10" t="s">
        <v>65</v>
      </c>
      <c r="K3" s="10" t="s">
        <v>31</v>
      </c>
    </row>
    <row r="4" spans="1:16" x14ac:dyDescent="0.2">
      <c r="A4" s="7" t="s">
        <v>67</v>
      </c>
      <c r="B4" s="12">
        <v>64.900000000000006</v>
      </c>
      <c r="C4" s="12" t="s">
        <v>68</v>
      </c>
      <c r="D4" s="12">
        <v>0.9</v>
      </c>
      <c r="E4" s="13">
        <v>57.1</v>
      </c>
      <c r="F4" s="12">
        <v>13</v>
      </c>
      <c r="G4" s="7" t="s">
        <v>67</v>
      </c>
      <c r="H4" s="12">
        <v>38.5</v>
      </c>
      <c r="I4" s="12" t="s">
        <v>69</v>
      </c>
      <c r="J4" s="12">
        <v>0.96</v>
      </c>
      <c r="K4" s="12">
        <v>60.8</v>
      </c>
      <c r="L4" s="12">
        <v>12</v>
      </c>
    </row>
    <row r="5" spans="1:16" ht="32" x14ac:dyDescent="0.2">
      <c r="A5" s="7" t="s">
        <v>70</v>
      </c>
      <c r="B5" s="12">
        <v>11.8</v>
      </c>
      <c r="C5" s="12" t="s">
        <v>71</v>
      </c>
      <c r="D5" s="12">
        <v>0.7</v>
      </c>
      <c r="E5" s="13">
        <v>58.2</v>
      </c>
      <c r="F5" s="12">
        <v>7</v>
      </c>
      <c r="G5" s="7" t="s">
        <v>70</v>
      </c>
      <c r="H5" s="12">
        <v>26.2</v>
      </c>
      <c r="I5" s="12" t="s">
        <v>72</v>
      </c>
      <c r="J5" s="12">
        <v>0.98</v>
      </c>
      <c r="K5" s="12">
        <v>50.8</v>
      </c>
      <c r="L5" s="12">
        <v>5</v>
      </c>
    </row>
    <row r="6" spans="1:16" x14ac:dyDescent="0.2">
      <c r="A6" s="7" t="s">
        <v>73</v>
      </c>
      <c r="B6" s="23">
        <v>252</v>
      </c>
      <c r="C6" s="23" t="s">
        <v>75</v>
      </c>
      <c r="D6" s="23">
        <v>0.97</v>
      </c>
      <c r="E6" s="31">
        <v>93.5</v>
      </c>
      <c r="F6" s="12">
        <v>5</v>
      </c>
      <c r="G6" s="7" t="s">
        <v>73</v>
      </c>
      <c r="H6" s="23">
        <v>442</v>
      </c>
      <c r="I6" s="23" t="s">
        <v>76</v>
      </c>
      <c r="J6" s="23">
        <v>0.73</v>
      </c>
      <c r="K6" s="23">
        <v>93.8</v>
      </c>
      <c r="L6">
        <v>5</v>
      </c>
    </row>
    <row r="7" spans="1:16" ht="17" thickBot="1" x14ac:dyDescent="0.25">
      <c r="A7" s="8" t="s">
        <v>74</v>
      </c>
      <c r="B7" s="24"/>
      <c r="C7" s="24"/>
      <c r="D7" s="24"/>
      <c r="E7" s="32"/>
      <c r="F7" s="15"/>
      <c r="G7" s="8" t="s">
        <v>74</v>
      </c>
      <c r="H7" s="24"/>
      <c r="I7" s="24"/>
      <c r="J7" s="24"/>
      <c r="K7" s="24"/>
    </row>
    <row r="9" spans="1:16" x14ac:dyDescent="0.2">
      <c r="A9" s="20"/>
      <c r="B9" s="20"/>
      <c r="C9" s="20"/>
      <c r="D9" s="20" t="s">
        <v>55</v>
      </c>
      <c r="E9" s="20"/>
      <c r="F9" s="20"/>
    </row>
    <row r="10" spans="1:16" x14ac:dyDescent="0.2">
      <c r="A10" s="20"/>
      <c r="B10" s="20" t="s">
        <v>78</v>
      </c>
      <c r="C10" s="20" t="s">
        <v>79</v>
      </c>
      <c r="D10" s="20" t="s">
        <v>97</v>
      </c>
      <c r="E10" s="20" t="s">
        <v>60</v>
      </c>
      <c r="F10" s="20" t="s">
        <v>61</v>
      </c>
      <c r="I10" s="20" t="s">
        <v>60</v>
      </c>
      <c r="J10" s="20" t="s">
        <v>60</v>
      </c>
      <c r="K10" s="20" t="s">
        <v>60</v>
      </c>
      <c r="L10" s="20" t="s">
        <v>60</v>
      </c>
      <c r="M10" s="20" t="s">
        <v>61</v>
      </c>
      <c r="N10" s="20" t="s">
        <v>61</v>
      </c>
      <c r="O10" s="20" t="s">
        <v>61</v>
      </c>
      <c r="P10" s="20" t="s">
        <v>61</v>
      </c>
    </row>
    <row r="11" spans="1:16" ht="17" x14ac:dyDescent="0.2">
      <c r="A11" s="22" t="s">
        <v>67</v>
      </c>
      <c r="B11" s="21">
        <v>64.900000000000006</v>
      </c>
      <c r="C11" s="21">
        <v>38.5</v>
      </c>
      <c r="D11" s="20" t="s">
        <v>67</v>
      </c>
      <c r="E11" s="20">
        <v>47.149000000000001</v>
      </c>
      <c r="F11" s="20">
        <v>58.372999999999998</v>
      </c>
      <c r="H11" t="s">
        <v>67</v>
      </c>
      <c r="I11" s="20">
        <v>47.149000000000001</v>
      </c>
      <c r="J11" s="20">
        <v>66.866</v>
      </c>
      <c r="K11" s="20">
        <v>88.19</v>
      </c>
      <c r="L11" s="20">
        <v>78.900000000000006</v>
      </c>
      <c r="M11" s="20">
        <v>58.372999999999998</v>
      </c>
      <c r="N11" s="20">
        <v>49.183999999999997</v>
      </c>
      <c r="O11" s="20">
        <v>76.159000000000006</v>
      </c>
      <c r="P11" s="20">
        <v>72.852999999999994</v>
      </c>
    </row>
    <row r="12" spans="1:16" x14ac:dyDescent="0.2">
      <c r="A12" s="20" t="s">
        <v>99</v>
      </c>
      <c r="B12" s="21">
        <v>11.8</v>
      </c>
      <c r="C12" s="21">
        <v>26.2</v>
      </c>
      <c r="D12" s="20" t="s">
        <v>67</v>
      </c>
      <c r="E12" s="20">
        <v>66.866</v>
      </c>
      <c r="F12" s="20">
        <v>49.183999999999997</v>
      </c>
      <c r="H12" t="s">
        <v>99</v>
      </c>
      <c r="I12" s="20">
        <v>43.128</v>
      </c>
      <c r="J12" s="20">
        <v>73.165999999999997</v>
      </c>
      <c r="K12" s="20">
        <v>66.912999999999997</v>
      </c>
      <c r="L12" s="20"/>
      <c r="M12" s="20">
        <v>31.513000000000002</v>
      </c>
      <c r="N12" s="20">
        <v>67.683999999999997</v>
      </c>
      <c r="O12" s="20">
        <v>67.86</v>
      </c>
    </row>
    <row r="13" spans="1:16" x14ac:dyDescent="0.2">
      <c r="A13" s="20" t="s">
        <v>100</v>
      </c>
      <c r="B13" s="33">
        <v>252</v>
      </c>
      <c r="C13" s="33">
        <v>442</v>
      </c>
      <c r="D13" s="20" t="s">
        <v>98</v>
      </c>
      <c r="E13" s="20">
        <v>88.19</v>
      </c>
      <c r="F13" s="20">
        <v>76.159000000000006</v>
      </c>
      <c r="H13" t="s">
        <v>100</v>
      </c>
      <c r="I13" s="20">
        <v>92.48</v>
      </c>
      <c r="J13" s="20">
        <v>94.441000000000003</v>
      </c>
      <c r="K13" s="20">
        <v>93.527000000000001</v>
      </c>
      <c r="M13" s="20">
        <v>93.619</v>
      </c>
      <c r="N13" s="20">
        <v>92.465999999999994</v>
      </c>
      <c r="O13" s="20">
        <v>92.382000000000005</v>
      </c>
    </row>
    <row r="14" spans="1:16" ht="17" thickBot="1" x14ac:dyDescent="0.25">
      <c r="A14" s="20"/>
      <c r="B14" s="34"/>
      <c r="C14" s="34"/>
      <c r="D14" s="20" t="s">
        <v>67</v>
      </c>
      <c r="E14" s="20">
        <v>78.900000000000006</v>
      </c>
      <c r="F14" s="20">
        <v>72.852999999999994</v>
      </c>
    </row>
    <row r="15" spans="1:16" x14ac:dyDescent="0.2">
      <c r="A15" s="20"/>
      <c r="B15" s="20"/>
      <c r="C15" s="20"/>
      <c r="D15" s="20" t="s">
        <v>99</v>
      </c>
      <c r="E15" s="20">
        <v>43.128</v>
      </c>
      <c r="F15" s="20">
        <v>31.513000000000002</v>
      </c>
    </row>
    <row r="16" spans="1:16" x14ac:dyDescent="0.2">
      <c r="A16" s="20"/>
      <c r="B16" s="20"/>
      <c r="C16" s="20"/>
      <c r="D16" s="20" t="s">
        <v>99</v>
      </c>
      <c r="E16" s="20">
        <v>73.165999999999997</v>
      </c>
      <c r="F16" s="20">
        <v>67.683999999999997</v>
      </c>
    </row>
    <row r="17" spans="1:7" x14ac:dyDescent="0.2">
      <c r="A17" s="20"/>
      <c r="B17" s="20"/>
      <c r="C17" s="20"/>
      <c r="D17" s="20" t="s">
        <v>99</v>
      </c>
      <c r="E17" s="20">
        <v>66.912999999999997</v>
      </c>
      <c r="F17" s="20">
        <v>67.86</v>
      </c>
    </row>
    <row r="18" spans="1:7" x14ac:dyDescent="0.2">
      <c r="A18" s="20"/>
      <c r="B18" s="20"/>
      <c r="C18" s="20"/>
      <c r="D18" s="20" t="s">
        <v>100</v>
      </c>
      <c r="E18" s="20">
        <v>92.48</v>
      </c>
      <c r="F18" s="20">
        <v>93.619</v>
      </c>
    </row>
    <row r="19" spans="1:7" x14ac:dyDescent="0.2">
      <c r="A19" s="20"/>
      <c r="B19" s="20"/>
      <c r="C19" s="20"/>
      <c r="D19" s="20" t="s">
        <v>100</v>
      </c>
      <c r="E19" s="20">
        <v>94.441000000000003</v>
      </c>
      <c r="F19" s="20">
        <v>92.465999999999994</v>
      </c>
    </row>
    <row r="20" spans="1:7" x14ac:dyDescent="0.2">
      <c r="A20" s="20"/>
      <c r="B20" s="20"/>
      <c r="C20" s="20"/>
      <c r="D20" s="20" t="s">
        <v>100</v>
      </c>
      <c r="E20" s="20">
        <v>93.527000000000001</v>
      </c>
      <c r="F20" s="20">
        <v>92.382000000000005</v>
      </c>
    </row>
    <row r="22" spans="1:7" x14ac:dyDescent="0.2">
      <c r="A22" t="s">
        <v>133</v>
      </c>
    </row>
    <row r="24" spans="1:7" ht="17" thickBot="1" x14ac:dyDescent="0.25">
      <c r="A24" t="s">
        <v>81</v>
      </c>
    </row>
    <row r="25" spans="1:7" x14ac:dyDescent="0.2">
      <c r="A25" s="16" t="s">
        <v>82</v>
      </c>
      <c r="B25" s="16" t="s">
        <v>83</v>
      </c>
      <c r="C25" s="16" t="s">
        <v>84</v>
      </c>
      <c r="D25" s="16" t="s">
        <v>49</v>
      </c>
      <c r="E25" s="16" t="s">
        <v>85</v>
      </c>
    </row>
    <row r="26" spans="1:7" x14ac:dyDescent="0.2">
      <c r="A26" t="s">
        <v>60</v>
      </c>
      <c r="B26">
        <v>10</v>
      </c>
      <c r="C26">
        <v>744.7600000000001</v>
      </c>
      <c r="D26">
        <v>74.476000000000013</v>
      </c>
      <c r="E26">
        <v>348.84673511110873</v>
      </c>
    </row>
    <row r="27" spans="1:7" ht="17" thickBot="1" x14ac:dyDescent="0.25">
      <c r="A27" s="3" t="s">
        <v>61</v>
      </c>
      <c r="B27" s="3">
        <v>10</v>
      </c>
      <c r="C27" s="3">
        <v>702.09300000000007</v>
      </c>
      <c r="D27" s="3">
        <v>70.209300000000013</v>
      </c>
      <c r="E27" s="3">
        <v>407.65029734444238</v>
      </c>
    </row>
    <row r="30" spans="1:7" ht="17" thickBot="1" x14ac:dyDescent="0.25">
      <c r="A30" t="s">
        <v>86</v>
      </c>
    </row>
    <row r="31" spans="1:7" x14ac:dyDescent="0.2">
      <c r="A31" s="16" t="s">
        <v>87</v>
      </c>
      <c r="B31" s="16" t="s">
        <v>88</v>
      </c>
      <c r="C31" s="16" t="s">
        <v>89</v>
      </c>
      <c r="D31" s="16" t="s">
        <v>90</v>
      </c>
      <c r="E31" s="16" t="s">
        <v>91</v>
      </c>
      <c r="F31" s="16" t="s">
        <v>92</v>
      </c>
      <c r="G31" s="16" t="s">
        <v>93</v>
      </c>
    </row>
    <row r="32" spans="1:7" x14ac:dyDescent="0.2">
      <c r="A32" t="s">
        <v>94</v>
      </c>
      <c r="B32">
        <v>91.023644450001484</v>
      </c>
      <c r="C32">
        <v>1</v>
      </c>
      <c r="D32">
        <v>91.023644450001484</v>
      </c>
      <c r="E32">
        <v>0.240645080006574</v>
      </c>
      <c r="F32">
        <v>0.62966715246817229</v>
      </c>
      <c r="G32">
        <v>4.4138734191705664</v>
      </c>
    </row>
    <row r="33" spans="1:7" x14ac:dyDescent="0.2">
      <c r="A33" t="s">
        <v>95</v>
      </c>
      <c r="B33">
        <v>6808.4732920999995</v>
      </c>
      <c r="C33">
        <v>18</v>
      </c>
      <c r="D33">
        <v>378.24851622777777</v>
      </c>
    </row>
    <row r="35" spans="1:7" ht="17" thickBot="1" x14ac:dyDescent="0.25">
      <c r="A35" s="3" t="s">
        <v>96</v>
      </c>
      <c r="B35" s="3">
        <v>6899.496936550001</v>
      </c>
      <c r="C35" s="3">
        <v>19</v>
      </c>
      <c r="D35" s="3"/>
      <c r="E35" s="3"/>
      <c r="F35" s="3"/>
      <c r="G35" s="3"/>
    </row>
    <row r="37" spans="1:7" x14ac:dyDescent="0.2">
      <c r="A37" t="s">
        <v>80</v>
      </c>
    </row>
    <row r="39" spans="1:7" ht="17" thickBot="1" x14ac:dyDescent="0.25">
      <c r="A39" t="s">
        <v>81</v>
      </c>
    </row>
    <row r="40" spans="1:7" x14ac:dyDescent="0.2">
      <c r="A40" s="16" t="s">
        <v>82</v>
      </c>
      <c r="B40" s="16" t="s">
        <v>83</v>
      </c>
      <c r="C40" s="16" t="s">
        <v>84</v>
      </c>
      <c r="D40" s="16" t="s">
        <v>49</v>
      </c>
      <c r="E40" s="16" t="s">
        <v>85</v>
      </c>
    </row>
    <row r="41" spans="1:7" x14ac:dyDescent="0.2">
      <c r="A41" t="s">
        <v>67</v>
      </c>
      <c r="B41">
        <v>8</v>
      </c>
      <c r="C41">
        <v>537.67399999999998</v>
      </c>
      <c r="D41">
        <v>67.209249999999997</v>
      </c>
      <c r="E41">
        <v>213.47654964285695</v>
      </c>
    </row>
    <row r="42" spans="1:7" x14ac:dyDescent="0.2">
      <c r="A42" t="s">
        <v>99</v>
      </c>
      <c r="B42">
        <v>6</v>
      </c>
      <c r="C42">
        <v>350.26400000000001</v>
      </c>
      <c r="D42">
        <v>58.377333333333333</v>
      </c>
      <c r="E42">
        <v>284.4663702666665</v>
      </c>
    </row>
    <row r="43" spans="1:7" ht="17" thickBot="1" x14ac:dyDescent="0.25">
      <c r="A43" s="3" t="s">
        <v>100</v>
      </c>
      <c r="B43" s="3">
        <v>6</v>
      </c>
      <c r="C43" s="3">
        <v>558.91499999999996</v>
      </c>
      <c r="D43" s="3">
        <v>93.152499999999989</v>
      </c>
      <c r="E43" s="3">
        <v>0.70706270000000049</v>
      </c>
    </row>
    <row r="46" spans="1:7" ht="17" thickBot="1" x14ac:dyDescent="0.25">
      <c r="A46" t="s">
        <v>86</v>
      </c>
    </row>
    <row r="47" spans="1:7" x14ac:dyDescent="0.2">
      <c r="A47" s="16" t="s">
        <v>87</v>
      </c>
      <c r="B47" s="16" t="s">
        <v>88</v>
      </c>
      <c r="C47" s="16" t="s">
        <v>89</v>
      </c>
      <c r="D47" s="16" t="s">
        <v>90</v>
      </c>
      <c r="E47" s="16" t="s">
        <v>91</v>
      </c>
      <c r="F47" s="16" t="s">
        <v>92</v>
      </c>
      <c r="G47" s="16" t="s">
        <v>93</v>
      </c>
    </row>
    <row r="48" spans="1:7" x14ac:dyDescent="0.2">
      <c r="A48" t="s">
        <v>94</v>
      </c>
      <c r="B48">
        <v>3979.2939242166676</v>
      </c>
      <c r="C48">
        <v>2</v>
      </c>
      <c r="D48">
        <v>1989.6469621083338</v>
      </c>
      <c r="E48">
        <v>11.582755792315702</v>
      </c>
      <c r="F48">
        <v>6.6998141699501496E-4</v>
      </c>
      <c r="G48">
        <v>3.5915305684750827</v>
      </c>
    </row>
    <row r="49" spans="1:7" x14ac:dyDescent="0.2">
      <c r="A49" t="s">
        <v>95</v>
      </c>
      <c r="B49">
        <v>2920.2030123333334</v>
      </c>
      <c r="C49">
        <v>17</v>
      </c>
      <c r="D49">
        <v>171.77664778431372</v>
      </c>
    </row>
    <row r="51" spans="1:7" ht="17" thickBot="1" x14ac:dyDescent="0.25">
      <c r="A51" s="3" t="s">
        <v>96</v>
      </c>
      <c r="B51" s="3">
        <v>6899.496936550001</v>
      </c>
      <c r="C51" s="3">
        <v>19</v>
      </c>
      <c r="D51" s="3"/>
      <c r="E51" s="3"/>
      <c r="F51" s="3"/>
      <c r="G51" s="3"/>
    </row>
    <row r="53" spans="1:7" x14ac:dyDescent="0.2">
      <c r="A53" t="s">
        <v>86</v>
      </c>
    </row>
    <row r="54" spans="1:7" x14ac:dyDescent="0.2">
      <c r="A54" t="s">
        <v>87</v>
      </c>
      <c r="B54" t="s">
        <v>88</v>
      </c>
      <c r="C54" t="s">
        <v>89</v>
      </c>
      <c r="D54" t="s">
        <v>90</v>
      </c>
      <c r="E54" t="s">
        <v>91</v>
      </c>
      <c r="F54" t="s">
        <v>92</v>
      </c>
      <c r="G54" t="s">
        <v>93</v>
      </c>
    </row>
    <row r="55" spans="1:7" x14ac:dyDescent="0.2">
      <c r="A55" t="s">
        <v>94</v>
      </c>
      <c r="B55">
        <v>6503.3425370500008</v>
      </c>
      <c r="C55">
        <v>9</v>
      </c>
      <c r="D55">
        <v>722.59361522777783</v>
      </c>
      <c r="E55">
        <v>18.240201702664116</v>
      </c>
      <c r="F55">
        <v>4.4939909083155397E-5</v>
      </c>
      <c r="G55">
        <v>3.0203829470213761</v>
      </c>
    </row>
    <row r="56" spans="1:7" x14ac:dyDescent="0.2">
      <c r="A56" t="s">
        <v>95</v>
      </c>
      <c r="B56">
        <v>396.1543994999999</v>
      </c>
      <c r="C56">
        <v>10</v>
      </c>
      <c r="D56">
        <v>39.615439949999988</v>
      </c>
    </row>
    <row r="58" spans="1:7" x14ac:dyDescent="0.2">
      <c r="A58" t="s">
        <v>96</v>
      </c>
      <c r="B58">
        <v>6899.496936550001</v>
      </c>
      <c r="C58">
        <v>19</v>
      </c>
    </row>
  </sheetData>
  <mergeCells count="13">
    <mergeCell ref="K6:K7"/>
    <mergeCell ref="B13:B14"/>
    <mergeCell ref="C13:C14"/>
    <mergeCell ref="A1:K1"/>
    <mergeCell ref="A2:E2"/>
    <mergeCell ref="G2:K2"/>
    <mergeCell ref="B6:B7"/>
    <mergeCell ref="C6:C7"/>
    <mergeCell ref="D6:D7"/>
    <mergeCell ref="E6:E7"/>
    <mergeCell ref="H6:H7"/>
    <mergeCell ref="I6: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plainDi</vt:lpstr>
      <vt:lpstr>plain25</vt:lpstr>
      <vt:lpstr>plainkarst</vt:lpstr>
      <vt:lpstr>CarbDi</vt:lpstr>
      <vt:lpstr>Carb25</vt:lpstr>
      <vt:lpstr>CarbKarst</vt:lpstr>
      <vt:lpstr>KDstats</vt:lpstr>
      <vt:lpstr>%removalstats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Riddell</dc:creator>
  <cp:lastModifiedBy>Jill Riddell</cp:lastModifiedBy>
  <dcterms:created xsi:type="dcterms:W3CDTF">2022-11-30T19:19:39Z</dcterms:created>
  <dcterms:modified xsi:type="dcterms:W3CDTF">2023-04-05T17:21:22Z</dcterms:modified>
</cp:coreProperties>
</file>