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0" documentId="8_{60D06DD6-9B08-44B0-9798-9C5ADBAA7AFA}" xr6:coauthVersionLast="47" xr6:coauthVersionMax="47" xr10:uidLastSave="{00000000-0000-0000-0000-000000000000}"/>
  <bookViews>
    <workbookView xWindow="-110" yWindow="-110" windowWidth="19420" windowHeight="10420" tabRatio="626" activeTab="2" xr2:uid="{00000000-000D-0000-FFFF-FFFF00000000}"/>
  </bookViews>
  <sheets>
    <sheet name="Grafico GAS" sheetId="14" r:id="rId1"/>
    <sheet name="Grafico PETROLEO" sheetId="10" r:id="rId2"/>
    <sheet name="Prodiarias" sheetId="1" r:id="rId3"/>
    <sheet name="Prod. Total vs % PCR" sheetId="12" r:id="rId4"/>
    <sheet name="oil-MyS" sheetId="7" state="hidden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D14" i="1"/>
  <c r="D15" i="1" s="1"/>
  <c r="C15" i="1"/>
  <c r="G13" i="1"/>
  <c r="G14" i="1" s="1"/>
  <c r="J13" i="1"/>
  <c r="M13" i="1" s="1"/>
  <c r="K13" i="1"/>
  <c r="L13" i="1"/>
  <c r="N13" i="1"/>
  <c r="K14" i="1"/>
  <c r="N14" i="1" s="1"/>
  <c r="L14" i="1"/>
  <c r="K15" i="1"/>
  <c r="N15" i="1" s="1"/>
  <c r="L15" i="1"/>
  <c r="Q13" i="1"/>
  <c r="Q14" i="1" s="1"/>
  <c r="R13" i="1"/>
  <c r="R14" i="1"/>
  <c r="R15" i="1"/>
  <c r="W13" i="1"/>
  <c r="X13" i="1"/>
  <c r="X14" i="1" s="1"/>
  <c r="X15" i="1" s="1"/>
  <c r="W14" i="1"/>
  <c r="W15" i="1"/>
  <c r="AE13" i="1"/>
  <c r="AE14" i="1" s="1"/>
  <c r="AE15" i="1" s="1"/>
  <c r="AD14" i="1"/>
  <c r="AD15" i="1"/>
  <c r="AG13" i="1"/>
  <c r="AJ13" i="1" s="1"/>
  <c r="AH13" i="1"/>
  <c r="AK13" i="1" s="1"/>
  <c r="AI13" i="1"/>
  <c r="AI14" i="1"/>
  <c r="AI15" i="1"/>
  <c r="AR13" i="1"/>
  <c r="AQ13" i="1" s="1"/>
  <c r="AT13" i="1"/>
  <c r="AV13" i="1" s="1"/>
  <c r="AX13" i="1"/>
  <c r="AZ13" i="1" s="1"/>
  <c r="AY13" i="1" s="1"/>
  <c r="BB13" i="1"/>
  <c r="BE13" i="1"/>
  <c r="AT14" i="1"/>
  <c r="AX14" i="1"/>
  <c r="BB14" i="1"/>
  <c r="BE14" i="1"/>
  <c r="AT15" i="1"/>
  <c r="AX15" i="1"/>
  <c r="BB15" i="1"/>
  <c r="BE15" i="1"/>
  <c r="AN13" i="1"/>
  <c r="AO13" i="1"/>
  <c r="AN14" i="1"/>
  <c r="AO14" i="1"/>
  <c r="AO15" i="1" s="1"/>
  <c r="AN15" i="1"/>
  <c r="G15" i="1" l="1"/>
  <c r="F15" i="1" s="1"/>
  <c r="F14" i="1"/>
  <c r="F13" i="1"/>
  <c r="AR14" i="1"/>
  <c r="T14" i="1"/>
  <c r="Q15" i="1"/>
  <c r="P14" i="1"/>
  <c r="S14" i="1" s="1"/>
  <c r="P13" i="1"/>
  <c r="S13" i="1" s="1"/>
  <c r="T13" i="1"/>
  <c r="J15" i="1"/>
  <c r="M15" i="1" s="1"/>
  <c r="J14" i="1"/>
  <c r="M14" i="1" s="1"/>
  <c r="C14" i="1"/>
  <c r="BD13" i="1"/>
  <c r="BD14" i="1" s="1"/>
  <c r="AD13" i="1"/>
  <c r="AH14" i="1"/>
  <c r="AG14" i="1" s="1"/>
  <c r="AJ14" i="1" s="1"/>
  <c r="AU13" i="1"/>
  <c r="AV14" i="1"/>
  <c r="AV15" i="1" s="1"/>
  <c r="AU15" i="1" s="1"/>
  <c r="AU14" i="1"/>
  <c r="BG15" i="1"/>
  <c r="BF15" i="1" s="1"/>
  <c r="AZ14" i="1"/>
  <c r="AZ15" i="1" s="1"/>
  <c r="AY15" i="1" s="1"/>
  <c r="BG13" i="1"/>
  <c r="BG14" i="1" s="1"/>
  <c r="BF14" i="1" s="1"/>
  <c r="AR15" i="1" l="1"/>
  <c r="AQ15" i="1" s="1"/>
  <c r="AQ14" i="1"/>
  <c r="T15" i="1"/>
  <c r="P15" i="1"/>
  <c r="S15" i="1" s="1"/>
  <c r="BD15" i="1"/>
  <c r="BC15" i="1" s="1"/>
  <c r="BC14" i="1"/>
  <c r="BC13" i="1"/>
  <c r="AK14" i="1"/>
  <c r="AH15" i="1"/>
  <c r="AY14" i="1"/>
  <c r="BF13" i="1"/>
  <c r="AK15" i="1" l="1"/>
  <c r="AG15" i="1"/>
  <c r="AJ15" i="1" s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11" i="1"/>
  <c r="CQ23" i="1"/>
  <c r="CQ24" i="1"/>
  <c r="CQ25" i="1"/>
  <c r="CQ26" i="1"/>
  <c r="CQ22" i="1" l="1"/>
  <c r="CQ21" i="1" l="1"/>
  <c r="CQ20" i="1" l="1"/>
  <c r="CQ19" i="1" l="1"/>
  <c r="CQ18" i="1" l="1"/>
  <c r="CQ17" i="1"/>
  <c r="CQ16" i="1"/>
  <c r="CQ15" i="1" l="1"/>
  <c r="CQ14" i="1" l="1"/>
  <c r="CQ13" i="1" l="1"/>
  <c r="AI12" i="1" l="1"/>
  <c r="AI11" i="1"/>
  <c r="K11" i="1" l="1"/>
  <c r="J11" i="1" s="1"/>
  <c r="M11" i="1" s="1"/>
  <c r="L11" i="1"/>
  <c r="L12" i="1"/>
  <c r="K12" i="1" l="1"/>
  <c r="N11" i="1"/>
  <c r="N12" i="1" l="1"/>
  <c r="J12" i="1"/>
  <c r="M12" i="1" s="1"/>
  <c r="R12" i="1"/>
  <c r="AT12" i="1"/>
  <c r="AX12" i="1"/>
  <c r="BB12" i="1"/>
  <c r="BE12" i="1"/>
  <c r="CQ12" i="1" l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Q11" i="1" l="1"/>
  <c r="Q12" i="1" s="1"/>
  <c r="R11" i="1"/>
  <c r="X11" i="1"/>
  <c r="X12" i="1" s="1"/>
  <c r="AB11" i="1"/>
  <c r="AE11" i="1"/>
  <c r="AE12" i="1" s="1"/>
  <c r="AH11" i="1"/>
  <c r="AK11" i="1" s="1"/>
  <c r="W12" i="1" l="1"/>
  <c r="AD12" i="1"/>
  <c r="W11" i="1"/>
  <c r="AG11" i="1"/>
  <c r="AJ11" i="1" s="1"/>
  <c r="AH12" i="1"/>
  <c r="AD11" i="1"/>
  <c r="T11" i="1"/>
  <c r="P11" i="1"/>
  <c r="S11" i="1" s="1"/>
  <c r="AK12" i="1" l="1"/>
  <c r="P12" i="1"/>
  <c r="S12" i="1" s="1"/>
  <c r="T12" i="1"/>
  <c r="AG12" i="1"/>
  <c r="AJ12" i="1" s="1"/>
  <c r="I7" i="12" l="1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AX11" i="1" l="1"/>
  <c r="AT11" i="1"/>
  <c r="CQ11" i="1" l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I7" i="1" l="1"/>
  <c r="BB11" i="1" l="1"/>
  <c r="B5" i="12" l="1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G11" i="1"/>
  <c r="G12" i="1" s="1"/>
  <c r="AO11" i="1"/>
  <c r="AO12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I3" i="12"/>
  <c r="V3" i="12" s="1"/>
  <c r="AV11" i="1"/>
  <c r="AV12" i="1" s="1"/>
  <c r="C12" i="1" l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N7" i="1" s="1"/>
  <c r="CQ7" i="1" s="1"/>
  <c r="C11" i="1"/>
  <c r="H3" i="12"/>
  <c r="U3" i="12" s="1"/>
  <c r="AZ11" i="1"/>
  <c r="AZ12" i="1" s="1"/>
  <c r="F82" i="12"/>
  <c r="BC11" i="1"/>
  <c r="BW42" i="1"/>
  <c r="BG11" i="1"/>
  <c r="BG12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BF12" i="1" l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H74" i="12" l="1"/>
  <c r="K38" i="12"/>
  <c r="H72" i="12"/>
  <c r="I72" i="12" s="1"/>
  <c r="J72" i="12" s="1"/>
  <c r="U73" i="12"/>
  <c r="U74" i="12" s="1"/>
  <c r="V72" i="12"/>
  <c r="I73" i="12" l="1"/>
  <c r="J73" i="12" s="1"/>
  <c r="V73" i="12"/>
  <c r="V74" i="12"/>
  <c r="U75" i="12"/>
  <c r="I74" i="12" l="1"/>
  <c r="I75" i="12" s="1"/>
  <c r="V75" i="12"/>
  <c r="U76" i="12"/>
  <c r="J74" i="12" l="1"/>
  <c r="U77" i="12"/>
  <c r="V76" i="12"/>
  <c r="J75" i="12"/>
  <c r="I76" i="12"/>
  <c r="I77" i="12" l="1"/>
  <c r="J76" i="12"/>
  <c r="U78" i="12"/>
  <c r="V77" i="12"/>
  <c r="I78" i="12" l="1"/>
  <c r="J77" i="12"/>
  <c r="U79" i="12"/>
  <c r="V78" i="12"/>
  <c r="U80" i="12" l="1"/>
  <c r="V79" i="12"/>
  <c r="I79" i="12"/>
  <c r="J78" i="12"/>
  <c r="I80" i="12" l="1"/>
  <c r="J79" i="12"/>
  <c r="U81" i="12"/>
  <c r="V80" i="12"/>
  <c r="U82" i="12" l="1"/>
  <c r="V81" i="12"/>
  <c r="I81" i="12"/>
  <c r="J80" i="12"/>
  <c r="I82" i="12" l="1"/>
  <c r="J81" i="12"/>
  <c r="U83" i="12"/>
  <c r="V82" i="12"/>
  <c r="I83" i="12" l="1"/>
  <c r="J82" i="12"/>
  <c r="U84" i="12"/>
  <c r="U85" i="12" s="1"/>
  <c r="V83" i="12"/>
  <c r="U86" i="12" l="1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K56" i="12"/>
  <c r="H90" i="12" l="1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<sst xmlns="http://schemas.openxmlformats.org/spreadsheetml/2006/main" count="637" uniqueCount="127">
  <si>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</si>
  <si>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</si>
  <si>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</si>
  <si>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</si>
  <si>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</si>
  <si>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</si>
  <si>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</si>
  <si>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</si>
  <si>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</si>
  <si>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</si>
  <si>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</si>
  <si>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</si>
  <si>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</si>
  <si>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</si>
  <si>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</si>
  <si>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</si>
  <si>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</si>
  <si>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</si>
  <si>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</si>
  <si>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</si>
  <si>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</si>
  <si>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</si>
  <si>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</si>
  <si>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</si>
  <si>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</si>
  <si>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</si>
  <si>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</si>
  <si>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</si>
  <si>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</si>
  <si>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</si>
  <si>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</si>
  <si>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</si>
  <si>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</si>
  <si>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</si>
  <si>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</si>
  <si>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</si>
  <si>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</si>
  <si>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</si>
  <si>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</si>
  <si>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</si>
  <si>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</si>
  <si>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</si>
  <si>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</si>
  <si>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</si>
  <si>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</si>
  <si>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</si>
  <si>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</si>
  <si>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</si>
  <si>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</si>
  <si>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</si>
  <si>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</si>
  <si>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</si>
  <si>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</si>
  <si>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</si>
  <si>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</si>
  <si>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</si>
  <si>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</si>
  <si>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</si>
  <si>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</si>
  <si>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</si>
  <si>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</si>
  <si>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</si>
  <si>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</si>
  <si>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</si>
  <si>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</si>
  <si>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</si>
  <si>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</si>
  <si>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</si>
  <si>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</si>
  <si>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</si>
  <si>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</si>
  <si>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</si>
  <si>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</si>
  <si>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</si>
  <si>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</si>
  <si>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</si>
  <si>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</si>
  <si>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</si>
  <si>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</si>
  <si>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</si>
  <si>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</si>
  <si>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</si>
  <si>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</si>
  <si>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</si>
  <si>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</si>
  <si>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</si>
  <si>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</si>
  <si>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</si>
  <si>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</si>
  <si>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</si>
  <si>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</si>
  <si>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</si>
  <si>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</si>
  <si>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</si>
  <si>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</si>
  <si>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</si>
  <si>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</si>
  <si>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</si>
  <si>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</si>
  <si>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</si>
  <si>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</si>
  <si>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</si>
  <si>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</si>
  <si>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</si>
  <si>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</si>
  <si>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</si>
  <si>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</si>
  <si>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</si>
  <si>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</si>
  <si>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</si>
  <si>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</si>
  <si>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</si>
  <si>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</si>
  <si>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</si>
  <si>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</si>
  <si>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</si>
  <si>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</si>
  <si>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</si>
  <si>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</si>
  <si>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</si>
  <si>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</si>
  <si>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diaria. PCR (19,07%)</t>
  </si>
  <si>
    <t>prom . PCR (19,07%)</t>
  </si>
  <si>
    <t>Acum. PCR (19,07%)</t>
  </si>
  <si>
    <t>Argentina</t>
  </si>
  <si>
    <t>Ecuador</t>
  </si>
  <si>
    <t>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</si>
</sst>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59">
    <xf numFmtId="0" fontId="0" fillId="0" borderId="0"/>
    <xf numFmtId="165" fontId="99" fillId="0" borderId="0" applyFont="0" applyFill="0" applyBorder="0" applyAlignment="0" applyProtection="0"/>
    <xf numFmtId="0" fontId="112" fillId="0" borderId="0"/>
    <xf numFmtId="0" fontId="107" fillId="0" borderId="0"/>
    <xf numFmtId="0" fontId="118" fillId="0" borderId="0"/>
    <xf numFmtId="0" fontId="99" fillId="0" borderId="0"/>
    <xf numFmtId="0" fontId="98" fillId="0" borderId="0"/>
    <xf numFmtId="0" fontId="99" fillId="0" borderId="0" applyProtection="0">
      <protection locked="0"/>
    </xf>
    <xf numFmtId="9" fontId="99" fillId="0" borderId="0" applyFont="0" applyFill="0" applyBorder="0" applyAlignment="0" applyProtection="0"/>
    <xf numFmtId="0" fontId="137" fillId="38" borderId="0" applyNumberFormat="0" applyBorder="0" applyAlignment="0" applyProtection="0"/>
    <xf numFmtId="0" fontId="137" fillId="38" borderId="0" applyNumberFormat="0" applyBorder="0" applyAlignment="0" applyProtection="0"/>
    <xf numFmtId="0" fontId="137" fillId="39" borderId="0" applyNumberFormat="0" applyBorder="0" applyAlignment="0" applyProtection="0"/>
    <xf numFmtId="0" fontId="137" fillId="39" borderId="0" applyNumberFormat="0" applyBorder="0" applyAlignment="0" applyProtection="0"/>
    <xf numFmtId="0" fontId="137" fillId="40" borderId="0" applyNumberFormat="0" applyBorder="0" applyAlignment="0" applyProtection="0"/>
    <xf numFmtId="0" fontId="137" fillId="40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2" borderId="0" applyNumberFormat="0" applyBorder="0" applyAlignment="0" applyProtection="0"/>
    <xf numFmtId="0" fontId="137" fillId="42" borderId="0" applyNumberFormat="0" applyBorder="0" applyAlignment="0" applyProtection="0"/>
    <xf numFmtId="0" fontId="137" fillId="43" borderId="0" applyNumberFormat="0" applyBorder="0" applyAlignment="0" applyProtection="0"/>
    <xf numFmtId="0" fontId="137" fillId="43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5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6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7" borderId="0" applyNumberFormat="0" applyBorder="0" applyAlignment="0" applyProtection="0"/>
    <xf numFmtId="0" fontId="137" fillId="47" borderId="0" applyNumberFormat="0" applyBorder="0" applyAlignment="0" applyProtection="0"/>
    <xf numFmtId="0" fontId="138" fillId="48" borderId="0" applyNumberFormat="0" applyBorder="0" applyAlignment="0" applyProtection="0"/>
    <xf numFmtId="0" fontId="138" fillId="45" borderId="0" applyNumberFormat="0" applyBorder="0" applyAlignment="0" applyProtection="0"/>
    <xf numFmtId="0" fontId="138" fillId="4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1" borderId="0" applyNumberFormat="0" applyBorder="0" applyAlignment="0" applyProtection="0"/>
    <xf numFmtId="0" fontId="139" fillId="40" borderId="0" applyNumberFormat="0" applyBorder="0" applyAlignment="0" applyProtection="0"/>
    <xf numFmtId="0" fontId="140" fillId="52" borderId="53" applyNumberFormat="0" applyAlignment="0" applyProtection="0"/>
    <xf numFmtId="0" fontId="141" fillId="53" borderId="54" applyNumberFormat="0" applyAlignment="0" applyProtection="0"/>
    <xf numFmtId="0" fontId="142" fillId="0" borderId="55" applyNumberFormat="0" applyFill="0" applyAlignment="0" applyProtection="0"/>
    <xf numFmtId="167" fontId="143" fillId="0" borderId="0">
      <protection locked="0"/>
    </xf>
    <xf numFmtId="168" fontId="143" fillId="0" borderId="0">
      <protection locked="0"/>
    </xf>
    <xf numFmtId="169" fontId="143" fillId="0" borderId="0">
      <protection locked="0"/>
    </xf>
    <xf numFmtId="0" fontId="144" fillId="0" borderId="0" applyNumberFormat="0" applyFill="0" applyBorder="0" applyAlignment="0" applyProtection="0"/>
    <xf numFmtId="0" fontId="138" fillId="54" borderId="0" applyNumberFormat="0" applyBorder="0" applyAlignment="0" applyProtection="0"/>
    <xf numFmtId="0" fontId="138" fillId="55" borderId="0" applyNumberFormat="0" applyBorder="0" applyAlignment="0" applyProtection="0"/>
    <xf numFmtId="0" fontId="138" fillId="5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7" borderId="0" applyNumberFormat="0" applyBorder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71" fontId="143" fillId="0" borderId="0">
      <protection locked="0"/>
    </xf>
    <xf numFmtId="169" fontId="147" fillId="0" borderId="0">
      <protection locked="0"/>
    </xf>
    <xf numFmtId="169" fontId="147" fillId="0" borderId="0">
      <protection locked="0"/>
    </xf>
    <xf numFmtId="0" fontId="148" fillId="39" borderId="0" applyNumberFormat="0" applyBorder="0" applyAlignment="0" applyProtection="0"/>
    <xf numFmtId="172" fontId="99" fillId="0" borderId="0" applyFont="0" applyFill="0" applyBorder="0" applyAlignment="0" applyProtection="0"/>
    <xf numFmtId="0" fontId="149" fillId="58" borderId="0" applyNumberFormat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173" fontId="143" fillId="0" borderId="0">
      <protection locked="0"/>
    </xf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50" fillId="52" borderId="57" applyNumberFormat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7" fillId="0" borderId="0"/>
    <xf numFmtId="0" fontId="9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10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7" fillId="0" borderId="0"/>
    <xf numFmtId="0" fontId="107" fillId="0" borderId="0"/>
    <xf numFmtId="0" fontId="10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43" fontId="136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99" fillId="0" borderId="0"/>
    <xf numFmtId="0" fontId="137" fillId="0" borderId="0"/>
    <xf numFmtId="0" fontId="137" fillId="0" borderId="0"/>
    <xf numFmtId="0" fontId="13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9" fontId="99" fillId="0" borderId="0" applyFont="0" applyFill="0" applyBorder="0" applyAlignment="0" applyProtection="0"/>
    <xf numFmtId="0" fontId="144" fillId="0" borderId="62" applyNumberFormat="0" applyFill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4" fillId="0" borderId="0"/>
    <xf numFmtId="0" fontId="118" fillId="0" borderId="0"/>
    <xf numFmtId="0" fontId="118" fillId="0" borderId="0"/>
    <xf numFmtId="0" fontId="107" fillId="0" borderId="0"/>
    <xf numFmtId="0" fontId="145" fillId="43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40" fillId="52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9" fillId="59" borderId="64" applyNumberFormat="0" applyFont="0" applyAlignment="0" applyProtection="0"/>
    <xf numFmtId="0" fontId="137" fillId="59" borderId="64" applyNumberFormat="0" applyFont="0" applyAlignment="0" applyProtection="0"/>
    <xf numFmtId="0" fontId="137" fillId="59" borderId="64" applyNumberFormat="0" applyFont="0" applyAlignment="0" applyProtection="0"/>
    <xf numFmtId="0" fontId="150" fillId="52" borderId="65" applyNumberFormat="0" applyAlignment="0" applyProtection="0"/>
    <xf numFmtId="0" fontId="144" fillId="0" borderId="66" applyNumberFormat="0" applyFill="0" applyAlignment="0" applyProtection="0"/>
    <xf numFmtId="0" fontId="156" fillId="0" borderId="67" applyNumberFormat="0" applyFill="0" applyAlignment="0" applyProtection="0"/>
    <xf numFmtId="0" fontId="93" fillId="0" borderId="0"/>
    <xf numFmtId="0" fontId="15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160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16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163" fillId="0" borderId="0"/>
    <xf numFmtId="0" fontId="71" fillId="0" borderId="0"/>
    <xf numFmtId="0" fontId="163" fillId="0" borderId="0"/>
    <xf numFmtId="0" fontId="163" fillId="0" borderId="0"/>
    <xf numFmtId="0" fontId="163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164" fontId="99" fillId="0" borderId="0" applyFont="0" applyFill="0" applyBorder="0" applyAlignment="0" applyProtection="0"/>
    <xf numFmtId="0" fontId="163" fillId="0" borderId="0"/>
    <xf numFmtId="0" fontId="69" fillId="0" borderId="0"/>
    <xf numFmtId="0" fontId="163" fillId="0" borderId="0"/>
    <xf numFmtId="0" fontId="163" fillId="0" borderId="0"/>
    <xf numFmtId="0" fontId="163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3" fillId="0" borderId="0"/>
    <xf numFmtId="0" fontId="163" fillId="0" borderId="0"/>
    <xf numFmtId="0" fontId="16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66" fillId="0" borderId="0"/>
    <xf numFmtId="0" fontId="164" fillId="0" borderId="0"/>
    <xf numFmtId="0" fontId="65" fillId="0" borderId="0"/>
    <xf numFmtId="0" fontId="164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4" fontId="99" fillId="0" borderId="0" applyFont="0" applyFill="0" applyBorder="0" applyAlignment="0" applyProtection="0"/>
    <xf numFmtId="0" fontId="99" fillId="0" borderId="0" applyProtection="0">
      <protection locked="0"/>
    </xf>
    <xf numFmtId="0" fontId="61" fillId="0" borderId="0"/>
    <xf numFmtId="0" fontId="60" fillId="0" borderId="0"/>
    <xf numFmtId="0" fontId="60" fillId="0" borderId="0"/>
    <xf numFmtId="0" fontId="60" fillId="0" borderId="0"/>
    <xf numFmtId="0" fontId="167" fillId="0" borderId="0"/>
    <xf numFmtId="0" fontId="60" fillId="0" borderId="0"/>
    <xf numFmtId="0" fontId="167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168" fillId="0" borderId="0"/>
    <xf numFmtId="0" fontId="59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9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4" fontId="99" fillId="0" borderId="0" applyFont="0" applyFill="0" applyBorder="0" applyAlignment="0" applyProtection="0"/>
    <xf numFmtId="0" fontId="46" fillId="0" borderId="0"/>
    <xf numFmtId="175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171" fillId="0" borderId="0"/>
    <xf numFmtId="0" fontId="45" fillId="0" borderId="0"/>
    <xf numFmtId="0" fontId="171" fillId="0" borderId="0"/>
    <xf numFmtId="0" fontId="171" fillId="0" borderId="0"/>
    <xf numFmtId="0" fontId="17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3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3" fillId="0" borderId="0"/>
    <xf numFmtId="0" fontId="38" fillId="0" borderId="0"/>
    <xf numFmtId="0" fontId="173" fillId="0" borderId="0"/>
    <xf numFmtId="0" fontId="173" fillId="0" borderId="0"/>
    <xf numFmtId="0" fontId="17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4" fillId="0" borderId="0"/>
    <xf numFmtId="0" fontId="174" fillId="0" borderId="0"/>
    <xf numFmtId="0" fontId="1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9" fillId="0" borderId="0"/>
    <xf numFmtId="164" fontId="9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4" fontId="99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/>
    <xf numFmtId="0" fontId="25" fillId="0" borderId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5" fillId="0" borderId="0"/>
    <xf numFmtId="0" fontId="99" fillId="0" borderId="0" applyProtection="0">
      <protection locked="0"/>
    </xf>
    <xf numFmtId="0" fontId="99" fillId="0" borderId="0" applyProtection="0">
      <protection locked="0"/>
    </xf>
    <xf numFmtId="0" fontId="177" fillId="0" borderId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9" fillId="0" borderId="0" applyProtection="0">
      <protection locked="0"/>
    </xf>
    <xf numFmtId="0" fontId="99" fillId="0" borderId="0" applyProtection="0">
      <protection locked="0"/>
    </xf>
    <xf numFmtId="179" fontId="99" fillId="0" borderId="0" applyFont="0" applyFill="0" applyBorder="0" applyAlignment="0" applyProtection="0">
      <protection locked="0"/>
    </xf>
    <xf numFmtId="0" fontId="99" fillId="0" borderId="0" applyProtection="0">
      <protection locked="0"/>
    </xf>
    <xf numFmtId="0" fontId="99" fillId="0" borderId="0" applyProtection="0">
      <protection locked="0"/>
    </xf>
    <xf numFmtId="0" fontId="99" fillId="0" borderId="0"/>
    <xf numFmtId="164" fontId="2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37" fillId="0" borderId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9" fillId="0" borderId="0" applyProtection="0">
      <protection locked="0"/>
    </xf>
    <xf numFmtId="0" fontId="99" fillId="0" borderId="0"/>
    <xf numFmtId="0" fontId="24" fillId="0" borderId="0"/>
    <xf numFmtId="176" fontId="99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9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/>
    <xf numFmtId="0" fontId="21" fillId="0" borderId="0"/>
    <xf numFmtId="164" fontId="99" fillId="0" borderId="0" applyFont="0" applyFill="0" applyBorder="0" applyAlignment="0" applyProtection="0"/>
    <xf numFmtId="0" fontId="20" fillId="0" borderId="0"/>
    <xf numFmtId="164" fontId="1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2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82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99" fillId="0" borderId="0" applyFont="0" applyFill="0" applyBorder="0" applyAlignment="0" applyProtection="0"/>
    <xf numFmtId="0" fontId="5" fillId="0" borderId="0"/>
    <xf numFmtId="0" fontId="157" fillId="0" borderId="0" applyBorder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9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9">
    <xf numFmtId="0" fontId="0" fillId="0" borderId="0" xfId="0"/>
    <xf numFmtId="0" fontId="101" fillId="0" borderId="0" xfId="0" applyFont="1"/>
    <xf numFmtId="0" fontId="102" fillId="2" borderId="0" xfId="0" applyFont="1" applyFill="1"/>
    <xf numFmtId="0" fontId="101" fillId="0" borderId="0" xfId="0" applyFont="1" applyAlignment="1">
      <alignment vertical="center"/>
    </xf>
    <xf numFmtId="0" fontId="103" fillId="0" borderId="0" xfId="0" applyFont="1"/>
    <xf numFmtId="166" fontId="100" fillId="0" borderId="1" xfId="1" applyNumberFormat="1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165" fontId="102" fillId="0" borderId="0" xfId="1" applyFont="1"/>
    <xf numFmtId="1" fontId="104" fillId="0" borderId="0" xfId="0" applyNumberFormat="1" applyFont="1" applyAlignment="1">
      <alignment horizontal="center"/>
    </xf>
    <xf numFmtId="0" fontId="102" fillId="4" borderId="2" xfId="0" applyFont="1" applyFill="1" applyBorder="1" applyAlignment="1">
      <alignment horizontal="center"/>
    </xf>
    <xf numFmtId="1" fontId="102" fillId="0" borderId="2" xfId="0" applyNumberFormat="1" applyFont="1" applyBorder="1" applyAlignment="1">
      <alignment horizontal="center"/>
    </xf>
    <xf numFmtId="0" fontId="102" fillId="0" borderId="3" xfId="0" applyFont="1" applyBorder="1" applyAlignment="1">
      <alignment horizontal="center"/>
    </xf>
    <xf numFmtId="0" fontId="102" fillId="4" borderId="4" xfId="0" applyFont="1" applyFill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99" fillId="0" borderId="0" xfId="0" applyFont="1"/>
    <xf numFmtId="165" fontId="102" fillId="5" borderId="0" xfId="1" applyFont="1" applyFill="1"/>
    <xf numFmtId="0" fontId="108" fillId="2" borderId="5" xfId="0" applyFont="1" applyFill="1" applyBorder="1" applyAlignment="1">
      <alignment vertical="center"/>
    </xf>
    <xf numFmtId="0" fontId="110" fillId="2" borderId="6" xfId="0" applyFont="1" applyFill="1" applyBorder="1"/>
    <xf numFmtId="0" fontId="102" fillId="0" borderId="0" xfId="0" applyFont="1"/>
    <xf numFmtId="0" fontId="102" fillId="3" borderId="0" xfId="0" applyFont="1" applyFill="1"/>
    <xf numFmtId="164" fontId="102" fillId="0" borderId="0" xfId="0" applyNumberFormat="1" applyFont="1"/>
    <xf numFmtId="166" fontId="111" fillId="6" borderId="7" xfId="1" applyNumberFormat="1" applyFont="1" applyFill="1" applyBorder="1"/>
    <xf numFmtId="166" fontId="102" fillId="0" borderId="2" xfId="1" applyNumberFormat="1" applyFont="1" applyBorder="1" applyAlignment="1">
      <alignment horizontal="center"/>
    </xf>
    <xf numFmtId="0" fontId="102" fillId="4" borderId="0" xfId="0" applyFont="1" applyFill="1"/>
    <xf numFmtId="1" fontId="105" fillId="8" borderId="6" xfId="0" applyNumberFormat="1" applyFont="1" applyFill="1" applyBorder="1" applyAlignment="1">
      <alignment horizontal="center"/>
    </xf>
    <xf numFmtId="0" fontId="114" fillId="2" borderId="0" xfId="0" applyFont="1" applyFill="1"/>
    <xf numFmtId="0" fontId="106" fillId="0" borderId="9" xfId="0" applyFont="1" applyBorder="1"/>
    <xf numFmtId="0" fontId="106" fillId="4" borderId="0" xfId="0" applyFont="1" applyFill="1"/>
    <xf numFmtId="1" fontId="106" fillId="0" borderId="0" xfId="0" applyNumberFormat="1" applyFont="1"/>
    <xf numFmtId="0" fontId="106" fillId="0" borderId="0" xfId="0" applyFont="1"/>
    <xf numFmtId="1" fontId="102" fillId="0" borderId="0" xfId="0" applyNumberFormat="1" applyFont="1"/>
    <xf numFmtId="0" fontId="102" fillId="0" borderId="6" xfId="0" applyFont="1" applyBorder="1"/>
    <xf numFmtId="0" fontId="114" fillId="0" borderId="0" xfId="0" applyFont="1"/>
    <xf numFmtId="166" fontId="114" fillId="0" borderId="0" xfId="1" applyNumberFormat="1" applyFont="1"/>
    <xf numFmtId="0" fontId="108" fillId="2" borderId="0" xfId="0" applyFont="1" applyFill="1" applyAlignment="1">
      <alignment vertical="center"/>
    </xf>
    <xf numFmtId="1" fontId="119" fillId="4" borderId="9" xfId="0" applyNumberFormat="1" applyFont="1" applyFill="1" applyBorder="1" applyAlignment="1">
      <alignment horizontal="center" vertical="center"/>
    </xf>
    <xf numFmtId="1" fontId="120" fillId="4" borderId="9" xfId="0" applyNumberFormat="1" applyFont="1" applyFill="1" applyBorder="1" applyAlignment="1">
      <alignment horizontal="center" vertical="center"/>
    </xf>
    <xf numFmtId="0" fontId="113" fillId="0" borderId="9" xfId="0" applyFont="1" applyBorder="1"/>
    <xf numFmtId="0" fontId="102" fillId="0" borderId="11" xfId="0" applyFont="1" applyBorder="1"/>
    <xf numFmtId="0" fontId="102" fillId="2" borderId="5" xfId="0" applyFont="1" applyFill="1" applyBorder="1"/>
    <xf numFmtId="0" fontId="102" fillId="0" borderId="4" xfId="0" applyFont="1" applyBorder="1"/>
    <xf numFmtId="0" fontId="102" fillId="0" borderId="13" xfId="0" applyFont="1" applyBorder="1"/>
    <xf numFmtId="1" fontId="102" fillId="11" borderId="14" xfId="0" applyNumberFormat="1" applyFont="1" applyFill="1" applyBorder="1" applyAlignment="1">
      <alignment horizontal="center"/>
    </xf>
    <xf numFmtId="1" fontId="102" fillId="11" borderId="15" xfId="0" applyNumberFormat="1" applyFont="1" applyFill="1" applyBorder="1" applyAlignment="1">
      <alignment horizontal="center"/>
    </xf>
    <xf numFmtId="1" fontId="102" fillId="11" borderId="10" xfId="0" applyNumberFormat="1" applyFont="1" applyFill="1" applyBorder="1" applyAlignment="1">
      <alignment horizontal="center"/>
    </xf>
    <xf numFmtId="1" fontId="102" fillId="0" borderId="14" xfId="0" applyNumberFormat="1" applyFont="1" applyBorder="1" applyAlignment="1">
      <alignment horizontal="center"/>
    </xf>
    <xf numFmtId="0" fontId="123" fillId="0" borderId="16" xfId="0" applyFont="1" applyBorder="1" applyAlignment="1">
      <alignment horizontal="center"/>
    </xf>
    <xf numFmtId="1" fontId="102" fillId="4" borderId="2" xfId="0" applyNumberFormat="1" applyFont="1" applyFill="1" applyBorder="1" applyAlignment="1">
      <alignment horizontal="center"/>
    </xf>
    <xf numFmtId="166" fontId="102" fillId="4" borderId="3" xfId="1" applyNumberFormat="1" applyFont="1" applyFill="1" applyBorder="1" applyAlignment="1">
      <alignment horizontal="center"/>
    </xf>
    <xf numFmtId="3" fontId="102" fillId="4" borderId="4" xfId="0" applyNumberFormat="1" applyFont="1" applyFill="1" applyBorder="1" applyAlignment="1">
      <alignment horizontal="center"/>
    </xf>
    <xf numFmtId="3" fontId="102" fillId="3" borderId="2" xfId="0" applyNumberFormat="1" applyFont="1" applyFill="1" applyBorder="1" applyAlignment="1">
      <alignment horizontal="center"/>
    </xf>
    <xf numFmtId="3" fontId="102" fillId="4" borderId="20" xfId="0" applyNumberFormat="1" applyFont="1" applyFill="1" applyBorder="1" applyAlignment="1">
      <alignment horizontal="center"/>
    </xf>
    <xf numFmtId="2" fontId="102" fillId="0" borderId="2" xfId="1" applyNumberFormat="1" applyFont="1" applyBorder="1" applyAlignment="1">
      <alignment horizontal="center"/>
    </xf>
    <xf numFmtId="2" fontId="102" fillId="0" borderId="0" xfId="1" applyNumberFormat="1" applyFont="1" applyAlignment="1">
      <alignment horizontal="center"/>
    </xf>
    <xf numFmtId="2" fontId="102" fillId="0" borderId="2" xfId="0" applyNumberFormat="1" applyFont="1" applyBorder="1" applyAlignment="1">
      <alignment horizontal="center"/>
    </xf>
    <xf numFmtId="166" fontId="102" fillId="0" borderId="0" xfId="1" applyNumberFormat="1" applyFont="1"/>
    <xf numFmtId="0" fontId="107" fillId="0" borderId="0" xfId="0" applyFont="1"/>
    <xf numFmtId="0" fontId="110" fillId="2" borderId="0" xfId="0" applyFont="1" applyFill="1"/>
    <xf numFmtId="0" fontId="110" fillId="0" borderId="0" xfId="0" applyFont="1"/>
    <xf numFmtId="165" fontId="100" fillId="5" borderId="0" xfId="1" applyFont="1" applyFill="1"/>
    <xf numFmtId="0" fontId="100" fillId="0" borderId="0" xfId="0" applyFont="1"/>
    <xf numFmtId="0" fontId="107" fillId="0" borderId="22" xfId="0" applyFont="1" applyBorder="1"/>
    <xf numFmtId="0" fontId="107" fillId="2" borderId="23" xfId="0" applyFont="1" applyFill="1" applyBorder="1"/>
    <xf numFmtId="165" fontId="107" fillId="0" borderId="0" xfId="1" applyFont="1"/>
    <xf numFmtId="0" fontId="114" fillId="0" borderId="21" xfId="0" applyFont="1" applyBorder="1"/>
    <xf numFmtId="0" fontId="116" fillId="0" borderId="9" xfId="0" applyFont="1" applyBorder="1"/>
    <xf numFmtId="0" fontId="116" fillId="0" borderId="0" xfId="0" applyFont="1"/>
    <xf numFmtId="0" fontId="116" fillId="0" borderId="23" xfId="0" applyFont="1" applyBorder="1"/>
    <xf numFmtId="0" fontId="116" fillId="0" borderId="24" xfId="0" applyFont="1" applyBorder="1"/>
    <xf numFmtId="0" fontId="117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2" fillId="14" borderId="19" xfId="0" applyFont="1" applyFill="1" applyBorder="1" applyAlignment="1">
      <alignment horizontal="center"/>
    </xf>
    <xf numFmtId="0" fontId="102" fillId="6" borderId="17" xfId="0" applyFont="1" applyFill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17" fillId="0" borderId="1" xfId="0" applyFont="1" applyBorder="1" applyAlignment="1">
      <alignment horizontal="center"/>
    </xf>
    <xf numFmtId="0" fontId="102" fillId="14" borderId="8" xfId="0" applyFont="1" applyFill="1" applyBorder="1" applyAlignment="1">
      <alignment horizontal="center"/>
    </xf>
    <xf numFmtId="0" fontId="102" fillId="6" borderId="8" xfId="0" applyFont="1" applyFill="1" applyBorder="1" applyAlignment="1">
      <alignment horizontal="center"/>
    </xf>
    <xf numFmtId="0" fontId="102" fillId="0" borderId="8" xfId="0" applyFont="1" applyBorder="1" applyAlignment="1">
      <alignment horizontal="center"/>
    </xf>
    <xf numFmtId="0" fontId="102" fillId="0" borderId="14" xfId="0" applyFont="1" applyBorder="1" applyAlignment="1">
      <alignment horizontal="center"/>
    </xf>
    <xf numFmtId="0" fontId="102" fillId="0" borderId="0" xfId="0" applyFont="1" applyAlignment="1">
      <alignment horizontal="center"/>
    </xf>
    <xf numFmtId="166" fontId="102" fillId="0" borderId="25" xfId="1" applyNumberFormat="1" applyFont="1" applyBorder="1" applyAlignment="1">
      <alignment horizontal="center"/>
    </xf>
    <xf numFmtId="3" fontId="120" fillId="4" borderId="7" xfId="1" applyNumberFormat="1" applyFont="1" applyFill="1" applyBorder="1" applyAlignment="1">
      <alignment horizontal="right"/>
    </xf>
    <xf numFmtId="166" fontId="102" fillId="0" borderId="7" xfId="1" applyNumberFormat="1" applyFont="1" applyBorder="1" applyAlignment="1">
      <alignment horizontal="center"/>
    </xf>
    <xf numFmtId="166" fontId="128" fillId="0" borderId="7" xfId="1" applyNumberFormat="1" applyFont="1" applyBorder="1" applyAlignment="1">
      <alignment horizontal="center"/>
    </xf>
    <xf numFmtId="0" fontId="102" fillId="0" borderId="27" xfId="0" applyFont="1" applyBorder="1"/>
    <xf numFmtId="0" fontId="102" fillId="0" borderId="28" xfId="0" applyFont="1" applyBorder="1"/>
    <xf numFmtId="3" fontId="102" fillId="0" borderId="28" xfId="0" applyNumberFormat="1" applyFont="1" applyBorder="1"/>
    <xf numFmtId="0" fontId="100" fillId="0" borderId="29" xfId="0" applyFont="1" applyBorder="1"/>
    <xf numFmtId="0" fontId="129" fillId="0" borderId="28" xfId="0" applyFont="1" applyBorder="1"/>
    <xf numFmtId="164" fontId="99" fillId="0" borderId="0" xfId="0" applyNumberFormat="1" applyFont="1"/>
    <xf numFmtId="166" fontId="111" fillId="6" borderId="30" xfId="0" applyNumberFormat="1" applyFont="1" applyFill="1" applyBorder="1" applyAlignment="1">
      <alignment horizontal="right"/>
    </xf>
    <xf numFmtId="166" fontId="127" fillId="0" borderId="7" xfId="1" applyNumberFormat="1" applyFont="1" applyBorder="1" applyAlignment="1">
      <alignment horizontal="right"/>
    </xf>
    <xf numFmtId="166" fontId="111" fillId="6" borderId="30" xfId="0" applyNumberFormat="1" applyFont="1" applyFill="1" applyBorder="1"/>
    <xf numFmtId="0" fontId="102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166" fontId="102" fillId="4" borderId="0" xfId="1" applyNumberFormat="1" applyFont="1" applyFill="1" applyAlignment="1">
      <alignment horizontal="center"/>
    </xf>
    <xf numFmtId="166" fontId="111" fillId="4" borderId="0" xfId="1" applyNumberFormat="1" applyFont="1" applyFill="1"/>
    <xf numFmtId="1" fontId="127" fillId="4" borderId="0" xfId="0" applyNumberFormat="1" applyFont="1" applyFill="1" applyAlignment="1">
      <alignment horizontal="center"/>
    </xf>
    <xf numFmtId="1" fontId="127" fillId="4" borderId="0" xfId="1" applyNumberFormat="1" applyFont="1" applyFill="1" applyAlignment="1">
      <alignment horizontal="center"/>
    </xf>
    <xf numFmtId="0" fontId="102" fillId="4" borderId="28" xfId="0" applyFont="1" applyFill="1" applyBorder="1"/>
    <xf numFmtId="166" fontId="111" fillId="4" borderId="28" xfId="0" applyNumberFormat="1" applyFont="1" applyFill="1" applyBorder="1"/>
    <xf numFmtId="165" fontId="131" fillId="0" borderId="0" xfId="1" applyFont="1"/>
    <xf numFmtId="0" fontId="132" fillId="16" borderId="14" xfId="0" applyFont="1" applyFill="1" applyBorder="1" applyAlignment="1">
      <alignment horizontal="center"/>
    </xf>
    <xf numFmtId="0" fontId="132" fillId="17" borderId="17" xfId="0" applyFont="1" applyFill="1" applyBorder="1" applyAlignment="1">
      <alignment horizontal="center"/>
    </xf>
    <xf numFmtId="0" fontId="102" fillId="18" borderId="17" xfId="0" applyFont="1" applyFill="1" applyBorder="1" applyAlignment="1">
      <alignment horizontal="center"/>
    </xf>
    <xf numFmtId="0" fontId="102" fillId="18" borderId="8" xfId="0" applyFont="1" applyFill="1" applyBorder="1" applyAlignment="1">
      <alignment horizontal="center"/>
    </xf>
    <xf numFmtId="166" fontId="111" fillId="18" borderId="7" xfId="1" applyNumberFormat="1" applyFont="1" applyFill="1" applyBorder="1"/>
    <xf numFmtId="166" fontId="111" fillId="18" borderId="30" xfId="0" applyNumberFormat="1" applyFont="1" applyFill="1" applyBorder="1"/>
    <xf numFmtId="166" fontId="111" fillId="18" borderId="7" xfId="1" applyNumberFormat="1" applyFont="1" applyFill="1" applyBorder="1" applyAlignment="1">
      <alignment horizontal="center"/>
    </xf>
    <xf numFmtId="166" fontId="102" fillId="11" borderId="14" xfId="1" applyNumberFormat="1" applyFont="1" applyFill="1" applyBorder="1" applyAlignment="1">
      <alignment horizontal="center"/>
    </xf>
    <xf numFmtId="0" fontId="133" fillId="10" borderId="14" xfId="0" applyFont="1" applyFill="1" applyBorder="1" applyAlignment="1">
      <alignment horizontal="center"/>
    </xf>
    <xf numFmtId="0" fontId="117" fillId="20" borderId="20" xfId="0" applyFont="1" applyFill="1" applyBorder="1" applyAlignment="1">
      <alignment horizontal="center" vertical="center"/>
    </xf>
    <xf numFmtId="0" fontId="130" fillId="21" borderId="20" xfId="0" applyFont="1" applyFill="1" applyBorder="1" applyAlignment="1">
      <alignment horizontal="center" vertical="center"/>
    </xf>
    <xf numFmtId="0" fontId="130" fillId="22" borderId="20" xfId="0" applyFont="1" applyFill="1" applyBorder="1" applyAlignment="1">
      <alignment horizontal="center" vertical="center"/>
    </xf>
    <xf numFmtId="0" fontId="124" fillId="23" borderId="4" xfId="0" applyFont="1" applyFill="1" applyBorder="1" applyAlignment="1">
      <alignment horizontal="center"/>
    </xf>
    <xf numFmtId="0" fontId="125" fillId="23" borderId="9" xfId="0" applyFont="1" applyFill="1" applyBorder="1"/>
    <xf numFmtId="0" fontId="102" fillId="2" borderId="28" xfId="0" applyFont="1" applyFill="1" applyBorder="1"/>
    <xf numFmtId="2" fontId="102" fillId="0" borderId="28" xfId="1" applyNumberFormat="1" applyFont="1" applyBorder="1" applyAlignment="1">
      <alignment horizontal="center"/>
    </xf>
    <xf numFmtId="2" fontId="102" fillId="0" borderId="31" xfId="0" applyNumberFormat="1" applyFont="1" applyBorder="1" applyAlignment="1">
      <alignment horizontal="center"/>
    </xf>
    <xf numFmtId="2" fontId="102" fillId="0" borderId="31" xfId="1" applyNumberFormat="1" applyFont="1" applyBorder="1" applyAlignment="1">
      <alignment horizontal="center"/>
    </xf>
    <xf numFmtId="10" fontId="134" fillId="24" borderId="17" xfId="0" applyNumberFormat="1" applyFont="1" applyFill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/>
    </xf>
    <xf numFmtId="0" fontId="102" fillId="0" borderId="37" xfId="0" applyFont="1" applyBorder="1" applyAlignment="1">
      <alignment horizontal="center" vertical="center" wrapText="1"/>
    </xf>
    <xf numFmtId="0" fontId="102" fillId="0" borderId="38" xfId="0" applyFont="1" applyBorder="1" applyAlignment="1">
      <alignment horizontal="center" vertical="center" wrapText="1"/>
    </xf>
    <xf numFmtId="1" fontId="102" fillId="0" borderId="16" xfId="0" applyNumberFormat="1" applyFont="1" applyBorder="1" applyAlignment="1">
      <alignment horizontal="center" vertical="center" wrapText="1"/>
    </xf>
    <xf numFmtId="1" fontId="102" fillId="0" borderId="7" xfId="0" applyNumberFormat="1" applyFont="1" applyBorder="1" applyAlignment="1">
      <alignment horizontal="center" vertical="center" wrapText="1"/>
    </xf>
    <xf numFmtId="1" fontId="102" fillId="0" borderId="39" xfId="0" applyNumberFormat="1" applyFont="1" applyBorder="1" applyAlignment="1">
      <alignment horizontal="center" vertical="center" wrapText="1"/>
    </xf>
    <xf numFmtId="1" fontId="102" fillId="0" borderId="26" xfId="0" applyNumberFormat="1" applyFont="1" applyBorder="1" applyAlignment="1">
      <alignment horizontal="center" vertical="center" wrapText="1"/>
    </xf>
    <xf numFmtId="2" fontId="102" fillId="0" borderId="7" xfId="0" applyNumberFormat="1" applyFont="1" applyBorder="1" applyAlignment="1">
      <alignment horizontal="center" vertical="center" wrapText="1"/>
    </xf>
    <xf numFmtId="1" fontId="102" fillId="0" borderId="35" xfId="0" applyNumberFormat="1" applyFont="1" applyBorder="1" applyAlignment="1">
      <alignment horizontal="center" vertical="center" wrapText="1"/>
    </xf>
    <xf numFmtId="1" fontId="102" fillId="0" borderId="31" xfId="0" applyNumberFormat="1" applyFont="1" applyBorder="1" applyAlignment="1">
      <alignment horizontal="center" vertical="center" wrapText="1"/>
    </xf>
    <xf numFmtId="1" fontId="102" fillId="0" borderId="32" xfId="0" applyNumberFormat="1" applyFont="1" applyBorder="1" applyAlignment="1">
      <alignment horizontal="center" vertical="center" wrapText="1"/>
    </xf>
    <xf numFmtId="1" fontId="102" fillId="0" borderId="33" xfId="0" applyNumberFormat="1" applyFont="1" applyBorder="1" applyAlignment="1">
      <alignment horizontal="center" vertical="center" wrapText="1"/>
    </xf>
    <xf numFmtId="1" fontId="102" fillId="0" borderId="11" xfId="0" applyNumberFormat="1" applyFont="1" applyBorder="1" applyAlignment="1">
      <alignment horizontal="center" vertical="center" wrapText="1"/>
    </xf>
    <xf numFmtId="1" fontId="102" fillId="0" borderId="4" xfId="0" applyNumberFormat="1" applyFont="1" applyBorder="1" applyAlignment="1">
      <alignment horizontal="center" vertical="center" wrapText="1"/>
    </xf>
    <xf numFmtId="2" fontId="102" fillId="0" borderId="31" xfId="0" applyNumberFormat="1" applyFont="1" applyBorder="1" applyAlignment="1">
      <alignment horizontal="center" vertical="center" wrapText="1"/>
    </xf>
    <xf numFmtId="165" fontId="102" fillId="0" borderId="32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/>
    </xf>
    <xf numFmtId="165" fontId="102" fillId="0" borderId="32" xfId="1" applyFont="1" applyBorder="1" applyAlignment="1">
      <alignment horizontal="center" vertical="center"/>
    </xf>
    <xf numFmtId="0" fontId="102" fillId="25" borderId="37" xfId="0" applyFont="1" applyFill="1" applyBorder="1" applyAlignment="1">
      <alignment horizontal="center" vertical="center" wrapText="1"/>
    </xf>
    <xf numFmtId="0" fontId="102" fillId="25" borderId="38" xfId="0" applyFont="1" applyFill="1" applyBorder="1" applyAlignment="1">
      <alignment horizontal="center" vertical="center" wrapText="1"/>
    </xf>
    <xf numFmtId="0" fontId="102" fillId="25" borderId="41" xfId="0" applyFont="1" applyFill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/>
    </xf>
    <xf numFmtId="1" fontId="102" fillId="0" borderId="14" xfId="0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/>
    </xf>
    <xf numFmtId="0" fontId="102" fillId="0" borderId="8" xfId="0" applyFont="1" applyBorder="1" applyAlignment="1">
      <alignment horizontal="center" vertical="center" wrapText="1"/>
    </xf>
    <xf numFmtId="0" fontId="102" fillId="0" borderId="10" xfId="0" applyFont="1" applyBorder="1" applyAlignment="1">
      <alignment horizontal="center" vertical="center" wrapText="1"/>
    </xf>
    <xf numFmtId="166" fontId="102" fillId="0" borderId="25" xfId="1" applyNumberFormat="1" applyFont="1" applyBorder="1" applyAlignment="1">
      <alignment horizontal="center" vertical="center"/>
    </xf>
    <xf numFmtId="166" fontId="102" fillId="0" borderId="26" xfId="1" applyNumberFormat="1" applyFont="1" applyBorder="1" applyAlignment="1">
      <alignment horizontal="center" vertical="center"/>
    </xf>
    <xf numFmtId="166" fontId="102" fillId="26" borderId="7" xfId="1" applyNumberFormat="1" applyFont="1" applyFill="1" applyBorder="1" applyAlignment="1">
      <alignment horizontal="center" vertical="center"/>
    </xf>
    <xf numFmtId="0" fontId="102" fillId="27" borderId="7" xfId="0" applyFont="1" applyFill="1" applyBorder="1" applyAlignment="1">
      <alignment horizontal="center" vertical="center" wrapText="1"/>
    </xf>
    <xf numFmtId="17" fontId="99" fillId="27" borderId="25" xfId="0" quotePrefix="1" applyNumberFormat="1" applyFont="1" applyFill="1" applyBorder="1"/>
    <xf numFmtId="0" fontId="99" fillId="27" borderId="26" xfId="0" applyFont="1" applyFill="1" applyBorder="1"/>
    <xf numFmtId="1" fontId="102" fillId="4" borderId="0" xfId="0" applyNumberFormat="1" applyFont="1" applyFill="1"/>
    <xf numFmtId="164" fontId="115" fillId="4" borderId="0" xfId="0" applyNumberFormat="1" applyFont="1" applyFill="1"/>
    <xf numFmtId="0" fontId="99" fillId="4" borderId="0" xfId="0" applyFont="1" applyFill="1"/>
    <xf numFmtId="164" fontId="102" fillId="4" borderId="0" xfId="0" applyNumberFormat="1" applyFont="1" applyFill="1"/>
    <xf numFmtId="164" fontId="99" fillId="4" borderId="0" xfId="0" applyNumberFormat="1" applyFont="1" applyFill="1"/>
    <xf numFmtId="166" fontId="102" fillId="4" borderId="0" xfId="1" applyNumberFormat="1" applyFont="1" applyFill="1"/>
    <xf numFmtId="3" fontId="102" fillId="4" borderId="2" xfId="0" applyNumberFormat="1" applyFont="1" applyFill="1" applyBorder="1" applyAlignment="1">
      <alignment horizontal="center"/>
    </xf>
    <xf numFmtId="0" fontId="161" fillId="0" borderId="0" xfId="53341" applyFont="1"/>
    <xf numFmtId="17" fontId="99" fillId="60" borderId="34" xfId="0" applyNumberFormat="1" applyFont="1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17" fontId="99" fillId="60" borderId="68" xfId="0" quotePrefix="1" applyNumberFormat="1" applyFont="1" applyFill="1" applyBorder="1" applyAlignment="1">
      <alignment horizontal="center" vertical="center"/>
    </xf>
    <xf numFmtId="0" fontId="129" fillId="2" borderId="2" xfId="0" applyFont="1" applyFill="1" applyBorder="1"/>
    <xf numFmtId="0" fontId="129" fillId="2" borderId="28" xfId="0" applyFont="1" applyFill="1" applyBorder="1"/>
    <xf numFmtId="2" fontId="129" fillId="0" borderId="28" xfId="1" applyNumberFormat="1" applyFont="1" applyBorder="1" applyAlignment="1">
      <alignment horizontal="center"/>
    </xf>
    <xf numFmtId="2" fontId="129" fillId="0" borderId="31" xfId="0" applyNumberFormat="1" applyFont="1" applyBorder="1" applyAlignment="1">
      <alignment horizontal="center"/>
    </xf>
    <xf numFmtId="2" fontId="129" fillId="0" borderId="31" xfId="1" applyNumberFormat="1" applyFont="1" applyBorder="1" applyAlignment="1">
      <alignment horizontal="center"/>
    </xf>
    <xf numFmtId="3" fontId="102" fillId="61" borderId="2" xfId="0" applyNumberFormat="1" applyFont="1" applyFill="1" applyBorder="1" applyAlignment="1">
      <alignment horizontal="center"/>
    </xf>
    <xf numFmtId="0" fontId="100" fillId="2" borderId="0" xfId="0" applyFont="1" applyFill="1"/>
    <xf numFmtId="0" fontId="165" fillId="2" borderId="0" xfId="0" applyFont="1" applyFill="1" applyAlignment="1">
      <alignment vertical="center"/>
    </xf>
    <xf numFmtId="1" fontId="106" fillId="8" borderId="6" xfId="0" applyNumberFormat="1" applyFont="1" applyFill="1" applyBorder="1" applyAlignment="1">
      <alignment horizontal="center"/>
    </xf>
    <xf numFmtId="1" fontId="102" fillId="4" borderId="31" xfId="0" applyNumberFormat="1" applyFont="1" applyFill="1" applyBorder="1" applyAlignment="1">
      <alignment horizontal="center"/>
    </xf>
    <xf numFmtId="3" fontId="102" fillId="4" borderId="31" xfId="0" applyNumberFormat="1" applyFont="1" applyFill="1" applyBorder="1" applyAlignment="1">
      <alignment horizontal="center"/>
    </xf>
    <xf numFmtId="3" fontId="102" fillId="4" borderId="35" xfId="0" applyNumberFormat="1" applyFont="1" applyFill="1" applyBorder="1" applyAlignment="1">
      <alignment horizontal="center"/>
    </xf>
    <xf numFmtId="3" fontId="102" fillId="3" borderId="31" xfId="0" applyNumberFormat="1" applyFont="1" applyFill="1" applyBorder="1" applyAlignment="1">
      <alignment horizontal="center"/>
    </xf>
    <xf numFmtId="3" fontId="102" fillId="61" borderId="31" xfId="0" applyNumberFormat="1" applyFont="1" applyFill="1" applyBorder="1" applyAlignment="1">
      <alignment horizontal="center"/>
    </xf>
    <xf numFmtId="166" fontId="102" fillId="4" borderId="32" xfId="1" applyNumberFormat="1" applyFont="1" applyFill="1" applyBorder="1" applyAlignment="1">
      <alignment horizontal="center"/>
    </xf>
    <xf numFmtId="3" fontId="102" fillId="4" borderId="34" xfId="0" applyNumberFormat="1" applyFont="1" applyFill="1" applyBorder="1" applyAlignment="1">
      <alignment horizontal="center"/>
    </xf>
    <xf numFmtId="3" fontId="102" fillId="4" borderId="32" xfId="0" applyNumberFormat="1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17" fillId="12" borderId="21" xfId="0" applyFont="1" applyFill="1" applyBorder="1" applyAlignment="1">
      <alignment horizontal="center" vertical="center"/>
    </xf>
    <xf numFmtId="0" fontId="117" fillId="13" borderId="20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24" fillId="23" borderId="69" xfId="0" applyFont="1" applyFill="1" applyBorder="1" applyAlignment="1">
      <alignment horizontal="center"/>
    </xf>
    <xf numFmtId="0" fontId="100" fillId="0" borderId="23" xfId="0" applyFont="1" applyBorder="1"/>
    <xf numFmtId="0" fontId="100" fillId="0" borderId="0" xfId="0" applyFont="1" applyBorder="1"/>
    <xf numFmtId="0" fontId="130" fillId="15" borderId="0" xfId="0" applyFont="1" applyFill="1" applyBorder="1" applyAlignment="1">
      <alignment horizontal="center" vertical="center"/>
    </xf>
    <xf numFmtId="0" fontId="117" fillId="20" borderId="0" xfId="0" applyFont="1" applyFill="1" applyBorder="1" applyAlignment="1">
      <alignment horizontal="center" vertical="center"/>
    </xf>
    <xf numFmtId="0" fontId="117" fillId="20" borderId="1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center"/>
    </xf>
    <xf numFmtId="0" fontId="100" fillId="0" borderId="18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102" fillId="0" borderId="15" xfId="0" applyFont="1" applyBorder="1" applyAlignment="1">
      <alignment horizontal="center"/>
    </xf>
    <xf numFmtId="0" fontId="126" fillId="23" borderId="16" xfId="0" applyFont="1" applyFill="1" applyBorder="1"/>
    <xf numFmtId="1" fontId="127" fillId="0" borderId="39" xfId="0" applyNumberFormat="1" applyFont="1" applyBorder="1" applyAlignment="1">
      <alignment horizontal="center"/>
    </xf>
    <xf numFmtId="1" fontId="127" fillId="0" borderId="39" xfId="1" applyNumberFormat="1" applyFont="1" applyBorder="1" applyAlignment="1">
      <alignment horizontal="center"/>
    </xf>
    <xf numFmtId="0" fontId="102" fillId="0" borderId="29" xfId="0" applyFont="1" applyBorder="1"/>
    <xf numFmtId="0" fontId="99" fillId="0" borderId="19" xfId="0" applyFont="1" applyBorder="1"/>
    <xf numFmtId="0" fontId="99" fillId="0" borderId="43" xfId="0" applyFont="1" applyBorder="1"/>
    <xf numFmtId="0" fontId="99" fillId="0" borderId="40" xfId="0" applyFont="1" applyBorder="1"/>
    <xf numFmtId="0" fontId="99" fillId="0" borderId="23" xfId="0" applyFont="1" applyBorder="1"/>
    <xf numFmtId="0" fontId="99" fillId="0" borderId="0" xfId="0" applyFont="1" applyBorder="1"/>
    <xf numFmtId="0" fontId="117" fillId="12" borderId="9" xfId="0" applyFont="1" applyFill="1" applyBorder="1" applyAlignment="1">
      <alignment horizontal="center" vertical="center"/>
    </xf>
    <xf numFmtId="0" fontId="117" fillId="12" borderId="0" xfId="0" applyFont="1" applyFill="1" applyBorder="1" applyAlignment="1">
      <alignment horizontal="center" vertical="center"/>
    </xf>
    <xf numFmtId="0" fontId="117" fillId="13" borderId="0" xfId="0" applyFont="1" applyFill="1" applyBorder="1" applyAlignment="1">
      <alignment horizontal="center" vertical="center"/>
    </xf>
    <xf numFmtId="0" fontId="117" fillId="13" borderId="1" xfId="0" applyFont="1" applyFill="1" applyBorder="1" applyAlignment="1">
      <alignment horizontal="center" vertical="center"/>
    </xf>
    <xf numFmtId="0" fontId="102" fillId="14" borderId="46" xfId="0" applyFont="1" applyFill="1" applyBorder="1" applyAlignment="1">
      <alignment horizontal="center"/>
    </xf>
    <xf numFmtId="0" fontId="102" fillId="14" borderId="52" xfId="0" applyFont="1" applyFill="1" applyBorder="1" applyAlignment="1">
      <alignment horizontal="center"/>
    </xf>
    <xf numFmtId="166" fontId="102" fillId="0" borderId="16" xfId="1" applyNumberFormat="1" applyFont="1" applyBorder="1" applyAlignment="1">
      <alignment horizontal="center"/>
    </xf>
    <xf numFmtId="166" fontId="128" fillId="0" borderId="39" xfId="1" applyNumberFormat="1" applyFont="1" applyBorder="1" applyAlignment="1">
      <alignment horizontal="center"/>
    </xf>
    <xf numFmtId="0" fontId="102" fillId="0" borderId="71" xfId="0" applyFont="1" applyBorder="1"/>
    <xf numFmtId="0" fontId="99" fillId="0" borderId="28" xfId="0" applyFont="1" applyBorder="1"/>
    <xf numFmtId="0" fontId="129" fillId="0" borderId="72" xfId="0" applyFont="1" applyBorder="1"/>
    <xf numFmtId="0" fontId="130" fillId="21" borderId="0" xfId="0" applyFont="1" applyFill="1" applyBorder="1" applyAlignment="1">
      <alignment horizontal="center" vertical="center"/>
    </xf>
    <xf numFmtId="3" fontId="120" fillId="4" borderId="39" xfId="1" applyNumberFormat="1" applyFont="1" applyFill="1" applyBorder="1" applyAlignment="1">
      <alignment horizontal="right"/>
    </xf>
    <xf numFmtId="3" fontId="102" fillId="0" borderId="29" xfId="0" applyNumberFormat="1" applyFont="1" applyBorder="1"/>
    <xf numFmtId="0" fontId="102" fillId="16" borderId="15" xfId="0" applyFont="1" applyFill="1" applyBorder="1" applyAlignment="1">
      <alignment horizontal="center"/>
    </xf>
    <xf numFmtId="0" fontId="130" fillId="22" borderId="0" xfId="0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2" fillId="0" borderId="0" xfId="0" applyFont="1"/>
    <xf numFmtId="0" fontId="122" fillId="10" borderId="17" xfId="0" applyFont="1" applyFill="1" applyBorder="1" applyAlignment="1">
      <alignment horizontal="center" vertical="center" wrapText="1"/>
    </xf>
    <xf numFmtId="0" fontId="102" fillId="6" borderId="17" xfId="0" applyFont="1" applyFill="1" applyBorder="1" applyAlignment="1">
      <alignment horizontal="center" vertical="center" wrapText="1"/>
    </xf>
    <xf numFmtId="0" fontId="99" fillId="0" borderId="22" xfId="0" applyFont="1" applyBorder="1"/>
    <xf numFmtId="0" fontId="99" fillId="0" borderId="24" xfId="0" applyFont="1" applyBorder="1"/>
    <xf numFmtId="0" fontId="99" fillId="0" borderId="9" xfId="0" applyFont="1" applyBorder="1"/>
    <xf numFmtId="0" fontId="99" fillId="0" borderId="1" xfId="0" applyFont="1" applyBorder="1"/>
    <xf numFmtId="0" fontId="170" fillId="0" borderId="9" xfId="0" applyFont="1" applyBorder="1"/>
    <xf numFmtId="0" fontId="99" fillId="0" borderId="74" xfId="0" applyFont="1" applyBorder="1"/>
    <xf numFmtId="0" fontId="99" fillId="0" borderId="75" xfId="0" applyFont="1" applyBorder="1"/>
    <xf numFmtId="0" fontId="0" fillId="0" borderId="75" xfId="0" applyBorder="1"/>
    <xf numFmtId="3" fontId="102" fillId="4" borderId="3" xfId="0" applyNumberFormat="1" applyFont="1" applyFill="1" applyBorder="1" applyAlignment="1">
      <alignment horizontal="center"/>
    </xf>
    <xf numFmtId="0" fontId="170" fillId="0" borderId="0" xfId="0" applyFont="1"/>
    <xf numFmtId="0" fontId="99" fillId="60" borderId="0" xfId="0" applyFont="1" applyFill="1" applyBorder="1" applyAlignment="1">
      <alignment horizontal="center" vertical="center" wrapText="1"/>
    </xf>
    <xf numFmtId="17" fontId="99" fillId="60" borderId="43" xfId="0" quotePrefix="1" applyNumberFormat="1" applyFont="1" applyFill="1" applyBorder="1" applyAlignment="1">
      <alignment horizontal="center" vertical="center"/>
    </xf>
    <xf numFmtId="0" fontId="102" fillId="25" borderId="7" xfId="0" applyFont="1" applyFill="1" applyBorder="1" applyAlignment="1">
      <alignment horizontal="center" vertical="center" wrapText="1"/>
    </xf>
    <xf numFmtId="165" fontId="102" fillId="0" borderId="7" xfId="1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/>
    </xf>
    <xf numFmtId="0" fontId="123" fillId="3" borderId="12" xfId="0" applyFont="1" applyFill="1" applyBorder="1" applyAlignment="1">
      <alignment horizontal="center"/>
    </xf>
    <xf numFmtId="0" fontId="123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70" fillId="0" borderId="0" xfId="0" applyNumberFormat="1" applyFont="1"/>
    <xf numFmtId="0" fontId="117" fillId="2" borderId="0" xfId="0" applyFont="1" applyFill="1"/>
    <xf numFmtId="0" fontId="175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70" fillId="0" borderId="9" xfId="0" applyNumberFormat="1" applyFont="1" applyBorder="1"/>
    <xf numFmtId="3" fontId="102" fillId="0" borderId="17" xfId="0" applyNumberFormat="1" applyFont="1" applyBorder="1" applyAlignment="1">
      <alignment horizontal="center"/>
    </xf>
    <xf numFmtId="3" fontId="102" fillId="0" borderId="7" xfId="0" applyNumberFormat="1" applyFont="1" applyBorder="1" applyAlignment="1">
      <alignment horizontal="center"/>
    </xf>
    <xf numFmtId="0" fontId="111" fillId="2" borderId="0" xfId="0" applyFont="1" applyFill="1"/>
    <xf numFmtId="17" fontId="179" fillId="9" borderId="8" xfId="0" quotePrefix="1" applyNumberFormat="1" applyFont="1" applyFill="1" applyBorder="1"/>
    <xf numFmtId="1" fontId="180" fillId="9" borderId="0" xfId="0" applyNumberFormat="1" applyFont="1" applyFill="1"/>
    <xf numFmtId="0" fontId="180" fillId="9" borderId="10" xfId="0" applyFont="1" applyFill="1" applyBorder="1"/>
    <xf numFmtId="0" fontId="181" fillId="2" borderId="6" xfId="0" applyFont="1" applyFill="1" applyBorder="1"/>
    <xf numFmtId="0" fontId="111" fillId="2" borderId="0" xfId="0" applyFont="1" applyFill="1" applyAlignment="1">
      <alignment horizontal="left"/>
    </xf>
    <xf numFmtId="0" fontId="107" fillId="63" borderId="23" xfId="0" applyFont="1" applyFill="1" applyBorder="1" applyAlignment="1">
      <alignment horizontal="center"/>
    </xf>
    <xf numFmtId="0" fontId="122" fillId="64" borderId="12" xfId="0" applyFont="1" applyFill="1" applyBorder="1"/>
    <xf numFmtId="0" fontId="122" fillId="64" borderId="6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" fontId="117" fillId="62" borderId="8" xfId="0" applyNumberFormat="1" applyFont="1" applyFill="1" applyBorder="1" applyAlignment="1">
      <alignment horizontal="center" vertical="center" wrapText="1"/>
    </xf>
    <xf numFmtId="1" fontId="117" fillId="62" borderId="5" xfId="0" applyNumberFormat="1" applyFont="1" applyFill="1" applyBorder="1" applyAlignment="1">
      <alignment horizontal="center" vertical="center" wrapText="1"/>
    </xf>
    <xf numFmtId="1" fontId="117" fillId="62" borderId="10" xfId="0" applyNumberFormat="1" applyFont="1" applyFill="1" applyBorder="1" applyAlignment="1">
      <alignment horizontal="center" vertical="center" wrapText="1"/>
    </xf>
    <xf numFmtId="4" fontId="102" fillId="0" borderId="0" xfId="0" applyNumberFormat="1" applyFont="1"/>
    <xf numFmtId="4" fontId="107" fillId="0" borderId="0" xfId="0" applyNumberFormat="1" applyFont="1"/>
    <xf numFmtId="3" fontId="102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2" fillId="4" borderId="0" xfId="0" applyNumberFormat="1" applyFont="1" applyFill="1" applyBorder="1"/>
    <xf numFmtId="166" fontId="102" fillId="0" borderId="0" xfId="0" applyNumberFormat="1" applyFont="1"/>
    <xf numFmtId="2" fontId="0" fillId="0" borderId="75" xfId="0" applyNumberFormat="1" applyBorder="1"/>
    <xf numFmtId="1" fontId="104" fillId="62" borderId="8" xfId="0" applyNumberFormat="1" applyFont="1" applyFill="1" applyBorder="1" applyAlignment="1">
      <alignment horizontal="center" vertical="center" wrapText="1"/>
    </xf>
    <xf numFmtId="1" fontId="102" fillId="60" borderId="25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7" fontId="178" fillId="65" borderId="25" xfId="0" quotePrefix="1" applyNumberFormat="1" applyFont="1" applyFill="1" applyBorder="1" applyAlignment="1"/>
    <xf numFmtId="17" fontId="178" fillId="65" borderId="6" xfId="0" quotePrefix="1" applyNumberFormat="1" applyFont="1" applyFill="1" applyBorder="1" applyAlignment="1"/>
    <xf numFmtId="17" fontId="178" fillId="65" borderId="26" xfId="0" quotePrefix="1" applyNumberFormat="1" applyFont="1" applyFill="1" applyBorder="1" applyAlignment="1"/>
    <xf numFmtId="1" fontId="102" fillId="4" borderId="17" xfId="0" applyNumberFormat="1" applyFont="1" applyFill="1" applyBorder="1" applyAlignment="1">
      <alignment horizontal="center"/>
    </xf>
    <xf numFmtId="1" fontId="102" fillId="4" borderId="14" xfId="0" applyNumberFormat="1" applyFont="1" applyFill="1" applyBorder="1" applyAlignment="1">
      <alignment horizontal="center"/>
    </xf>
    <xf numFmtId="1" fontId="117" fillId="62" borderId="20" xfId="0" applyNumberFormat="1" applyFont="1" applyFill="1" applyBorder="1" applyAlignment="1">
      <alignment horizontal="center" vertical="center" wrapText="1"/>
    </xf>
    <xf numFmtId="1" fontId="117" fillId="62" borderId="0" xfId="0" applyNumberFormat="1" applyFont="1" applyFill="1" applyBorder="1" applyAlignment="1">
      <alignment horizontal="center" vertical="center" wrapText="1"/>
    </xf>
    <xf numFmtId="1" fontId="117" fillId="62" borderId="21" xfId="0" applyNumberFormat="1" applyFont="1" applyFill="1" applyBorder="1" applyAlignment="1">
      <alignment horizontal="center" vertical="center" wrapText="1"/>
    </xf>
    <xf numFmtId="1" fontId="109" fillId="0" borderId="0" xfId="0" applyNumberFormat="1" applyFont="1" applyFill="1" applyAlignment="1">
      <alignment horizontal="center"/>
    </xf>
    <xf numFmtId="1" fontId="117" fillId="62" borderId="19" xfId="0" applyNumberFormat="1" applyFont="1" applyFill="1" applyBorder="1" applyAlignment="1">
      <alignment horizontal="center" vertical="center" wrapText="1"/>
    </xf>
    <xf numFmtId="1" fontId="117" fillId="62" borderId="43" xfId="0" applyNumberFormat="1" applyFont="1" applyFill="1" applyBorder="1" applyAlignment="1">
      <alignment horizontal="center" vertical="center" wrapText="1"/>
    </xf>
    <xf numFmtId="1" fontId="117" fillId="62" borderId="40" xfId="0" applyNumberFormat="1" applyFont="1" applyFill="1" applyBorder="1" applyAlignment="1">
      <alignment horizontal="center" vertical="center" wrapText="1"/>
    </xf>
    <xf numFmtId="1" fontId="102" fillId="32" borderId="0" xfId="0" applyNumberFormat="1" applyFont="1" applyFill="1" applyAlignment="1">
      <alignment horizontal="center" vertical="center"/>
    </xf>
    <xf numFmtId="1" fontId="104" fillId="62" borderId="20" xfId="0" applyNumberFormat="1" applyFont="1" applyFill="1" applyBorder="1" applyAlignment="1">
      <alignment horizontal="center" vertical="center" wrapText="1"/>
    </xf>
    <xf numFmtId="1" fontId="104" fillId="62" borderId="0" xfId="0" applyNumberFormat="1" applyFont="1" applyFill="1" applyBorder="1" applyAlignment="1">
      <alignment horizontal="center" vertical="center" wrapText="1"/>
    </xf>
    <xf numFmtId="1" fontId="104" fillId="62" borderId="21" xfId="0" applyNumberFormat="1" applyFont="1" applyFill="1" applyBorder="1" applyAlignment="1">
      <alignment horizontal="center" vertical="center" wrapText="1"/>
    </xf>
    <xf numFmtId="1" fontId="102" fillId="0" borderId="43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43" xfId="0" applyNumberFormat="1" applyFont="1" applyFill="1" applyBorder="1" applyAlignment="1">
      <alignment horizontal="center" vertical="center" wrapText="1"/>
    </xf>
    <xf numFmtId="1" fontId="104" fillId="62" borderId="40" xfId="0" applyNumberFormat="1" applyFont="1" applyFill="1" applyBorder="1" applyAlignment="1">
      <alignment horizontal="center" vertical="center" wrapText="1"/>
    </xf>
    <xf numFmtId="0" fontId="99" fillId="30" borderId="47" xfId="0" applyFont="1" applyFill="1" applyBorder="1" applyAlignment="1">
      <alignment horizontal="center"/>
    </xf>
    <xf numFmtId="0" fontId="99" fillId="30" borderId="45" xfId="0" applyFont="1" applyFill="1" applyBorder="1" applyAlignment="1">
      <alignment horizontal="center"/>
    </xf>
    <xf numFmtId="0" fontId="99" fillId="30" borderId="48" xfId="0" applyFont="1" applyFill="1" applyBorder="1" applyAlignment="1">
      <alignment horizontal="center"/>
    </xf>
    <xf numFmtId="0" fontId="99" fillId="31" borderId="49" xfId="0" applyFont="1" applyFill="1" applyBorder="1" applyAlignment="1">
      <alignment horizontal="center"/>
    </xf>
    <xf numFmtId="0" fontId="99" fillId="31" borderId="50" xfId="0" applyFont="1" applyFill="1" applyBorder="1" applyAlignment="1">
      <alignment horizontal="center"/>
    </xf>
    <xf numFmtId="0" fontId="99" fillId="31" borderId="51" xfId="0" applyFont="1" applyFill="1" applyBorder="1" applyAlignment="1">
      <alignment horizontal="center"/>
    </xf>
    <xf numFmtId="0" fontId="117" fillId="12" borderId="22" xfId="0" applyFont="1" applyFill="1" applyBorder="1" applyAlignment="1">
      <alignment horizontal="center" vertical="center"/>
    </xf>
    <xf numFmtId="0" fontId="117" fillId="12" borderId="23" xfId="0" applyFont="1" applyFill="1" applyBorder="1" applyAlignment="1">
      <alignment horizontal="center" vertical="center"/>
    </xf>
    <xf numFmtId="0" fontId="117" fillId="12" borderId="44" xfId="0" applyFont="1" applyFill="1" applyBorder="1" applyAlignment="1">
      <alignment horizontal="center" vertical="center"/>
    </xf>
    <xf numFmtId="0" fontId="117" fillId="13" borderId="70" xfId="0" applyFont="1" applyFill="1" applyBorder="1" applyAlignment="1">
      <alignment horizontal="center" vertical="center"/>
    </xf>
    <xf numFmtId="0" fontId="117" fillId="13" borderId="23" xfId="0" applyFont="1" applyFill="1" applyBorder="1" applyAlignment="1">
      <alignment horizontal="center" vertical="center"/>
    </xf>
    <xf numFmtId="0" fontId="117" fillId="13" borderId="24" xfId="0" applyFont="1" applyFill="1" applyBorder="1" applyAlignment="1">
      <alignment horizontal="center" vertical="center"/>
    </xf>
    <xf numFmtId="1" fontId="102" fillId="19" borderId="25" xfId="0" applyNumberFormat="1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/>
    </xf>
    <xf numFmtId="1" fontId="105" fillId="8" borderId="6" xfId="0" applyNumberFormat="1" applyFont="1" applyFill="1" applyBorder="1" applyAlignment="1">
      <alignment horizontal="center"/>
    </xf>
    <xf numFmtId="1" fontId="105" fillId="8" borderId="26" xfId="0" applyNumberFormat="1" applyFont="1" applyFill="1" applyBorder="1" applyAlignment="1">
      <alignment horizontal="center"/>
    </xf>
    <xf numFmtId="0" fontId="166" fillId="63" borderId="45" xfId="0" applyFont="1" applyFill="1" applyBorder="1" applyAlignment="1">
      <alignment horizontal="center"/>
    </xf>
    <xf numFmtId="0" fontId="107" fillId="34" borderId="23" xfId="0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6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7" fillId="29" borderId="23" xfId="0" applyFont="1" applyFill="1" applyBorder="1" applyAlignment="1">
      <alignment horizontal="center"/>
    </xf>
    <xf numFmtId="0" fontId="107" fillId="29" borderId="44" xfId="0" applyFont="1" applyFill="1" applyBorder="1" applyAlignment="1">
      <alignment horizontal="center"/>
    </xf>
    <xf numFmtId="1" fontId="99" fillId="7" borderId="22" xfId="0" applyNumberFormat="1" applyFont="1" applyFill="1" applyBorder="1" applyAlignment="1">
      <alignment horizontal="center" vertical="center"/>
    </xf>
    <xf numFmtId="1" fontId="99" fillId="7" borderId="23" xfId="0" applyNumberFormat="1" applyFont="1" applyFill="1" applyBorder="1" applyAlignment="1">
      <alignment horizontal="center" vertical="center"/>
    </xf>
    <xf numFmtId="1" fontId="99" fillId="7" borderId="24" xfId="0" applyNumberFormat="1" applyFont="1" applyFill="1" applyBorder="1" applyAlignment="1">
      <alignment horizontal="center" vertical="center"/>
    </xf>
    <xf numFmtId="1" fontId="99" fillId="7" borderId="9" xfId="0" applyNumberFormat="1" applyFont="1" applyFill="1" applyBorder="1" applyAlignment="1">
      <alignment horizontal="center" vertical="center"/>
    </xf>
    <xf numFmtId="1" fontId="99" fillId="7" borderId="0" xfId="0" applyNumberFormat="1" applyFont="1" applyFill="1" applyBorder="1" applyAlignment="1">
      <alignment horizontal="center" vertical="center"/>
    </xf>
    <xf numFmtId="1" fontId="99" fillId="7" borderId="1" xfId="0" applyNumberFormat="1" applyFont="1" applyFill="1" applyBorder="1" applyAlignment="1">
      <alignment horizontal="center" vertical="center"/>
    </xf>
    <xf numFmtId="1" fontId="99" fillId="7" borderId="52" xfId="0" applyNumberFormat="1" applyFont="1" applyFill="1" applyBorder="1" applyAlignment="1">
      <alignment horizontal="center" vertical="center"/>
    </xf>
    <xf numFmtId="1" fontId="99" fillId="7" borderId="5" xfId="0" applyNumberFormat="1" applyFont="1" applyFill="1" applyBorder="1" applyAlignment="1">
      <alignment horizontal="center" vertical="center"/>
    </xf>
    <xf numFmtId="1" fontId="99" fillId="7" borderId="73" xfId="0" applyNumberFormat="1" applyFont="1" applyFill="1" applyBorder="1" applyAlignment="1">
      <alignment horizontal="center" vertical="center"/>
    </xf>
    <xf numFmtId="0" fontId="99" fillId="35" borderId="47" xfId="0" applyFont="1" applyFill="1" applyBorder="1" applyAlignment="1">
      <alignment horizontal="center"/>
    </xf>
    <xf numFmtId="0" fontId="99" fillId="35" borderId="45" xfId="0" applyFont="1" applyFill="1" applyBorder="1" applyAlignment="1">
      <alignment horizontal="center"/>
    </xf>
    <xf numFmtId="0" fontId="99" fillId="35" borderId="48" xfId="0" applyFont="1" applyFill="1" applyBorder="1" applyAlignment="1">
      <alignment horizontal="center"/>
    </xf>
    <xf numFmtId="1" fontId="135" fillId="33" borderId="25" xfId="0" applyNumberFormat="1" applyFont="1" applyFill="1" applyBorder="1" applyAlignment="1">
      <alignment horizontal="center"/>
    </xf>
    <xf numFmtId="1" fontId="135" fillId="33" borderId="6" xfId="0" applyNumberFormat="1" applyFont="1" applyFill="1" applyBorder="1" applyAlignment="1">
      <alignment horizontal="center"/>
    </xf>
    <xf numFmtId="1" fontId="135" fillId="33" borderId="26" xfId="0" applyNumberFormat="1" applyFont="1" applyFill="1" applyBorder="1" applyAlignment="1">
      <alignment horizontal="center"/>
    </xf>
    <xf numFmtId="1" fontId="102" fillId="60" borderId="25" xfId="0" applyNumberFormat="1" applyFont="1" applyFill="1" applyBorder="1" applyAlignment="1">
      <alignment horizontal="center"/>
    </xf>
    <xf numFmtId="1" fontId="102" fillId="60" borderId="6" xfId="0" applyNumberFormat="1" applyFont="1" applyFill="1" applyBorder="1" applyAlignment="1">
      <alignment horizontal="center"/>
    </xf>
    <xf numFmtId="1" fontId="102" fillId="60" borderId="26" xfId="0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22" fillId="64" borderId="6" xfId="0" applyNumberFormat="1" applyFont="1" applyFill="1" applyBorder="1" applyAlignment="1">
      <alignment horizontal="center"/>
    </xf>
    <xf numFmtId="1" fontId="122" fillId="64" borderId="26" xfId="0" applyNumberFormat="1" applyFont="1" applyFill="1" applyBorder="1" applyAlignment="1">
      <alignment horizontal="center"/>
    </xf>
    <xf numFmtId="1" fontId="102" fillId="60" borderId="42" xfId="0" applyNumberFormat="1" applyFont="1" applyFill="1" applyBorder="1" applyAlignment="1">
      <alignment horizontal="center"/>
    </xf>
    <xf numFmtId="0" fontId="122" fillId="64" borderId="52" xfId="0" applyFont="1" applyFill="1" applyBorder="1" applyAlignment="1">
      <alignment horizontal="center"/>
    </xf>
    <xf numFmtId="0" fontId="122" fillId="64" borderId="5" xfId="0" applyFont="1" applyFill="1" applyBorder="1" applyAlignment="1">
      <alignment horizontal="center"/>
    </xf>
    <xf numFmtId="0" fontId="130" fillId="22" borderId="70" xfId="0" applyFont="1" applyFill="1" applyBorder="1" applyAlignment="1">
      <alignment horizontal="center" vertical="center"/>
    </xf>
    <xf numFmtId="0" fontId="130" fillId="22" borderId="23" xfId="0" applyFont="1" applyFill="1" applyBorder="1" applyAlignment="1">
      <alignment horizontal="center" vertical="center"/>
    </xf>
    <xf numFmtId="0" fontId="130" fillId="22" borderId="24" xfId="0" applyFont="1" applyFill="1" applyBorder="1" applyAlignment="1">
      <alignment horizontal="center" vertical="center"/>
    </xf>
    <xf numFmtId="0" fontId="104" fillId="22" borderId="20" xfId="0" applyFont="1" applyFill="1" applyBorder="1" applyAlignment="1">
      <alignment horizontal="center" vertical="center"/>
    </xf>
    <xf numFmtId="0" fontId="104" fillId="22" borderId="0" xfId="0" applyFont="1" applyFill="1" applyBorder="1" applyAlignment="1">
      <alignment horizontal="center" vertical="center"/>
    </xf>
    <xf numFmtId="0" fontId="104" fillId="22" borderId="1" xfId="0" applyFont="1" applyFill="1" applyBorder="1" applyAlignment="1">
      <alignment horizontal="center" vertical="center"/>
    </xf>
    <xf numFmtId="0" fontId="117" fillId="4" borderId="0" xfId="0" applyFont="1" applyFill="1" applyAlignment="1">
      <alignment horizontal="center" vertical="center"/>
    </xf>
    <xf numFmtId="0" fontId="104" fillId="4" borderId="0" xfId="0" applyFont="1" applyFill="1" applyAlignment="1">
      <alignment horizontal="center" vertical="center"/>
    </xf>
    <xf numFmtId="0" fontId="104" fillId="21" borderId="20" xfId="0" applyFont="1" applyFill="1" applyBorder="1" applyAlignment="1">
      <alignment horizontal="center" vertical="center"/>
    </xf>
    <xf numFmtId="0" fontId="104" fillId="21" borderId="0" xfId="0" applyFont="1" applyFill="1" applyBorder="1" applyAlignment="1">
      <alignment horizontal="center" vertical="center"/>
    </xf>
    <xf numFmtId="0" fontId="104" fillId="20" borderId="20" xfId="0" applyFont="1" applyFill="1" applyBorder="1" applyAlignment="1">
      <alignment horizontal="center" vertical="center"/>
    </xf>
    <xf numFmtId="0" fontId="104" fillId="20" borderId="0" xfId="0" applyFont="1" applyFill="1" applyBorder="1" applyAlignment="1">
      <alignment horizontal="center" vertical="center"/>
    </xf>
    <xf numFmtId="0" fontId="104" fillId="20" borderId="1" xfId="0" applyFont="1" applyFill="1" applyBorder="1" applyAlignment="1">
      <alignment horizontal="center" vertical="center"/>
    </xf>
    <xf numFmtId="0" fontId="130" fillId="21" borderId="70" xfId="0" applyFont="1" applyFill="1" applyBorder="1" applyAlignment="1">
      <alignment horizontal="center" vertical="center"/>
    </xf>
    <xf numFmtId="0" fontId="130" fillId="21" borderId="23" xfId="0" applyFont="1" applyFill="1" applyBorder="1" applyAlignment="1">
      <alignment horizontal="center" vertical="center"/>
    </xf>
    <xf numFmtId="0" fontId="117" fillId="20" borderId="70" xfId="0" applyFont="1" applyFill="1" applyBorder="1" applyAlignment="1">
      <alignment horizontal="center" vertical="center"/>
    </xf>
    <xf numFmtId="0" fontId="117" fillId="20" borderId="23" xfId="0" applyFont="1" applyFill="1" applyBorder="1" applyAlignment="1">
      <alignment horizontal="center" vertical="center"/>
    </xf>
    <xf numFmtId="0" fontId="117" fillId="20" borderId="24" xfId="0" applyFont="1" applyFill="1" applyBorder="1" applyAlignment="1">
      <alignment horizontal="center" vertical="center"/>
    </xf>
    <xf numFmtId="0" fontId="102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104" fillId="62" borderId="25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/>
    </xf>
    <xf numFmtId="0" fontId="104" fillId="62" borderId="6" xfId="0" applyFont="1" applyFill="1" applyBorder="1" applyAlignment="1">
      <alignment horizontal="center" vertical="center"/>
    </xf>
    <xf numFmtId="1" fontId="102" fillId="0" borderId="20" xfId="0" applyNumberFormat="1" applyFont="1" applyFill="1" applyBorder="1" applyAlignment="1">
      <alignment horizontal="center"/>
    </xf>
    <xf numFmtId="1" fontId="10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109" fillId="0" borderId="8" xfId="0" applyNumberFormat="1" applyFont="1" applyFill="1" applyBorder="1" applyAlignment="1">
      <alignment horizontal="center" vertical="center"/>
    </xf>
    <xf numFmtId="1" fontId="109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" fontId="178" fillId="65" borderId="25" xfId="0" quotePrefix="1" applyNumberFormat="1" applyFont="1" applyFill="1" applyBorder="1" applyAlignment="1">
      <alignment horizontal="center"/>
    </xf>
    <xf numFmtId="0" fontId="104" fillId="65" borderId="6" xfId="0" applyFont="1" applyFill="1" applyBorder="1" applyAlignment="1">
      <alignment horizontal="center"/>
    </xf>
    <xf numFmtId="0" fontId="104" fillId="65" borderId="26" xfId="0" applyFont="1" applyFill="1" applyBorder="1" applyAlignment="1">
      <alignment horizontal="center"/>
    </xf>
    <xf numFmtId="0" fontId="122" fillId="64" borderId="12" xfId="0" applyFont="1" applyFill="1" applyBorder="1" applyAlignment="1">
      <alignment horizontal="center"/>
    </xf>
    <xf numFmtId="0" fontId="122" fillId="64" borderId="6" xfId="0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7" fontId="178" fillId="65" borderId="5" xfId="0" quotePrefix="1" applyNumberFormat="1" applyFont="1" applyFill="1" applyBorder="1" applyAlignment="1">
      <alignment horizontal="center"/>
    </xf>
    <xf numFmtId="1" fontId="102" fillId="0" borderId="5" xfId="0" applyNumberFormat="1" applyFont="1" applyFill="1" applyBorder="1" applyAlignment="1">
      <alignment horizontal="center" vertical="center"/>
    </xf>
    <xf numFmtId="1" fontId="104" fillId="62" borderId="8" xfId="0" applyNumberFormat="1" applyFont="1" applyFill="1" applyBorder="1" applyAlignment="1">
      <alignment horizontal="center" vertical="center" wrapText="1"/>
    </xf>
    <xf numFmtId="1" fontId="104" fillId="62" borderId="5" xfId="0" applyNumberFormat="1" applyFont="1" applyFill="1" applyBorder="1" applyAlignment="1">
      <alignment horizontal="center" vertical="center" wrapText="1"/>
    </xf>
    <xf numFmtId="1" fontId="104" fillId="62" borderId="10" xfId="0" applyNumberFormat="1" applyFont="1" applyFill="1" applyBorder="1" applyAlignment="1">
      <alignment horizontal="center" vertical="center" wrapText="1"/>
    </xf>
    <xf numFmtId="1" fontId="109" fillId="28" borderId="5" xfId="0" applyNumberFormat="1" applyFont="1" applyFill="1" applyBorder="1" applyAlignment="1">
      <alignment horizontal="center" vertical="center"/>
    </xf>
    <xf numFmtId="1" fontId="104" fillId="62" borderId="12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 wrapText="1"/>
    </xf>
    <xf numFmtId="0" fontId="104" fillId="62" borderId="6" xfId="0" applyFont="1" applyFill="1" applyBorder="1" applyAlignment="1">
      <alignment horizontal="center" vertical="center" wrapText="1"/>
    </xf>
    <xf numFmtId="1" fontId="117" fillId="62" borderId="25" xfId="0" applyNumberFormat="1" applyFont="1" applyFill="1" applyBorder="1" applyAlignment="1">
      <alignment horizontal="center" vertical="center"/>
    </xf>
    <xf numFmtId="1" fontId="117" fillId="62" borderId="6" xfId="0" applyNumberFormat="1" applyFont="1" applyFill="1" applyBorder="1" applyAlignment="1">
      <alignment horizontal="center" vertical="center"/>
    </xf>
    <xf numFmtId="0" fontId="129" fillId="4" borderId="0" xfId="0" applyFont="1" applyFill="1" applyAlignment="1">
      <alignment horizontal="left" vertical="center" wrapText="1"/>
    </xf>
    <xf numFmtId="17" fontId="178" fillId="65" borderId="25" xfId="0" quotePrefix="1" applyNumberFormat="1" applyFont="1" applyFill="1" applyBorder="1" applyAlignment="1">
      <alignment horizontal="center" wrapText="1"/>
    </xf>
    <xf numFmtId="0" fontId="104" fillId="65" borderId="6" xfId="0" applyFont="1" applyFill="1" applyBorder="1" applyAlignment="1">
      <alignment horizontal="center" wrapText="1"/>
    </xf>
    <xf numFmtId="17" fontId="178" fillId="65" borderId="19" xfId="0" quotePrefix="1" applyNumberFormat="1" applyFont="1" applyFill="1" applyBorder="1" applyAlignment="1">
      <alignment horizontal="center" wrapText="1"/>
    </xf>
    <xf numFmtId="0" fontId="104" fillId="65" borderId="43" xfId="0" applyFont="1" applyFill="1" applyBorder="1" applyAlignment="1">
      <alignment horizontal="center" wrapText="1"/>
    </xf>
    <xf numFmtId="0" fontId="10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0" fontId="129" fillId="4" borderId="0" xfId="0" applyFont="1" applyFill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17" fontId="117" fillId="65" borderId="25" xfId="0" applyNumberFormat="1" applyFont="1" applyFill="1" applyBorder="1" applyAlignment="1">
      <alignment horizontal="center"/>
    </xf>
    <xf numFmtId="17" fontId="117" fillId="65" borderId="6" xfId="0" applyNumberFormat="1" applyFont="1" applyFill="1" applyBorder="1" applyAlignment="1">
      <alignment horizontal="center"/>
    </xf>
    <xf numFmtId="17" fontId="117" fillId="65" borderId="26" xfId="0" applyNumberFormat="1" applyFont="1" applyFill="1" applyBorder="1" applyAlignment="1">
      <alignment horizontal="center"/>
    </xf>
    <xf numFmtId="17" fontId="178" fillId="65" borderId="6" xfId="0" quotePrefix="1" applyNumberFormat="1" applyFont="1" applyFill="1" applyBorder="1" applyAlignment="1">
      <alignment horizontal="center"/>
    </xf>
    <xf numFmtId="17" fontId="178" fillId="65" borderId="26" xfId="0" quotePrefix="1" applyNumberFormat="1" applyFont="1" applyFill="1" applyBorder="1" applyAlignment="1">
      <alignment horizontal="center"/>
    </xf>
    <xf numFmtId="0" fontId="100" fillId="13" borderId="20" xfId="0" applyFont="1" applyFill="1" applyBorder="1" applyAlignment="1">
      <alignment horizontal="center" vertical="center"/>
    </xf>
    <xf numFmtId="0" fontId="100" fillId="13" borderId="0" xfId="0" applyFont="1" applyFill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30" fillId="15" borderId="0" xfId="0" applyFont="1" applyFill="1" applyBorder="1" applyAlignment="1">
      <alignment horizontal="center" vertical="center"/>
    </xf>
    <xf numFmtId="0" fontId="100" fillId="12" borderId="9" xfId="0" applyFont="1" applyFill="1" applyBorder="1" applyAlignment="1">
      <alignment horizontal="center" vertical="center"/>
    </xf>
    <xf numFmtId="0" fontId="100" fillId="12" borderId="0" xfId="0" applyFont="1" applyFill="1" applyBorder="1" applyAlignment="1">
      <alignment horizontal="center" vertical="center"/>
    </xf>
    <xf numFmtId="0" fontId="100" fillId="12" borderId="21" xfId="0" applyFont="1" applyFill="1" applyBorder="1" applyAlignment="1">
      <alignment horizontal="center" vertical="center"/>
    </xf>
    <xf numFmtId="0" fontId="130" fillId="15" borderId="70" xfId="0" applyFont="1" applyFill="1" applyBorder="1" applyAlignment="1">
      <alignment horizontal="center" vertical="center"/>
    </xf>
    <xf numFmtId="0" fontId="130" fillId="15" borderId="23" xfId="0" applyFont="1" applyFill="1" applyBorder="1" applyAlignment="1">
      <alignment horizontal="center" vertical="center"/>
    </xf>
    <xf numFmtId="0" fontId="99" fillId="36" borderId="17" xfId="0" applyFont="1" applyFill="1" applyBorder="1" applyAlignment="1">
      <alignment horizontal="center" vertical="center" wrapText="1"/>
    </xf>
    <xf numFmtId="0" fontId="99" fillId="37" borderId="25" xfId="0" applyFont="1" applyFill="1" applyBorder="1" applyAlignment="1">
      <alignment horizontal="center" vertical="center" wrapText="1"/>
    </xf>
    <xf numFmtId="0" fontId="99" fillId="37" borderId="6" xfId="0" applyFont="1" applyFill="1" applyBorder="1" applyAlignment="1">
      <alignment horizontal="center" vertical="center" wrapText="1"/>
    </xf>
    <xf numFmtId="0" fontId="99" fillId="37" borderId="26" xfId="0" applyFont="1" applyFill="1" applyBorder="1" applyAlignment="1">
      <alignment horizontal="center" vertical="center" wrapText="1"/>
    </xf>
    <xf numFmtId="0" fontId="99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59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illares 8" xfId="54353" xr:uid="{C925D373-0988-4948-9619-C88BEA973009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 4" xfId="54357" xr:uid="{B7DFCAF6-8F1D-4EA6-B43E-A29EBAC5AA45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 8" xfId="54358" xr:uid="{66B4A54A-D41A-4199-89FD-CE51927526AC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11" xfId="54335" xr:uid="{63933D4C-1E37-4C96-B309-98A9D430E0B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2 6" xfId="54350" xr:uid="{9B467794-0643-4351-865E-D6EB8AE1BC87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2 7" xfId="54340" xr:uid="{7FDD6043-6080-4031-8B90-3B88C4422332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3 6" xfId="54345" xr:uid="{22327DFB-C07C-481F-9827-0BAE48C5EE0E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10" xfId="54338" xr:uid="{8DA63A0E-706E-4F3F-9F0C-AF1052C10C3B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2 6" xfId="54348" xr:uid="{69A85252-B861-41F4-B983-CB341F80A334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 8" xfId="54343" xr:uid="{00B40005-A413-476E-B401-E9918B3F830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55" xfId="54333" xr:uid="{B06583DD-AFA1-46EA-A9EC-2224BADCC6D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13" xfId="54334" xr:uid="{C0F47ECA-315F-4C48-B1AE-D393CA544EAB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2 6" xfId="54349" xr:uid="{BB7BBB06-EDEE-4F43-A632-2866DD0EFFAB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2 7" xfId="54339" xr:uid="{C8D96585-F268-466C-AA31-98C9F35AFF2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3 6" xfId="54344" xr:uid="{51E64F91-1B59-46AE-A0C7-4F89BEC0845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2 6" xfId="54347" xr:uid="{A780B5FB-8DE6-4667-8A1E-1FEE7B50F0CA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 8" xfId="54337" xr:uid="{1A404E1C-B77F-4D07-BB58-B5B6E0BF63D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 7" xfId="54342" xr:uid="{34CE51F1-E1F5-41E0-AFE1-AADD45AE7688}"/>
    <cellStyle name="Normal 2 60" xfId="54272" xr:uid="{176D8123-E094-48EE-8732-72BC028B16E3}"/>
    <cellStyle name="Normal 2 61" xfId="54302" xr:uid="{B5D12282-39D1-4FD7-A47A-BD7627086059}"/>
    <cellStyle name="Normal 2 62" xfId="54332" xr:uid="{66C77D2E-6636-4789-8D19-A00B86DF0DDC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10" xfId="54336" xr:uid="{55BE9EC5-3C83-41E4-8EB5-3653BDA60B23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2 7" xfId="54351" xr:uid="{9F966C0C-E94A-4B24-9EFC-8690F15C1853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2 8" xfId="54341" xr:uid="{89D04010-B3EE-4D33-944C-2B2A42FBA89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3 7" xfId="54346" xr:uid="{E87BDF7B-78C2-4670-94B4-069D60038B53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 8" xfId="54352" xr:uid="{23EA5C5A-0034-4615-A56D-81546F12177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 6" xfId="54354" xr:uid="{36129FCD-F474-48C3-B2D7-418952E442A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 8" xfId="54355" xr:uid="{ABAC8283-AEFD-45F8-B05A-CEF10071E3AA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 7" xfId="54356" xr:uid="{BDBC943B-B4BC-41C3-A63B-F529BDFFCDA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1" defaultTableStyle="TableStyleMedium2" defaultPivotStyle="PivotStyleLight16">
    <tableStyle name="Invisible" pivot="0" table="0" count="0" xr9:uid="{A602C6D7-B386-4DC3-8D83-2882EACD2046}"/>
  </tableStyles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PCR'!$B$38:$B$68</c:f>
              <c:numCache>
                <c:formatCode>0</c:formatCode>
                <c:ptCount val="31"/>
                <c:pt idx="0">
                  <c:v>343.14156129032256</c:v>
                </c:pt>
                <c:pt idx="1">
                  <c:v>340.98671999999999</c:v>
                </c:pt>
                <c:pt idx="2">
                  <c:v>343.98265053763447</c:v>
                </c:pt>
                <c:pt idx="3">
                  <c:v>335.4169208602151</c:v>
                </c:pt>
                <c:pt idx="4">
                  <c:v>324.54683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A-456A-A6AD-BE2934B1FDBE}"/>
            </c:ext>
          </c:extLst>
        </c:ser>
        <c:ser>
          <c:idx val="1"/>
          <c:order val="1"/>
          <c:tx>
            <c:v>Medanito 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PCR'!$E$38:$E$68</c:f>
              <c:numCache>
                <c:formatCode>0</c:formatCode>
                <c:ptCount val="31"/>
                <c:pt idx="0">
                  <c:v>173.30500000000001</c:v>
                </c:pt>
                <c:pt idx="1">
                  <c:v>165.86</c:v>
                </c:pt>
                <c:pt idx="2">
                  <c:v>170.12299999999999</c:v>
                </c:pt>
                <c:pt idx="3">
                  <c:v>169.85400000000001</c:v>
                </c:pt>
                <c:pt idx="4">
                  <c:v>170.10400000000001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A-456A-A6AD-BE2934B1FDBE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PCR'!$F$38:$F$68</c:f>
              <c:numCache>
                <c:formatCode>0</c:formatCode>
                <c:ptCount val="31"/>
                <c:pt idx="0">
                  <c:v>143.00648387096774</c:v>
                </c:pt>
                <c:pt idx="1">
                  <c:v>142.71227999999999</c:v>
                </c:pt>
                <c:pt idx="2">
                  <c:v>145.61977204301076</c:v>
                </c:pt>
                <c:pt idx="3">
                  <c:v>147.36827913978496</c:v>
                </c:pt>
                <c:pt idx="4">
                  <c:v>142.51502967741934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A-456A-A6AD-BE2934B1FDBE}"/>
            </c:ext>
          </c:extLst>
        </c:ser>
        <c:ser>
          <c:idx val="3"/>
          <c:order val="3"/>
          <c:tx>
            <c:v>GAV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PCR'!$C$38:$C$68</c:f>
              <c:numCache>
                <c:formatCode>0</c:formatCode>
                <c:ptCount val="31"/>
                <c:pt idx="0">
                  <c:v>0.68495483870967744</c:v>
                </c:pt>
                <c:pt idx="1">
                  <c:v>0</c:v>
                </c:pt>
                <c:pt idx="2">
                  <c:v>1.0925774193548385</c:v>
                </c:pt>
                <c:pt idx="3">
                  <c:v>1.9618</c:v>
                </c:pt>
                <c:pt idx="4">
                  <c:v>3.6211403225806453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A-456A-A6AD-BE2934B1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Gas 9300 Kcal Mm3/d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'Prod. Total vs % PCR'!$I$38:$I$68</c:f>
              <c:numCache>
                <c:formatCode>0</c:formatCode>
                <c:ptCount val="31"/>
                <c:pt idx="0">
                  <c:v>234.60699999999997</c:v>
                </c:pt>
                <c:pt idx="1">
                  <c:v>234.0976</c:v>
                </c:pt>
                <c:pt idx="2">
                  <c:v>233.47499999999997</c:v>
                </c:pt>
                <c:pt idx="3">
                  <c:v>232.76749999999998</c:v>
                </c:pt>
                <c:pt idx="4">
                  <c:v>233.16370000000001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761-875C-0FD0111F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1264.3400000000001</c:v>
                      </c:pt>
                      <c:pt idx="1">
                        <c:v>1355.47</c:v>
                      </c:pt>
                      <c:pt idx="2">
                        <c:v>1293.0900000000001</c:v>
                      </c:pt>
                      <c:pt idx="3">
                        <c:v>1327.5400000000002</c:v>
                      </c:pt>
                      <c:pt idx="4">
                        <c:v>1226.51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35-4761-875C-0FD0111F10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Ecuador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Prodiarias!$CQ$11:$CQ$41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1090.9731276832567</c:v>
                      </c:pt>
                      <c:pt idx="1">
                        <c:v>1089.9252663380507</c:v>
                      </c:pt>
                      <c:pt idx="2">
                        <c:v>1089.0952456670377</c:v>
                      </c:pt>
                      <c:pt idx="3">
                        <c:v>1088.2811257751632</c:v>
                      </c:pt>
                      <c:pt idx="4">
                        <c:v>1068.8678645253617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35-4761-875C-0FD0111F105E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Prodiarias!$B$11:$B$41</c:f>
              <c:numCache>
                <c:formatCode>#,##0</c:formatCode>
                <c:ptCount val="31"/>
                <c:pt idx="0">
                  <c:v>677.75</c:v>
                </c:pt>
                <c:pt idx="1">
                  <c:v>744.03</c:v>
                </c:pt>
                <c:pt idx="2">
                  <c:v>702.38</c:v>
                </c:pt>
                <c:pt idx="3">
                  <c:v>729.73</c:v>
                </c:pt>
                <c:pt idx="4">
                  <c:v>662.16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7CB-B5D2-610054B6D9F0}"/>
            </c:ext>
          </c:extLst>
        </c:ser>
        <c:ser>
          <c:idx val="1"/>
          <c:order val="1"/>
          <c:tx>
            <c:v>Medanito SE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Prodiarias!$AC$11:$AC$41</c:f>
              <c:numCache>
                <c:formatCode>#,##0</c:formatCode>
                <c:ptCount val="31"/>
                <c:pt idx="0">
                  <c:v>318.86</c:v>
                </c:pt>
                <c:pt idx="1">
                  <c:v>322.91000000000003</c:v>
                </c:pt>
                <c:pt idx="2">
                  <c:v>319.72000000000003</c:v>
                </c:pt>
                <c:pt idx="3">
                  <c:v>310.89999999999998</c:v>
                </c:pt>
                <c:pt idx="4">
                  <c:v>314.04000000000002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7CB-B5D2-610054B6D9F0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Prodiarias!$AM$11:$AM$41</c:f>
              <c:numCache>
                <c:formatCode>#,##0</c:formatCode>
                <c:ptCount val="31"/>
                <c:pt idx="0">
                  <c:v>116.73</c:v>
                </c:pt>
                <c:pt idx="1">
                  <c:v>119.93</c:v>
                </c:pt>
                <c:pt idx="2">
                  <c:v>106.39</c:v>
                </c:pt>
                <c:pt idx="3">
                  <c:v>120.41</c:v>
                </c:pt>
                <c:pt idx="4">
                  <c:v>79.010000000000005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7CB-B5D2-610054B6D9F0}"/>
            </c:ext>
          </c:extLst>
        </c:ser>
        <c:ser>
          <c:idx val="3"/>
          <c:order val="3"/>
          <c:tx>
            <c:v>Sosneado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Prodiarias!$V$11:$V$41</c:f>
              <c:numCache>
                <c:formatCode>#,##0</c:formatCode>
                <c:ptCount val="31"/>
                <c:pt idx="0">
                  <c:v>151</c:v>
                </c:pt>
                <c:pt idx="1">
                  <c:v>168.6</c:v>
                </c:pt>
                <c:pt idx="2">
                  <c:v>164.6</c:v>
                </c:pt>
                <c:pt idx="3">
                  <c:v>166.5</c:v>
                </c:pt>
                <c:pt idx="4">
                  <c:v>171.3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85-47CB-B5D2-610054B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Oil 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1"/>
          <c:order val="1"/>
          <c:tx>
            <c:v>Ecuador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Prodiarias!$CQ$11:$CQ$41</c:f>
              <c:numCache>
                <c:formatCode>0</c:formatCode>
                <c:ptCount val="31"/>
                <c:pt idx="0">
                  <c:v>1090.9731276832567</c:v>
                </c:pt>
                <c:pt idx="1">
                  <c:v>1089.9252663380507</c:v>
                </c:pt>
                <c:pt idx="2">
                  <c:v>1089.0952456670377</c:v>
                </c:pt>
                <c:pt idx="3">
                  <c:v>1088.2811257751632</c:v>
                </c:pt>
                <c:pt idx="4">
                  <c:v>1068.8678645253617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C9-926A-6FC9ED706ECD}"/>
            </c:ext>
          </c:extLst>
        </c:ser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Prodiarias!$BB$11:$BB$41</c:f>
              <c:numCache>
                <c:formatCode>0</c:formatCode>
                <c:ptCount val="31"/>
                <c:pt idx="0">
                  <c:v>11.181427889966608</c:v>
                </c:pt>
                <c:pt idx="1">
                  <c:v>12.356495468277945</c:v>
                </c:pt>
                <c:pt idx="2">
                  <c:v>10.909524566703769</c:v>
                </c:pt>
                <c:pt idx="3">
                  <c:v>11.119414851327717</c:v>
                </c:pt>
                <c:pt idx="4">
                  <c:v>11.599618381300685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C9-926A-6FC9ED70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1264.3400000000001</c:v>
                      </c:pt>
                      <c:pt idx="1">
                        <c:v>1355.47</c:v>
                      </c:pt>
                      <c:pt idx="2">
                        <c:v>1293.0900000000001</c:v>
                      </c:pt>
                      <c:pt idx="3">
                        <c:v>1327.5400000000002</c:v>
                      </c:pt>
                      <c:pt idx="4">
                        <c:v>1226.51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B2-4CC9-926A-6FC9ED706ECD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677.75</c:v>
                </c:pt>
                <c:pt idx="1">
                  <c:v>744.03</c:v>
                </c:pt>
                <c:pt idx="2">
                  <c:v>702.38</c:v>
                </c:pt>
                <c:pt idx="3">
                  <c:v>729.73</c:v>
                </c:pt>
                <c:pt idx="4">
                  <c:v>662.16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151</c:v>
                </c:pt>
                <c:pt idx="1">
                  <c:v>168.6</c:v>
                </c:pt>
                <c:pt idx="2">
                  <c:v>164.6</c:v>
                </c:pt>
                <c:pt idx="3">
                  <c:v>166.5</c:v>
                </c:pt>
                <c:pt idx="4">
                  <c:v>171.3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805555555555556"/>
          <c:y val="0.81980465950628545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29DE6-C7CC-452F-AC05-C46F40C9D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6DAFB-5A68-42A4-8D7C-E0237A37D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0.23844</cdr:x>
      <cdr:y>0.0374</cdr:y>
    </cdr:from>
    <cdr:to>
      <cdr:x>0.68551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1473200" y="146056"/>
          <a:ext cx="2762250" cy="317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Gas 9300 Kcal Mm3/d</a:t>
          </a:r>
          <a:endParaRPr lang="es-AR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84AD8-6244-4C6E-9466-CDF1A28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1C28AF-F278-424C-A707-4757C7EA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0.36999</cdr:x>
      <cdr:y>0.0374</cdr:y>
    </cdr:from>
    <cdr:to>
      <cdr:x>0.65262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2286000" y="146050"/>
          <a:ext cx="1746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Oil m3/d</a:t>
          </a:r>
          <a:endParaRPr lang="es-AR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65B-8D91-49D9-BE70-35F01113C669}">
  <dimension ref="N2:AP48"/>
  <sheetViews>
    <sheetView zoomScaleNormal="100" workbookViewId="0">
      <selection activeCell="J11" sqref="J11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N2:AP48"/>
  <sheetViews>
    <sheetView zoomScaleNormal="100" workbookViewId="0">
      <selection activeCell="K2" sqref="K2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Q66"/>
  <sheetViews>
    <sheetView tabSelected="1" zoomScaleNormal="100" workbookViewId="0">
      <pane xSplit="1" ySplit="10" topLeftCell="B11" activePane="bottomRight" state="frozen"/>
      <selection activeCell="N48" sqref="N48"/>
      <selection pane="topRight" activeCell="N48" sqref="N48"/>
      <selection pane="bottomLeft" activeCell="N48" sqref="N48"/>
      <selection pane="bottomRight" activeCell="B15" sqref="B15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1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  <col min="92" max="93" width="10.6328125" customWidth="1"/>
    <col min="94" max="94" width="1.36328125" customWidth="1"/>
    <col min="95" max="95" width="13.453125" customWidth="1"/>
  </cols>
  <sheetData>
    <row r="1" spans="1:95" s="56" customFormat="1" ht="24" customHeight="1" thickBot="1" x14ac:dyDescent="0.4">
      <c r="A1" s="61"/>
      <c r="B1" s="317" t="s">
        <v>31</v>
      </c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261"/>
      <c r="AQ1" s="261"/>
      <c r="AR1" s="261"/>
      <c r="AS1" s="17"/>
      <c r="AT1" s="318" t="s">
        <v>32</v>
      </c>
      <c r="AU1" s="318"/>
      <c r="AV1" s="318"/>
      <c r="AW1" s="318"/>
      <c r="AX1" s="318"/>
      <c r="AY1" s="318"/>
      <c r="AZ1" s="318"/>
      <c r="BA1" s="62"/>
      <c r="BB1" s="323" t="s">
        <v>48</v>
      </c>
      <c r="BC1" s="323"/>
      <c r="BD1" s="323"/>
      <c r="BE1" s="323"/>
      <c r="BF1" s="323"/>
      <c r="BG1" s="324"/>
      <c r="BU1" s="63"/>
      <c r="BZ1" s="269"/>
    </row>
    <row r="2" spans="1:95" s="60" customFormat="1" ht="21" customHeight="1" thickBot="1" x14ac:dyDescent="0.4">
      <c r="A2" s="313" t="s">
        <v>29</v>
      </c>
      <c r="B2" s="314"/>
      <c r="C2" s="314"/>
      <c r="D2" s="314"/>
      <c r="E2" s="314"/>
      <c r="F2" s="314"/>
      <c r="G2" s="314"/>
      <c r="H2" s="17"/>
      <c r="I2" s="319" t="s">
        <v>29</v>
      </c>
      <c r="J2" s="320"/>
      <c r="K2" s="320"/>
      <c r="L2" s="320"/>
      <c r="M2" s="320"/>
      <c r="N2" s="320"/>
      <c r="O2" s="319" t="s">
        <v>29</v>
      </c>
      <c r="P2" s="320"/>
      <c r="Q2" s="320"/>
      <c r="R2" s="320"/>
      <c r="S2" s="320"/>
      <c r="T2" s="320"/>
      <c r="U2" s="17"/>
      <c r="V2" s="321" t="s">
        <v>18</v>
      </c>
      <c r="W2" s="322"/>
      <c r="X2" s="322"/>
      <c r="Y2" s="17"/>
      <c r="Z2" s="176"/>
      <c r="AA2" s="176"/>
      <c r="AB2" s="176"/>
      <c r="AC2" s="314" t="s">
        <v>29</v>
      </c>
      <c r="AD2" s="314"/>
      <c r="AE2" s="314"/>
      <c r="AF2" s="314"/>
      <c r="AG2" s="314"/>
      <c r="AH2" s="314"/>
      <c r="AI2" s="314"/>
      <c r="AJ2" s="314"/>
      <c r="AK2" s="314"/>
      <c r="AL2" s="17"/>
      <c r="AM2" s="24"/>
      <c r="AN2" s="24"/>
      <c r="AO2" s="24"/>
      <c r="AP2" s="24"/>
      <c r="AQ2" s="24"/>
      <c r="AR2" s="24"/>
      <c r="AS2" s="17"/>
      <c r="AT2" s="315" t="s">
        <v>18</v>
      </c>
      <c r="AU2" s="315"/>
      <c r="AV2" s="315"/>
      <c r="AW2" s="315"/>
      <c r="AX2" s="315"/>
      <c r="AY2" s="315"/>
      <c r="AZ2" s="316"/>
      <c r="BA2" s="57"/>
      <c r="BB2" s="315" t="s">
        <v>18</v>
      </c>
      <c r="BC2" s="315"/>
      <c r="BD2" s="315"/>
      <c r="BE2" s="315"/>
      <c r="BF2" s="315"/>
      <c r="BG2" s="316"/>
      <c r="BH2" s="58"/>
      <c r="BI2" s="304" t="s">
        <v>117</v>
      </c>
      <c r="BJ2" s="305"/>
      <c r="BK2" s="305"/>
      <c r="BL2" s="305"/>
      <c r="BM2" s="305"/>
      <c r="BN2" s="305"/>
      <c r="BO2" s="305"/>
      <c r="BP2" s="305"/>
      <c r="BQ2" s="305"/>
      <c r="BR2" s="305"/>
      <c r="BS2" s="305"/>
      <c r="BT2" s="306"/>
      <c r="BU2" s="59"/>
      <c r="BV2" s="301" t="s">
        <v>119</v>
      </c>
      <c r="BW2" s="302"/>
      <c r="BX2" s="302"/>
      <c r="BY2" s="302"/>
      <c r="BZ2" s="302"/>
      <c r="CA2" s="302"/>
      <c r="CB2" s="303"/>
      <c r="CN2" s="58"/>
      <c r="CO2" s="58"/>
      <c r="CP2" s="58"/>
      <c r="CQ2" s="58"/>
    </row>
    <row r="3" spans="1:95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  <c r="CN3" s="1"/>
      <c r="CO3" s="1"/>
      <c r="CP3" s="1"/>
      <c r="CQ3" s="1"/>
    </row>
    <row r="4" spans="1:95" ht="20.25" customHeight="1" x14ac:dyDescent="0.35">
      <c r="A4" s="391" t="s">
        <v>91</v>
      </c>
      <c r="B4" s="371"/>
      <c r="C4" s="371"/>
      <c r="D4" s="371"/>
      <c r="E4" s="371"/>
      <c r="F4" s="371"/>
      <c r="G4" s="371"/>
      <c r="H4" s="34"/>
      <c r="I4" s="370" t="s">
        <v>92</v>
      </c>
      <c r="J4" s="371"/>
      <c r="K4" s="371"/>
      <c r="L4" s="371"/>
      <c r="M4" s="371"/>
      <c r="N4" s="371"/>
      <c r="O4" s="372"/>
      <c r="P4" s="372"/>
      <c r="Q4" s="372"/>
      <c r="R4" s="372"/>
      <c r="S4" s="372"/>
      <c r="T4" s="372"/>
      <c r="U4" s="34"/>
      <c r="V4" s="394" t="s">
        <v>26</v>
      </c>
      <c r="W4" s="395"/>
      <c r="X4" s="395"/>
      <c r="Y4" s="34"/>
      <c r="Z4" s="293" t="s">
        <v>36</v>
      </c>
      <c r="AA4" s="293"/>
      <c r="AB4" s="293"/>
      <c r="AC4" s="392" t="s">
        <v>93</v>
      </c>
      <c r="AD4" s="392"/>
      <c r="AE4" s="392"/>
      <c r="AF4" s="392"/>
      <c r="AG4" s="392"/>
      <c r="AH4" s="392"/>
      <c r="AI4" s="392"/>
      <c r="AJ4" s="392"/>
      <c r="AK4" s="393"/>
      <c r="AL4" s="17"/>
      <c r="AM4" s="392" t="s">
        <v>94</v>
      </c>
      <c r="AN4" s="392"/>
      <c r="AO4" s="392"/>
      <c r="AP4" s="392"/>
      <c r="AQ4" s="392"/>
      <c r="AR4" s="392"/>
      <c r="AS4" s="17"/>
      <c r="AT4" s="298"/>
      <c r="AU4" s="299"/>
      <c r="AV4" s="300"/>
      <c r="AW4" s="174"/>
      <c r="AX4" s="290"/>
      <c r="AY4" s="291"/>
      <c r="AZ4" s="292"/>
      <c r="BA4" s="175"/>
      <c r="BB4" s="298"/>
      <c r="BC4" s="299"/>
      <c r="BD4" s="299"/>
      <c r="BE4" s="299"/>
      <c r="BF4" s="299"/>
      <c r="BG4" s="300"/>
      <c r="BH4" s="3"/>
      <c r="BI4" s="189"/>
      <c r="BJ4" s="419"/>
      <c r="BK4" s="420"/>
      <c r="BL4" s="420"/>
      <c r="BM4" s="420"/>
      <c r="BN4" s="420"/>
      <c r="BO4" s="420"/>
      <c r="BP4" s="190"/>
      <c r="BQ4" s="364"/>
      <c r="BR4" s="365"/>
      <c r="BS4" s="366"/>
      <c r="BT4" s="69"/>
      <c r="BU4" s="15"/>
      <c r="BV4" s="307"/>
      <c r="BW4" s="308"/>
      <c r="BX4" s="309"/>
      <c r="BY4" s="206"/>
      <c r="BZ4" s="310"/>
      <c r="CA4" s="311"/>
      <c r="CB4" s="312"/>
      <c r="CN4" s="298"/>
      <c r="CO4" s="300"/>
      <c r="CP4" s="3"/>
      <c r="CQ4" s="279"/>
    </row>
    <row r="5" spans="1:95" ht="12.75" customHeight="1" x14ac:dyDescent="0.35">
      <c r="A5" s="35"/>
      <c r="B5" s="374" t="s">
        <v>42</v>
      </c>
      <c r="C5" s="374"/>
      <c r="D5" s="374"/>
      <c r="E5" s="374"/>
      <c r="F5" s="374"/>
      <c r="G5" s="374"/>
      <c r="H5" s="34"/>
      <c r="I5" s="373" t="s">
        <v>42</v>
      </c>
      <c r="J5" s="374"/>
      <c r="K5" s="374"/>
      <c r="L5" s="374"/>
      <c r="M5" s="374"/>
      <c r="N5" s="374"/>
      <c r="O5" s="375"/>
      <c r="P5" s="375"/>
      <c r="Q5" s="375"/>
      <c r="R5" s="375"/>
      <c r="S5" s="375"/>
      <c r="T5" s="375"/>
      <c r="U5" s="34"/>
      <c r="V5" s="373" t="s">
        <v>43</v>
      </c>
      <c r="W5" s="374"/>
      <c r="X5" s="374"/>
      <c r="Y5" s="34"/>
      <c r="Z5" s="289" t="s">
        <v>44</v>
      </c>
      <c r="AA5" s="289"/>
      <c r="AB5" s="289"/>
      <c r="AC5" s="297" t="s">
        <v>42</v>
      </c>
      <c r="AD5" s="297"/>
      <c r="AE5" s="297"/>
      <c r="AF5" s="297"/>
      <c r="AG5" s="297"/>
      <c r="AH5" s="297"/>
      <c r="AI5" s="297"/>
      <c r="AJ5" s="297"/>
      <c r="AK5" s="297"/>
      <c r="AL5" s="17"/>
      <c r="AM5" s="374" t="s">
        <v>42</v>
      </c>
      <c r="AN5" s="374"/>
      <c r="AO5" s="374"/>
      <c r="AP5" s="374"/>
      <c r="AQ5" s="374"/>
      <c r="AR5" s="374"/>
      <c r="AS5" s="17"/>
      <c r="AT5" s="294" t="s">
        <v>30</v>
      </c>
      <c r="AU5" s="295"/>
      <c r="AV5" s="296"/>
      <c r="AW5" s="248"/>
      <c r="AX5" s="286" t="s">
        <v>40</v>
      </c>
      <c r="AY5" s="287"/>
      <c r="AZ5" s="288"/>
      <c r="BA5" s="249"/>
      <c r="BB5" s="294" t="s">
        <v>49</v>
      </c>
      <c r="BC5" s="295"/>
      <c r="BD5" s="295"/>
      <c r="BE5" s="295"/>
      <c r="BF5" s="295"/>
      <c r="BG5" s="296"/>
      <c r="BH5" s="3"/>
      <c r="BI5" s="115" t="s">
        <v>45</v>
      </c>
      <c r="BJ5" s="414" t="s">
        <v>19</v>
      </c>
      <c r="BK5" s="415"/>
      <c r="BL5" s="415"/>
      <c r="BM5" s="415"/>
      <c r="BN5" s="415"/>
      <c r="BO5" s="415"/>
      <c r="BP5" s="191"/>
      <c r="BQ5" s="359" t="s">
        <v>20</v>
      </c>
      <c r="BR5" s="360"/>
      <c r="BS5" s="361"/>
      <c r="BT5" s="70"/>
      <c r="BU5" s="15"/>
      <c r="BV5" s="416" t="s">
        <v>34</v>
      </c>
      <c r="BW5" s="417"/>
      <c r="BX5" s="418"/>
      <c r="BY5" s="207"/>
      <c r="BZ5" s="411" t="s">
        <v>35</v>
      </c>
      <c r="CA5" s="412"/>
      <c r="CB5" s="413"/>
      <c r="CN5" s="294" t="s">
        <v>124</v>
      </c>
      <c r="CO5" s="296"/>
      <c r="CP5" s="3"/>
      <c r="CQ5" s="280" t="s">
        <v>125</v>
      </c>
    </row>
    <row r="6" spans="1:95" ht="11.25" customHeight="1" x14ac:dyDescent="0.35">
      <c r="A6" s="36"/>
      <c r="B6" s="386" t="s">
        <v>41</v>
      </c>
      <c r="C6" s="386"/>
      <c r="D6" s="386"/>
      <c r="E6" s="386"/>
      <c r="F6" s="386"/>
      <c r="G6" s="386"/>
      <c r="H6" s="16"/>
      <c r="I6" s="376" t="s">
        <v>109</v>
      </c>
      <c r="J6" s="377"/>
      <c r="K6" s="377"/>
      <c r="L6" s="377"/>
      <c r="M6" s="377"/>
      <c r="N6" s="377"/>
      <c r="O6" s="378"/>
      <c r="P6" s="378"/>
      <c r="Q6" s="378"/>
      <c r="R6" s="378"/>
      <c r="S6" s="378"/>
      <c r="T6" s="378"/>
      <c r="U6" s="16"/>
      <c r="V6" s="376" t="s">
        <v>37</v>
      </c>
      <c r="W6" s="377"/>
      <c r="X6" s="377"/>
      <c r="Y6" s="34"/>
      <c r="Z6" s="390" t="s">
        <v>38</v>
      </c>
      <c r="AA6" s="390"/>
      <c r="AB6" s="390"/>
      <c r="AC6" s="386" t="s">
        <v>41</v>
      </c>
      <c r="AD6" s="386"/>
      <c r="AE6" s="386"/>
      <c r="AF6" s="386"/>
      <c r="AG6" s="386"/>
      <c r="AH6" s="386"/>
      <c r="AI6" s="386"/>
      <c r="AJ6" s="386"/>
      <c r="AK6" s="386"/>
      <c r="AL6" s="17"/>
      <c r="AM6" s="386" t="s">
        <v>37</v>
      </c>
      <c r="AN6" s="386"/>
      <c r="AO6" s="386"/>
      <c r="AP6" s="386"/>
      <c r="AQ6" s="386"/>
      <c r="AR6" s="386"/>
      <c r="AS6" s="17"/>
      <c r="AT6" s="387"/>
      <c r="AU6" s="388"/>
      <c r="AV6" s="389"/>
      <c r="AW6" s="248"/>
      <c r="AX6" s="265"/>
      <c r="AY6" s="266" t="s">
        <v>39</v>
      </c>
      <c r="AZ6" s="267"/>
      <c r="BA6" s="249"/>
      <c r="BB6" s="387"/>
      <c r="BC6" s="388"/>
      <c r="BD6" s="388"/>
      <c r="BE6" s="388"/>
      <c r="BF6" s="388"/>
      <c r="BG6" s="389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  <c r="CN6" s="387"/>
      <c r="CO6" s="389"/>
      <c r="CP6" s="3"/>
      <c r="CQ6" s="275"/>
    </row>
    <row r="7" spans="1:95" ht="18.75" customHeight="1" x14ac:dyDescent="0.4">
      <c r="A7" s="37"/>
      <c r="B7" s="397" t="s">
        <v>126</v>
      </c>
      <c r="C7" s="398"/>
      <c r="D7" s="398"/>
      <c r="E7" s="398"/>
      <c r="F7" s="398"/>
      <c r="G7" s="398"/>
      <c r="H7" s="255"/>
      <c r="I7" s="379" t="str">
        <f>B7</f>
        <v>Septiembre 2021</v>
      </c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1"/>
      <c r="U7" s="255"/>
      <c r="V7" s="379" t="str">
        <f>B7</f>
        <v>Septiembre 2021</v>
      </c>
      <c r="W7" s="409"/>
      <c r="X7" s="410"/>
      <c r="Y7" s="255"/>
      <c r="Z7" s="256" t="str">
        <f>V7</f>
        <v>Septiembre 2021</v>
      </c>
      <c r="AA7" s="257"/>
      <c r="AB7" s="258"/>
      <c r="AC7" s="399" t="str">
        <f>B7</f>
        <v>Septiembre 2021</v>
      </c>
      <c r="AD7" s="400"/>
      <c r="AE7" s="400"/>
      <c r="AF7" s="400"/>
      <c r="AG7" s="400"/>
      <c r="AH7" s="400"/>
      <c r="AI7" s="400"/>
      <c r="AJ7" s="400"/>
      <c r="AK7" s="400"/>
      <c r="AL7" s="259"/>
      <c r="AM7" s="397" t="str">
        <f>V7</f>
        <v>Septiembre 2021</v>
      </c>
      <c r="AN7" s="398"/>
      <c r="AO7" s="398"/>
      <c r="AP7" s="398"/>
      <c r="AQ7" s="398"/>
      <c r="AR7" s="398"/>
      <c r="AS7" s="259"/>
      <c r="AT7" s="384" t="str">
        <f>V7</f>
        <v>Septiembre 2021</v>
      </c>
      <c r="AU7" s="385"/>
      <c r="AV7" s="385"/>
      <c r="AW7" s="255"/>
      <c r="AX7" s="406" t="str">
        <f>AT7</f>
        <v>Septiembre 2021</v>
      </c>
      <c r="AY7" s="407"/>
      <c r="AZ7" s="408"/>
      <c r="BA7" s="260"/>
      <c r="BB7" s="281" t="str">
        <f>AM7</f>
        <v>Septiembre 2021</v>
      </c>
      <c r="BC7" s="282"/>
      <c r="BD7" s="282"/>
      <c r="BE7" s="282"/>
      <c r="BF7" s="282"/>
      <c r="BG7" s="283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  <c r="CN7" s="384" t="str">
        <f>+BB7</f>
        <v>Septiembre 2021</v>
      </c>
      <c r="CO7" s="385"/>
      <c r="CQ7" s="277" t="str">
        <f>+CN7</f>
        <v>Septiembre 2021</v>
      </c>
    </row>
    <row r="8" spans="1:95" ht="15.75" customHeight="1" x14ac:dyDescent="0.35">
      <c r="A8" s="38"/>
      <c r="B8" s="340" t="s">
        <v>28</v>
      </c>
      <c r="C8" s="341"/>
      <c r="D8" s="346"/>
      <c r="E8" s="382" t="s">
        <v>90</v>
      </c>
      <c r="F8" s="383"/>
      <c r="G8" s="383"/>
      <c r="H8" s="39"/>
      <c r="I8" s="382" t="s">
        <v>107</v>
      </c>
      <c r="J8" s="383"/>
      <c r="K8" s="383"/>
      <c r="L8" s="383"/>
      <c r="M8" s="383"/>
      <c r="N8" s="383"/>
      <c r="O8" s="382" t="s">
        <v>90</v>
      </c>
      <c r="P8" s="383"/>
      <c r="Q8" s="383"/>
      <c r="R8" s="383"/>
      <c r="S8" s="383"/>
      <c r="T8" s="383"/>
      <c r="U8" s="39"/>
      <c r="V8" s="340" t="s">
        <v>2</v>
      </c>
      <c r="W8" s="341"/>
      <c r="X8" s="342"/>
      <c r="Y8" s="39"/>
      <c r="Z8" s="337" t="s">
        <v>2</v>
      </c>
      <c r="AA8" s="338"/>
      <c r="AB8" s="339"/>
      <c r="AC8" s="340" t="s">
        <v>2</v>
      </c>
      <c r="AD8" s="341"/>
      <c r="AE8" s="346"/>
      <c r="AF8" s="347" t="s">
        <v>46</v>
      </c>
      <c r="AG8" s="348"/>
      <c r="AH8" s="348"/>
      <c r="AI8" s="348"/>
      <c r="AJ8" s="348"/>
      <c r="AK8" s="348"/>
      <c r="AL8" s="17"/>
      <c r="AM8" s="340" t="s">
        <v>2</v>
      </c>
      <c r="AN8" s="341"/>
      <c r="AO8" s="342"/>
      <c r="AP8" s="262" t="s">
        <v>46</v>
      </c>
      <c r="AQ8" s="263"/>
      <c r="AR8" s="264"/>
      <c r="AS8" s="17"/>
      <c r="AT8" s="340" t="s">
        <v>2</v>
      </c>
      <c r="AU8" s="341"/>
      <c r="AV8" s="342"/>
      <c r="AW8" s="2"/>
      <c r="AX8" s="340" t="s">
        <v>2</v>
      </c>
      <c r="AY8" s="341"/>
      <c r="AZ8" s="342"/>
      <c r="BA8" s="39"/>
      <c r="BB8" s="340" t="s">
        <v>2</v>
      </c>
      <c r="BC8" s="341"/>
      <c r="BD8" s="342"/>
      <c r="BE8" s="343" t="s">
        <v>47</v>
      </c>
      <c r="BF8" s="344"/>
      <c r="BG8" s="345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  <c r="CN8" s="276" t="s">
        <v>2</v>
      </c>
      <c r="CO8" s="278" t="s">
        <v>47</v>
      </c>
      <c r="CQ8" s="276" t="s">
        <v>2</v>
      </c>
    </row>
    <row r="9" spans="1:95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121</v>
      </c>
      <c r="AJ9" s="121" t="s">
        <v>122</v>
      </c>
      <c r="AK9" s="121" t="s">
        <v>123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  <c r="CN9" s="13" t="s">
        <v>15</v>
      </c>
      <c r="CO9" s="22" t="s">
        <v>15</v>
      </c>
      <c r="CQ9" s="13" t="s">
        <v>15</v>
      </c>
    </row>
    <row r="10" spans="1:95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  <c r="CN10" s="42" t="s">
        <v>33</v>
      </c>
      <c r="CO10" s="110" t="s">
        <v>53</v>
      </c>
      <c r="CQ10" s="42" t="s">
        <v>33</v>
      </c>
    </row>
    <row r="11" spans="1:95" ht="15" customHeight="1" thickBot="1" x14ac:dyDescent="0.4">
      <c r="A11" s="243">
        <v>1</v>
      </c>
      <c r="B11" s="49">
        <v>677.75</v>
      </c>
      <c r="C11" s="47">
        <f t="shared" ref="C11:C12" si="5">IF(ISBLANK(B11),"",D11/$A11)</f>
        <v>677.75</v>
      </c>
      <c r="D11" s="163">
        <f>B11</f>
        <v>677.75</v>
      </c>
      <c r="E11" s="49">
        <v>343141.56129032257</v>
      </c>
      <c r="F11" s="50">
        <f t="shared" ref="F11:F12" si="6">IF(ISBLANK(E11),"",G11/$A11)</f>
        <v>343141.56129032257</v>
      </c>
      <c r="G11" s="163">
        <f>E11</f>
        <v>343141.56129032257</v>
      </c>
      <c r="H11" s="168"/>
      <c r="I11" s="49">
        <v>40172.229032258067</v>
      </c>
      <c r="J11" s="50">
        <f t="shared" ref="J11" si="7">IF(ISBLANK(I11),"",K11/$A11)</f>
        <v>40172.229032258067</v>
      </c>
      <c r="K11" s="163">
        <f>I11</f>
        <v>40172.229032258067</v>
      </c>
      <c r="L11" s="50">
        <f t="shared" ref="L11:L12" si="8">IF(ISBLANK(I11),"",I11*0.5)</f>
        <v>20086.114516129033</v>
      </c>
      <c r="M11" s="50">
        <f t="shared" ref="M11:M12" si="9">IFERROR(J11*0.5,"")</f>
        <v>20086.114516129033</v>
      </c>
      <c r="N11" s="50">
        <f t="shared" ref="N11:N12" si="10">K11*0.5</f>
        <v>20086.114516129033</v>
      </c>
      <c r="O11" s="49">
        <v>684.95483870967746</v>
      </c>
      <c r="P11" s="50">
        <f t="shared" ref="P11" si="11">IF(ISBLANK(O11),"",Q11/$A11)</f>
        <v>684.95483870967746</v>
      </c>
      <c r="Q11" s="163">
        <f>O11</f>
        <v>684.95483870967746</v>
      </c>
      <c r="R11" s="50">
        <f t="shared" ref="R11:R12" si="12">IF(ISBLANK(O11),"",O11*0.5)</f>
        <v>342.47741935483873</v>
      </c>
      <c r="S11" s="50">
        <f t="shared" ref="S11:S12" si="13">IFERROR(P11*0.5,"")</f>
        <v>342.47741935483873</v>
      </c>
      <c r="T11" s="50">
        <f t="shared" ref="T11:T12" si="14">Q11*0.5</f>
        <v>342.47741935483873</v>
      </c>
      <c r="U11" s="168"/>
      <c r="V11" s="49">
        <v>151</v>
      </c>
      <c r="W11" s="47">
        <f t="shared" ref="W11:W12" si="15">IF(ISBLANK(V11),"",X11/$A11)</f>
        <v>151</v>
      </c>
      <c r="X11" s="163">
        <f>V11</f>
        <v>151</v>
      </c>
      <c r="Y11" s="169"/>
      <c r="Z11" s="170"/>
      <c r="AA11" s="171"/>
      <c r="AB11" s="172">
        <f>AA11</f>
        <v>0</v>
      </c>
      <c r="AC11" s="49">
        <v>318.86</v>
      </c>
      <c r="AD11" s="50">
        <f t="shared" ref="AD11" si="16">IF(ISBLANK(AC11),"",AE11/$A11)</f>
        <v>318.86</v>
      </c>
      <c r="AE11" s="163">
        <f>AC11</f>
        <v>318.86</v>
      </c>
      <c r="AF11" s="49">
        <v>173305</v>
      </c>
      <c r="AG11" s="50">
        <f t="shared" ref="AG11" si="17">IF(ISBLANK(AF11),"",AH11/$A11)</f>
        <v>173305</v>
      </c>
      <c r="AH11" s="51">
        <f>AF11</f>
        <v>173305</v>
      </c>
      <c r="AI11" s="50">
        <f>IF(AF11*0.1907=0,"",AF11*0.1907)</f>
        <v>33049.263500000001</v>
      </c>
      <c r="AJ11" s="50">
        <f>IFERROR(AG11*0.1907,"")</f>
        <v>33049.263500000001</v>
      </c>
      <c r="AK11" s="50">
        <f>AH11*0.1907</f>
        <v>33049.263500000001</v>
      </c>
      <c r="AL11" s="17"/>
      <c r="AM11" s="49">
        <v>116.73</v>
      </c>
      <c r="AN11" s="47">
        <f t="shared" ref="AN11:AN12" si="18">IF(ISBLANK(AM11),"",AO11/$A11)</f>
        <v>116.73</v>
      </c>
      <c r="AO11" s="163">
        <f>AM11</f>
        <v>116.73</v>
      </c>
      <c r="AP11" s="49">
        <v>143006.48387096773</v>
      </c>
      <c r="AQ11" s="50">
        <f t="shared" ref="AQ11" si="19">IF(ISBLANK(AP11),"",AR11/$A11)</f>
        <v>143006.48387096773</v>
      </c>
      <c r="AR11" s="51">
        <f>AP11</f>
        <v>143006.48387096773</v>
      </c>
      <c r="AS11" s="17"/>
      <c r="AT11" s="47">
        <f>borrador!G9/6.289</f>
        <v>708.508506916839</v>
      </c>
      <c r="AU11" s="47">
        <f t="shared" ref="AU11" si="20">IF(ISBLANK(AT11),"",AV11/$A11)</f>
        <v>708.508506916839</v>
      </c>
      <c r="AV11" s="51">
        <f>AT11</f>
        <v>708.508506916839</v>
      </c>
      <c r="AW11" s="2"/>
      <c r="AX11" s="51">
        <f>borrador!H9/6.289</f>
        <v>382.46462076641762</v>
      </c>
      <c r="AY11" s="51">
        <f t="shared" ref="AY11" si="21">IF(ISBLANK(AX11),"",AZ11/$A11)</f>
        <v>382.46462076641762</v>
      </c>
      <c r="AZ11" s="51">
        <f>AX11</f>
        <v>382.46462076641762</v>
      </c>
      <c r="BA11" s="2"/>
      <c r="BB11" s="47">
        <f>borrador!E9/6.289</f>
        <v>11.181427889966608</v>
      </c>
      <c r="BC11" s="47">
        <f t="shared" ref="BC11" si="22">IF(ISBLANK(BB11),"",BD11/$A11)</f>
        <v>11.181427889966608</v>
      </c>
      <c r="BD11" s="48">
        <f>BB11</f>
        <v>11.181427889966608</v>
      </c>
      <c r="BE11" s="49">
        <f>borrador!F9*0.283*100</f>
        <v>234.60699999999997</v>
      </c>
      <c r="BF11" s="50">
        <f t="shared" ref="BF11" si="23">IF(ISBLANK(BE11),"",BG11/A11)</f>
        <v>234.60699999999997</v>
      </c>
      <c r="BG11" s="237">
        <f>BE11</f>
        <v>234.60699999999997</v>
      </c>
      <c r="BI11" s="199" t="s">
        <v>7</v>
      </c>
      <c r="BJ11" s="83">
        <v>18636.87</v>
      </c>
      <c r="BK11" s="21">
        <v>18113.881325310613</v>
      </c>
      <c r="BL11" s="92">
        <f t="shared" si="4"/>
        <v>522.98867468938624</v>
      </c>
      <c r="BM11" s="254">
        <v>11848.992</v>
      </c>
      <c r="BN11" s="21">
        <v>12431.922518939962</v>
      </c>
      <c r="BO11" s="82">
        <f t="shared" si="0"/>
        <v>-582.93051893996198</v>
      </c>
      <c r="BP11" s="197"/>
      <c r="BQ11" s="83">
        <v>5157.8239791666674</v>
      </c>
      <c r="BR11" s="21">
        <v>5965.0830836107871</v>
      </c>
      <c r="BS11" s="200">
        <f t="shared" si="1"/>
        <v>-807.25910444411966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  <c r="CN11" s="284">
        <f t="shared" ref="CN11:CN41" si="24">+B11+V11+AC11+AM11</f>
        <v>1264.3400000000001</v>
      </c>
      <c r="CO11" s="284">
        <f t="shared" ref="CO11:CO41" si="25">(E11+O11+AF11+AP11)/1000</f>
        <v>660.13800000000003</v>
      </c>
      <c r="CQ11" s="284">
        <f t="shared" ref="CQ11:CQ41" si="26">+AT11+AX11</f>
        <v>1090.9731276832567</v>
      </c>
    </row>
    <row r="12" spans="1:95" ht="15" customHeight="1" thickBot="1" x14ac:dyDescent="0.4">
      <c r="A12" s="243">
        <v>2</v>
      </c>
      <c r="B12" s="49">
        <v>744.03</v>
      </c>
      <c r="C12" s="47">
        <f t="shared" si="5"/>
        <v>710.89</v>
      </c>
      <c r="D12" s="163">
        <f t="shared" ref="D12" si="27">B12+D11</f>
        <v>1421.78</v>
      </c>
      <c r="E12" s="49">
        <v>340986.72</v>
      </c>
      <c r="F12" s="50">
        <f t="shared" si="6"/>
        <v>342064.14064516127</v>
      </c>
      <c r="G12" s="163">
        <f t="shared" ref="G12" si="28">E12+G11</f>
        <v>684128.28129032254</v>
      </c>
      <c r="H12" s="168"/>
      <c r="I12" s="49">
        <v>41571.919354838712</v>
      </c>
      <c r="J12" s="50">
        <f t="shared" ref="J12" si="29">IF(ISBLANK(I12),"",K12/$A12)</f>
        <v>40872.074193548389</v>
      </c>
      <c r="K12" s="163">
        <f t="shared" ref="K12" si="30">I12+K11</f>
        <v>81744.148387096779</v>
      </c>
      <c r="L12" s="50">
        <f t="shared" si="8"/>
        <v>20785.959677419356</v>
      </c>
      <c r="M12" s="50">
        <f t="shared" si="9"/>
        <v>20436.037096774195</v>
      </c>
      <c r="N12" s="50">
        <f t="shared" si="10"/>
        <v>40872.074193548389</v>
      </c>
      <c r="O12" s="49">
        <v>0</v>
      </c>
      <c r="P12" s="50">
        <f t="shared" ref="P12" si="31">IF(ISBLANK(O12),"",Q12/$A12)</f>
        <v>342.47741935483873</v>
      </c>
      <c r="Q12" s="163">
        <f t="shared" ref="Q12" si="32">O12+Q11</f>
        <v>684.95483870967746</v>
      </c>
      <c r="R12" s="50">
        <f t="shared" si="12"/>
        <v>0</v>
      </c>
      <c r="S12" s="50">
        <f t="shared" si="13"/>
        <v>171.23870967741937</v>
      </c>
      <c r="T12" s="50">
        <f t="shared" si="14"/>
        <v>342.47741935483873</v>
      </c>
      <c r="U12" s="168"/>
      <c r="V12" s="49">
        <v>168.6</v>
      </c>
      <c r="W12" s="47">
        <f t="shared" si="15"/>
        <v>159.80000000000001</v>
      </c>
      <c r="X12" s="163">
        <f t="shared" ref="X12" si="33">V12+X11</f>
        <v>319.60000000000002</v>
      </c>
      <c r="Y12" s="169"/>
      <c r="Z12" s="170"/>
      <c r="AA12" s="171"/>
      <c r="AB12" s="172"/>
      <c r="AC12" s="49">
        <v>322.91000000000003</v>
      </c>
      <c r="AD12" s="50">
        <f t="shared" ref="AD12" si="34">IF(ISBLANK(AC12),"",AE12/$A12)</f>
        <v>320.88499999999999</v>
      </c>
      <c r="AE12" s="163">
        <f t="shared" ref="AE12" si="35">AC12+AE11</f>
        <v>641.77</v>
      </c>
      <c r="AF12" s="49">
        <v>165860</v>
      </c>
      <c r="AG12" s="50">
        <f t="shared" ref="AG12" si="36">IF(ISBLANK(AF12),"",AH12/$A12)</f>
        <v>169582.5</v>
      </c>
      <c r="AH12" s="51">
        <f t="shared" ref="AH12" si="37">AF12+AH11</f>
        <v>339165</v>
      </c>
      <c r="AI12" s="50">
        <f>IF(AF12*0.1907=0,"",AF12*0.1907)</f>
        <v>31629.502</v>
      </c>
      <c r="AJ12" s="50">
        <f>IFERROR(AG12*0.1907,"")</f>
        <v>32339.382750000001</v>
      </c>
      <c r="AK12" s="50">
        <f>AH12*0.1907</f>
        <v>64678.765500000001</v>
      </c>
      <c r="AL12" s="17"/>
      <c r="AM12" s="49">
        <v>119.93</v>
      </c>
      <c r="AN12" s="47">
        <f t="shared" si="18"/>
        <v>118.33000000000001</v>
      </c>
      <c r="AO12" s="163">
        <f t="shared" ref="AO12" si="38">AM12+AO11</f>
        <v>236.66000000000003</v>
      </c>
      <c r="AP12" s="49">
        <v>142712.28</v>
      </c>
      <c r="AQ12" s="50">
        <f t="shared" ref="AQ12" si="39">IF(ISBLANK(AP12),"",AR12/$A12)</f>
        <v>142859.38193548386</v>
      </c>
      <c r="AR12" s="51">
        <f t="shared" ref="AR12" si="40">AP12+AR11</f>
        <v>285718.76387096773</v>
      </c>
      <c r="AS12" s="17"/>
      <c r="AT12" s="47">
        <f>borrador!G10/6.289</f>
        <v>707.63714422006683</v>
      </c>
      <c r="AU12" s="47">
        <f t="shared" ref="AU12" si="41">IF(ISBLANK(AT12),"",AV12/$A12)</f>
        <v>708.07282556845291</v>
      </c>
      <c r="AV12" s="51">
        <f t="shared" ref="AV12" si="42">AT12+AV11</f>
        <v>1416.1456511369058</v>
      </c>
      <c r="AW12" s="2"/>
      <c r="AX12" s="51">
        <f>borrador!H10/6.289</f>
        <v>382.28812211798379</v>
      </c>
      <c r="AY12" s="51">
        <f t="shared" ref="AY12" si="43">IF(ISBLANK(AX12),"",AZ12/$A12)</f>
        <v>382.37637144220071</v>
      </c>
      <c r="AZ12" s="51">
        <f t="shared" ref="AZ12" si="44">AX12+AZ11</f>
        <v>764.75274288440141</v>
      </c>
      <c r="BA12" s="2"/>
      <c r="BB12" s="47">
        <f>borrador!E10/6.289</f>
        <v>12.356495468277945</v>
      </c>
      <c r="BC12" s="47">
        <f t="shared" ref="BC12" si="45">IF(ISBLANK(BB12),"",BD12/$A12)</f>
        <v>11.768961679122278</v>
      </c>
      <c r="BD12" s="48">
        <f t="shared" ref="BD12" si="46">BB12+BD11</f>
        <v>23.537923358244555</v>
      </c>
      <c r="BE12" s="49">
        <f>borrador!F10*0.283*100</f>
        <v>234.0976</v>
      </c>
      <c r="BF12" s="50">
        <f t="shared" ref="BF12" si="47">IF(ISBLANK(BE12),"",BG12/A12)</f>
        <v>234.35229999999999</v>
      </c>
      <c r="BG12" s="237">
        <f t="shared" ref="BG12" si="48">BE12+BG11</f>
        <v>468.70459999999997</v>
      </c>
      <c r="BI12" s="199" t="s">
        <v>8</v>
      </c>
      <c r="BJ12" s="83">
        <v>17708.53</v>
      </c>
      <c r="BK12" s="21">
        <v>17198.010180864494</v>
      </c>
      <c r="BL12" s="92">
        <f t="shared" si="4"/>
        <v>510.5198191355048</v>
      </c>
      <c r="BM12" s="254">
        <v>11320.1505817204</v>
      </c>
      <c r="BN12" s="21">
        <v>11776.82171891383</v>
      </c>
      <c r="BO12" s="82">
        <f t="shared" si="0"/>
        <v>-456.6711371934307</v>
      </c>
      <c r="BP12" s="197"/>
      <c r="BQ12" s="83">
        <v>4942.7076669999997</v>
      </c>
      <c r="BR12" s="21">
        <v>5654.1630123510167</v>
      </c>
      <c r="BS12" s="200">
        <f t="shared" si="1"/>
        <v>-711.45534535101706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  <c r="CN12" s="47">
        <f t="shared" si="24"/>
        <v>1355.47</v>
      </c>
      <c r="CO12" s="47">
        <f t="shared" si="25"/>
        <v>649.55899999999997</v>
      </c>
      <c r="CQ12" s="47">
        <f t="shared" si="26"/>
        <v>1089.9252663380507</v>
      </c>
    </row>
    <row r="13" spans="1:95" ht="15" customHeight="1" thickBot="1" x14ac:dyDescent="0.4">
      <c r="A13" s="244">
        <v>3</v>
      </c>
      <c r="B13" s="49">
        <v>702.38</v>
      </c>
      <c r="C13" s="47">
        <f t="shared" ref="C13:C15" si="49">IF(ISBLANK(B13),"",D13/$A13)</f>
        <v>708.05333333333328</v>
      </c>
      <c r="D13" s="163">
        <f t="shared" ref="D13:D15" si="50">B13+D12</f>
        <v>2124.16</v>
      </c>
      <c r="E13" s="49">
        <v>343982.65053763444</v>
      </c>
      <c r="F13" s="50">
        <f t="shared" ref="F13:F15" si="51">IF(ISBLANK(E13),"",G13/$A13)</f>
        <v>342703.64394265233</v>
      </c>
      <c r="G13" s="163">
        <f t="shared" ref="G13:G15" si="52">E13+G12</f>
        <v>1028110.931827957</v>
      </c>
      <c r="H13" s="168"/>
      <c r="I13" s="49">
        <v>42668.219354838708</v>
      </c>
      <c r="J13" s="50">
        <f t="shared" ref="J13:J15" si="53">IF(ISBLANK(I13),"",K13/$A13)</f>
        <v>41470.789247311826</v>
      </c>
      <c r="K13" s="163">
        <f t="shared" ref="K13:K15" si="54">I13+K12</f>
        <v>124412.36774193548</v>
      </c>
      <c r="L13" s="50">
        <f t="shared" ref="L13:L15" si="55">IF(ISBLANK(I13),"",I13*0.5)</f>
        <v>21334.109677419354</v>
      </c>
      <c r="M13" s="50">
        <f t="shared" ref="M13:M15" si="56">IFERROR(J13*0.5,"")</f>
        <v>20735.394623655913</v>
      </c>
      <c r="N13" s="50">
        <f t="shared" ref="N13:N15" si="57">K13*0.5</f>
        <v>62206.183870967739</v>
      </c>
      <c r="O13" s="49">
        <v>1092.5774193548386</v>
      </c>
      <c r="P13" s="50">
        <f t="shared" ref="P13:P15" si="58">IF(ISBLANK(O13),"",Q13/$A13)</f>
        <v>592.51075268817203</v>
      </c>
      <c r="Q13" s="163">
        <f t="shared" ref="Q13:Q15" si="59">O13+Q12</f>
        <v>1777.5322580645161</v>
      </c>
      <c r="R13" s="50">
        <f t="shared" ref="R13:R15" si="60">IF(ISBLANK(O13),"",O13*0.5)</f>
        <v>546.28870967741932</v>
      </c>
      <c r="S13" s="50">
        <f t="shared" ref="S13:S15" si="61">IFERROR(P13*0.5,"")</f>
        <v>296.25537634408602</v>
      </c>
      <c r="T13" s="50">
        <f t="shared" ref="T13:T15" si="62">Q13*0.5</f>
        <v>888.76612903225805</v>
      </c>
      <c r="U13" s="168"/>
      <c r="V13" s="49">
        <v>164.6</v>
      </c>
      <c r="W13" s="47">
        <f t="shared" ref="W13:W15" si="63">IF(ISBLANK(V13),"",X13/$A13)</f>
        <v>161.4</v>
      </c>
      <c r="X13" s="163">
        <f t="shared" ref="X13:X15" si="64">V13+X12</f>
        <v>484.20000000000005</v>
      </c>
      <c r="Y13" s="169"/>
      <c r="Z13" s="170"/>
      <c r="AA13" s="171"/>
      <c r="AB13" s="172"/>
      <c r="AC13" s="49">
        <v>319.72000000000003</v>
      </c>
      <c r="AD13" s="50">
        <f t="shared" ref="AD13:AD15" si="65">IF(ISBLANK(AC13),"",AE13/$A13)</f>
        <v>320.49666666666667</v>
      </c>
      <c r="AE13" s="163">
        <f t="shared" ref="AE13:AE15" si="66">AC13+AE12</f>
        <v>961.49</v>
      </c>
      <c r="AF13" s="49">
        <v>170123</v>
      </c>
      <c r="AG13" s="50">
        <f t="shared" ref="AG13:AG15" si="67">IF(ISBLANK(AF13),"",AH13/$A13)</f>
        <v>169762.66666666666</v>
      </c>
      <c r="AH13" s="51">
        <f t="shared" ref="AH13:AH15" si="68">AF13+AH12</f>
        <v>509288</v>
      </c>
      <c r="AI13" s="50">
        <f t="shared" ref="AI13:AI15" si="69">IF(AF13*0.1907=0,"",AF13*0.1907)</f>
        <v>32442.456100000003</v>
      </c>
      <c r="AJ13" s="50">
        <f t="shared" ref="AJ13:AJ15" si="70">IFERROR(AG13*0.1907,"")</f>
        <v>32373.740533333334</v>
      </c>
      <c r="AK13" s="50">
        <f t="shared" ref="AK13:AK15" si="71">AH13*0.1907</f>
        <v>97121.221600000004</v>
      </c>
      <c r="AL13" s="17"/>
      <c r="AM13" s="49">
        <v>106.39</v>
      </c>
      <c r="AN13" s="47">
        <f t="shared" ref="AN13:AN15" si="72">IF(ISBLANK(AM13),"",AO13/$A13)</f>
        <v>114.35000000000001</v>
      </c>
      <c r="AO13" s="163">
        <f t="shared" ref="AO13:AO15" si="73">AM13+AO12</f>
        <v>343.05</v>
      </c>
      <c r="AP13" s="49">
        <v>145619.77204301074</v>
      </c>
      <c r="AQ13" s="50">
        <f t="shared" ref="AQ13:AQ15" si="74">IF(ISBLANK(AP13),"",AR13/$A13)</f>
        <v>143779.51197132617</v>
      </c>
      <c r="AR13" s="51">
        <f t="shared" ref="AR13:AR15" si="75">AP13+AR12</f>
        <v>431338.53591397847</v>
      </c>
      <c r="AS13" s="17"/>
      <c r="AT13" s="47">
        <f>borrador!G11/6.289</f>
        <v>707.28573700111303</v>
      </c>
      <c r="AU13" s="47">
        <f t="shared" ref="AU13:AU15" si="76">IF(ISBLANK(AT13),"",AV13/$A13)</f>
        <v>707.81046271267303</v>
      </c>
      <c r="AV13" s="51">
        <f t="shared" ref="AV13:AV15" si="77">AT13+AV12</f>
        <v>2123.431388138019</v>
      </c>
      <c r="AW13" s="2"/>
      <c r="AX13" s="51">
        <f>borrador!H11/6.289</f>
        <v>381.80950866592462</v>
      </c>
      <c r="AY13" s="51">
        <f t="shared" ref="AY13:AY15" si="78">IF(ISBLANK(AX13),"",AZ13/$A13)</f>
        <v>382.18741718344199</v>
      </c>
      <c r="AZ13" s="51">
        <f t="shared" ref="AZ13:AZ15" si="79">AX13+AZ12</f>
        <v>1146.562251550326</v>
      </c>
      <c r="BA13" s="2"/>
      <c r="BB13" s="47">
        <f>borrador!E11/6.289</f>
        <v>10.909524566703769</v>
      </c>
      <c r="BC13" s="47">
        <f t="shared" ref="BC13:BC15" si="80">IF(ISBLANK(BB13),"",BD13/$A13)</f>
        <v>11.48248264164944</v>
      </c>
      <c r="BD13" s="48">
        <f t="shared" ref="BD13:BD15" si="81">BB13+BD12</f>
        <v>34.447447924948321</v>
      </c>
      <c r="BE13" s="49">
        <f>borrador!F11*0.283*100</f>
        <v>233.47499999999997</v>
      </c>
      <c r="BF13" s="50">
        <f t="shared" ref="BF13:BF15" si="82">IF(ISBLANK(BE13),"",BG13/A13)</f>
        <v>234.05986666666664</v>
      </c>
      <c r="BG13" s="237">
        <f t="shared" ref="BG13:BG15" si="83">BE13+BG12</f>
        <v>702.17959999999994</v>
      </c>
      <c r="BI13" s="199" t="s">
        <v>9</v>
      </c>
      <c r="BJ13" s="83">
        <v>18335.590000000004</v>
      </c>
      <c r="BK13" s="21">
        <v>17687.608027419399</v>
      </c>
      <c r="BL13" s="92">
        <v>22048.352946939147</v>
      </c>
      <c r="BM13" s="254">
        <v>11650.263241828001</v>
      </c>
      <c r="BN13" s="21">
        <v>12007.604979941352</v>
      </c>
      <c r="BO13" s="82">
        <f t="shared" si="0"/>
        <v>-357.34173811335131</v>
      </c>
      <c r="BP13" s="197"/>
      <c r="BQ13" s="83">
        <v>6101.8380000000016</v>
      </c>
      <c r="BR13" s="21">
        <v>5798.4219494275312</v>
      </c>
      <c r="BS13" s="201">
        <f t="shared" si="1"/>
        <v>303.41605057247034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  <c r="CN13" s="47">
        <f t="shared" si="24"/>
        <v>1293.0900000000001</v>
      </c>
      <c r="CO13" s="47">
        <f t="shared" si="25"/>
        <v>660.81799999999998</v>
      </c>
      <c r="CQ13" s="47">
        <f t="shared" si="26"/>
        <v>1089.0952456670377</v>
      </c>
    </row>
    <row r="14" spans="1:95" ht="15" customHeight="1" thickBot="1" x14ac:dyDescent="0.4">
      <c r="A14" s="244">
        <v>4</v>
      </c>
      <c r="B14" s="49">
        <v>729.73</v>
      </c>
      <c r="C14" s="47">
        <f t="shared" si="49"/>
        <v>713.47249999999997</v>
      </c>
      <c r="D14" s="163">
        <f t="shared" si="50"/>
        <v>2853.89</v>
      </c>
      <c r="E14" s="49">
        <v>335416.92086021509</v>
      </c>
      <c r="F14" s="50">
        <f t="shared" si="51"/>
        <v>340881.96317204303</v>
      </c>
      <c r="G14" s="163">
        <f t="shared" si="52"/>
        <v>1363527.8526881721</v>
      </c>
      <c r="H14" s="168"/>
      <c r="I14" s="49">
        <v>43697.512903225805</v>
      </c>
      <c r="J14" s="50">
        <f t="shared" si="53"/>
        <v>42027.470161290323</v>
      </c>
      <c r="K14" s="163">
        <f t="shared" si="54"/>
        <v>168109.88064516129</v>
      </c>
      <c r="L14" s="50">
        <f t="shared" si="55"/>
        <v>21848.756451612902</v>
      </c>
      <c r="M14" s="50">
        <f t="shared" si="56"/>
        <v>21013.735080645161</v>
      </c>
      <c r="N14" s="50">
        <f t="shared" si="57"/>
        <v>84054.940322580645</v>
      </c>
      <c r="O14" s="49">
        <v>1961.8</v>
      </c>
      <c r="P14" s="50">
        <f t="shared" si="58"/>
        <v>934.83306451612907</v>
      </c>
      <c r="Q14" s="163">
        <f t="shared" si="59"/>
        <v>3739.3322580645163</v>
      </c>
      <c r="R14" s="50">
        <f t="shared" si="60"/>
        <v>980.9</v>
      </c>
      <c r="S14" s="50">
        <f t="shared" si="61"/>
        <v>467.41653225806454</v>
      </c>
      <c r="T14" s="50">
        <f t="shared" si="62"/>
        <v>1869.6661290322581</v>
      </c>
      <c r="U14" s="168"/>
      <c r="V14" s="49">
        <v>166.5</v>
      </c>
      <c r="W14" s="47">
        <f t="shared" si="63"/>
        <v>162.67500000000001</v>
      </c>
      <c r="X14" s="163">
        <f t="shared" si="64"/>
        <v>650.70000000000005</v>
      </c>
      <c r="Y14" s="169"/>
      <c r="Z14" s="170"/>
      <c r="AA14" s="171"/>
      <c r="AB14" s="172"/>
      <c r="AC14" s="49">
        <v>310.89999999999998</v>
      </c>
      <c r="AD14" s="50">
        <f t="shared" si="65"/>
        <v>318.09749999999997</v>
      </c>
      <c r="AE14" s="163">
        <f t="shared" si="66"/>
        <v>1272.3899999999999</v>
      </c>
      <c r="AF14" s="49">
        <v>169854</v>
      </c>
      <c r="AG14" s="50">
        <f t="shared" si="67"/>
        <v>169785.5</v>
      </c>
      <c r="AH14" s="51">
        <f t="shared" si="68"/>
        <v>679142</v>
      </c>
      <c r="AI14" s="50">
        <f t="shared" si="69"/>
        <v>32391.157800000001</v>
      </c>
      <c r="AJ14" s="50">
        <f t="shared" si="70"/>
        <v>32378.094850000001</v>
      </c>
      <c r="AK14" s="50">
        <f t="shared" si="71"/>
        <v>129512.37940000001</v>
      </c>
      <c r="AL14" s="17"/>
      <c r="AM14" s="49">
        <v>120.41</v>
      </c>
      <c r="AN14" s="47">
        <f t="shared" si="72"/>
        <v>115.86500000000001</v>
      </c>
      <c r="AO14" s="163">
        <f t="shared" si="73"/>
        <v>463.46000000000004</v>
      </c>
      <c r="AP14" s="49">
        <v>147368.27913978495</v>
      </c>
      <c r="AQ14" s="50">
        <f t="shared" si="74"/>
        <v>144676.70376344086</v>
      </c>
      <c r="AR14" s="51">
        <f t="shared" si="75"/>
        <v>578706.81505376345</v>
      </c>
      <c r="AS14" s="17"/>
      <c r="AT14" s="47">
        <f>borrador!G12/6.289</f>
        <v>706.2951184608047</v>
      </c>
      <c r="AU14" s="47">
        <f t="shared" si="76"/>
        <v>707.43162664970589</v>
      </c>
      <c r="AV14" s="51">
        <f t="shared" si="77"/>
        <v>2829.7265065988236</v>
      </c>
      <c r="AW14" s="2"/>
      <c r="AX14" s="51">
        <f>borrador!H12/6.289</f>
        <v>381.9860073143584</v>
      </c>
      <c r="AY14" s="51">
        <f t="shared" si="78"/>
        <v>382.1370647161711</v>
      </c>
      <c r="AZ14" s="51">
        <f t="shared" si="79"/>
        <v>1528.5482588646844</v>
      </c>
      <c r="BA14" s="2"/>
      <c r="BB14" s="47">
        <f>borrador!E12/6.289</f>
        <v>11.119414851327717</v>
      </c>
      <c r="BC14" s="47">
        <f t="shared" si="80"/>
        <v>11.39171569406901</v>
      </c>
      <c r="BD14" s="48">
        <f t="shared" si="81"/>
        <v>45.566862776276039</v>
      </c>
      <c r="BE14" s="49">
        <f>borrador!F12*0.283*100</f>
        <v>232.76749999999998</v>
      </c>
      <c r="BF14" s="50">
        <f t="shared" si="82"/>
        <v>233.73677499999997</v>
      </c>
      <c r="BG14" s="237">
        <f t="shared" si="83"/>
        <v>934.94709999999986</v>
      </c>
      <c r="BI14" s="199" t="s">
        <v>22</v>
      </c>
      <c r="BJ14" s="83">
        <v>17972.119999999995</v>
      </c>
      <c r="BK14" s="21">
        <v>17557.92787774618</v>
      </c>
      <c r="BL14" s="92">
        <f t="shared" si="4"/>
        <v>414.19212225381489</v>
      </c>
      <c r="BM14" s="254">
        <v>10958.4126680645</v>
      </c>
      <c r="BN14" s="21">
        <v>12178.203691342958</v>
      </c>
      <c r="BO14" s="82">
        <f t="shared" si="0"/>
        <v>-1219.7910232784579</v>
      </c>
      <c r="BP14" s="197"/>
      <c r="BQ14" s="83">
        <v>5639.4</v>
      </c>
      <c r="BR14" s="21">
        <v>5639.1896353500761</v>
      </c>
      <c r="BS14" s="201">
        <f t="shared" si="1"/>
        <v>0.21036464992357651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  <c r="CN14" s="47">
        <f t="shared" si="24"/>
        <v>1327.5400000000002</v>
      </c>
      <c r="CO14" s="47">
        <f t="shared" si="25"/>
        <v>654.601</v>
      </c>
      <c r="CQ14" s="47">
        <f t="shared" si="26"/>
        <v>1088.2811257751632</v>
      </c>
    </row>
    <row r="15" spans="1:95" ht="15" customHeight="1" thickBot="1" x14ac:dyDescent="0.4">
      <c r="A15" s="245">
        <v>5</v>
      </c>
      <c r="B15" s="49">
        <v>662.16</v>
      </c>
      <c r="C15" s="47">
        <f t="shared" si="49"/>
        <v>703.20999999999992</v>
      </c>
      <c r="D15" s="163">
        <f t="shared" si="50"/>
        <v>3516.0499999999997</v>
      </c>
      <c r="E15" s="49">
        <v>324546.83</v>
      </c>
      <c r="F15" s="50">
        <f t="shared" si="51"/>
        <v>337614.93653763446</v>
      </c>
      <c r="G15" s="163">
        <f t="shared" si="52"/>
        <v>1688074.6826881722</v>
      </c>
      <c r="H15" s="168"/>
      <c r="I15" s="49">
        <v>39327.20322580645</v>
      </c>
      <c r="J15" s="50">
        <f t="shared" si="53"/>
        <v>41487.416774193545</v>
      </c>
      <c r="K15" s="163">
        <f t="shared" si="54"/>
        <v>207437.08387096773</v>
      </c>
      <c r="L15" s="50">
        <f t="shared" si="55"/>
        <v>19663.601612903225</v>
      </c>
      <c r="M15" s="50">
        <f t="shared" si="56"/>
        <v>20743.708387096773</v>
      </c>
      <c r="N15" s="50">
        <f t="shared" si="57"/>
        <v>103718.54193548387</v>
      </c>
      <c r="O15" s="49">
        <v>3621.1403225806453</v>
      </c>
      <c r="P15" s="50">
        <f t="shared" si="58"/>
        <v>1472.0945161290324</v>
      </c>
      <c r="Q15" s="163">
        <f t="shared" si="59"/>
        <v>7360.4725806451615</v>
      </c>
      <c r="R15" s="50">
        <f t="shared" si="60"/>
        <v>1810.5701612903226</v>
      </c>
      <c r="S15" s="50">
        <f t="shared" si="61"/>
        <v>736.0472580645162</v>
      </c>
      <c r="T15" s="50">
        <f t="shared" si="62"/>
        <v>3680.2362903225808</v>
      </c>
      <c r="U15" s="168"/>
      <c r="V15" s="49">
        <v>171.3</v>
      </c>
      <c r="W15" s="47">
        <f t="shared" si="63"/>
        <v>164.4</v>
      </c>
      <c r="X15" s="163">
        <f t="shared" si="64"/>
        <v>822</v>
      </c>
      <c r="Y15" s="169"/>
      <c r="Z15" s="170"/>
      <c r="AA15" s="171"/>
      <c r="AB15" s="172"/>
      <c r="AC15" s="49">
        <v>314.04000000000002</v>
      </c>
      <c r="AD15" s="50">
        <f t="shared" si="65"/>
        <v>317.28599999999994</v>
      </c>
      <c r="AE15" s="163">
        <f t="shared" si="66"/>
        <v>1586.4299999999998</v>
      </c>
      <c r="AF15" s="49">
        <v>170104</v>
      </c>
      <c r="AG15" s="50">
        <f t="shared" si="67"/>
        <v>169849.2</v>
      </c>
      <c r="AH15" s="51">
        <f t="shared" si="68"/>
        <v>849246</v>
      </c>
      <c r="AI15" s="50">
        <f t="shared" si="69"/>
        <v>32438.8328</v>
      </c>
      <c r="AJ15" s="50">
        <f t="shared" si="70"/>
        <v>32390.242440000005</v>
      </c>
      <c r="AK15" s="50">
        <f t="shared" si="71"/>
        <v>161951.21220000001</v>
      </c>
      <c r="AL15" s="17"/>
      <c r="AM15" s="49">
        <v>79.010000000000005</v>
      </c>
      <c r="AN15" s="47">
        <f t="shared" si="72"/>
        <v>108.494</v>
      </c>
      <c r="AO15" s="163">
        <f t="shared" si="73"/>
        <v>542.47</v>
      </c>
      <c r="AP15" s="49">
        <v>142515.02967741934</v>
      </c>
      <c r="AQ15" s="50">
        <f t="shared" si="74"/>
        <v>144244.36894623656</v>
      </c>
      <c r="AR15" s="51">
        <f t="shared" si="75"/>
        <v>721221.84473118279</v>
      </c>
      <c r="AS15" s="17"/>
      <c r="AT15" s="47">
        <f>borrador!G13/6.289</f>
        <v>686.57020193989513</v>
      </c>
      <c r="AU15" s="47">
        <f t="shared" si="76"/>
        <v>703.25934170774372</v>
      </c>
      <c r="AV15" s="51">
        <f t="shared" si="77"/>
        <v>3516.2967085387186</v>
      </c>
      <c r="AW15" s="2"/>
      <c r="AX15" s="51">
        <f>borrador!H13/6.289</f>
        <v>382.2976625854667</v>
      </c>
      <c r="AY15" s="51">
        <f t="shared" si="78"/>
        <v>382.16918429003022</v>
      </c>
      <c r="AZ15" s="51">
        <f t="shared" si="79"/>
        <v>1910.8459214501511</v>
      </c>
      <c r="BA15" s="2"/>
      <c r="BB15" s="47">
        <f>borrador!E13/6.289</f>
        <v>11.599618381300685</v>
      </c>
      <c r="BC15" s="47">
        <f t="shared" si="80"/>
        <v>11.433296231515346</v>
      </c>
      <c r="BD15" s="48">
        <f t="shared" si="81"/>
        <v>57.166481157576726</v>
      </c>
      <c r="BE15" s="49">
        <f>borrador!F13*0.283*100</f>
        <v>233.16370000000001</v>
      </c>
      <c r="BF15" s="50">
        <f t="shared" si="82"/>
        <v>233.62215999999998</v>
      </c>
      <c r="BG15" s="237">
        <f t="shared" si="83"/>
        <v>1168.1107999999999</v>
      </c>
      <c r="BI15" s="199" t="s">
        <v>23</v>
      </c>
      <c r="BJ15" s="83">
        <v>19156.270000000004</v>
      </c>
      <c r="BK15" s="21">
        <v>18840.583870293147</v>
      </c>
      <c r="BL15" s="92">
        <f t="shared" si="4"/>
        <v>315.68612970685717</v>
      </c>
      <c r="BM15" s="254">
        <v>10522.278</v>
      </c>
      <c r="BN15" s="21">
        <v>13150.823919698816</v>
      </c>
      <c r="BO15" s="82">
        <f t="shared" si="0"/>
        <v>-2628.5459196988159</v>
      </c>
      <c r="BP15" s="197"/>
      <c r="BQ15" s="83">
        <v>5674.2000000000016</v>
      </c>
      <c r="BR15" s="21">
        <v>5783.5313912690872</v>
      </c>
      <c r="BS15" s="201">
        <f t="shared" si="1"/>
        <v>-109.33139126908554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  <c r="CN15" s="47">
        <f t="shared" si="24"/>
        <v>1226.51</v>
      </c>
      <c r="CO15" s="47">
        <f t="shared" si="25"/>
        <v>640.78700000000003</v>
      </c>
      <c r="CQ15" s="47">
        <f t="shared" si="26"/>
        <v>1068.8678645253617</v>
      </c>
    </row>
    <row r="16" spans="1:95" ht="15" customHeight="1" thickBot="1" x14ac:dyDescent="0.4">
      <c r="A16" s="245">
        <v>6</v>
      </c>
      <c r="B16" s="49"/>
      <c r="C16" s="47"/>
      <c r="D16" s="163"/>
      <c r="E16" s="49"/>
      <c r="F16" s="50"/>
      <c r="G16" s="163"/>
      <c r="H16" s="168"/>
      <c r="I16" s="49"/>
      <c r="J16" s="50"/>
      <c r="K16" s="163"/>
      <c r="L16" s="50"/>
      <c r="M16" s="50"/>
      <c r="N16" s="50"/>
      <c r="O16" s="49"/>
      <c r="P16" s="50"/>
      <c r="Q16" s="163"/>
      <c r="R16" s="50"/>
      <c r="S16" s="50"/>
      <c r="T16" s="50"/>
      <c r="U16" s="168"/>
      <c r="V16" s="49"/>
      <c r="W16" s="47"/>
      <c r="X16" s="163"/>
      <c r="Y16" s="169"/>
      <c r="Z16" s="170"/>
      <c r="AA16" s="171"/>
      <c r="AB16" s="172"/>
      <c r="AC16" s="49"/>
      <c r="AD16" s="50"/>
      <c r="AE16" s="163"/>
      <c r="AF16" s="49"/>
      <c r="AG16" s="50"/>
      <c r="AH16" s="51"/>
      <c r="AI16" s="50"/>
      <c r="AJ16" s="50"/>
      <c r="AK16" s="50"/>
      <c r="AL16" s="17"/>
      <c r="AM16" s="49"/>
      <c r="AN16" s="47"/>
      <c r="AO16" s="163"/>
      <c r="AP16" s="49"/>
      <c r="AQ16" s="50"/>
      <c r="AR16" s="51"/>
      <c r="AS16" s="17"/>
      <c r="AT16" s="47"/>
      <c r="AU16" s="47"/>
      <c r="AV16" s="51"/>
      <c r="AW16" s="2"/>
      <c r="AX16" s="51"/>
      <c r="AY16" s="51"/>
      <c r="AZ16" s="51"/>
      <c r="BA16" s="2"/>
      <c r="BB16" s="47"/>
      <c r="BC16" s="47"/>
      <c r="BD16" s="48"/>
      <c r="BE16" s="49"/>
      <c r="BF16" s="50"/>
      <c r="BG16" s="237"/>
      <c r="BI16" s="199" t="s">
        <v>17</v>
      </c>
      <c r="BJ16" s="83">
        <v>20188.179999999997</v>
      </c>
      <c r="BK16" s="21">
        <v>19448.244430301474</v>
      </c>
      <c r="BL16" s="92">
        <f t="shared" si="4"/>
        <v>739.93556969852216</v>
      </c>
      <c r="BM16" s="254">
        <v>10507.267</v>
      </c>
      <c r="BN16" s="21">
        <v>13614.886473801384</v>
      </c>
      <c r="BO16" s="82">
        <f t="shared" si="0"/>
        <v>-3107.6194738013837</v>
      </c>
      <c r="BP16" s="197"/>
      <c r="BQ16" s="83">
        <v>5526.8220000000001</v>
      </c>
      <c r="BR16" s="21">
        <v>5656.1888823082445</v>
      </c>
      <c r="BS16" s="201">
        <f t="shared" si="1"/>
        <v>-129.36688230824439</v>
      </c>
      <c r="BT16" s="5"/>
      <c r="BU16" s="15"/>
      <c r="BV16" s="214">
        <v>22194.035617745274</v>
      </c>
      <c r="BW16" s="107">
        <v>20290.571272730263</v>
      </c>
      <c r="BX16" s="84">
        <f t="shared" si="2"/>
        <v>1903.4643450150106</v>
      </c>
      <c r="BY16" s="207"/>
      <c r="BZ16" s="83">
        <v>11946.975671807921</v>
      </c>
      <c r="CA16" s="107">
        <v>12659.694422849534</v>
      </c>
      <c r="CB16" s="215">
        <f t="shared" si="3"/>
        <v>-712.71875104161336</v>
      </c>
      <c r="CN16" s="47">
        <f t="shared" si="24"/>
        <v>0</v>
      </c>
      <c r="CO16" s="47">
        <f t="shared" si="25"/>
        <v>0</v>
      </c>
      <c r="CQ16" s="47">
        <f t="shared" si="26"/>
        <v>0</v>
      </c>
    </row>
    <row r="17" spans="1:95" ht="15" customHeight="1" thickBot="1" x14ac:dyDescent="0.4">
      <c r="A17" s="245">
        <v>7</v>
      </c>
      <c r="B17" s="49"/>
      <c r="C17" s="47"/>
      <c r="D17" s="163"/>
      <c r="E17" s="49"/>
      <c r="F17" s="50"/>
      <c r="G17" s="163"/>
      <c r="H17" s="168"/>
      <c r="I17" s="49"/>
      <c r="J17" s="50"/>
      <c r="K17" s="163"/>
      <c r="L17" s="50"/>
      <c r="M17" s="50"/>
      <c r="N17" s="50"/>
      <c r="O17" s="49"/>
      <c r="P17" s="50"/>
      <c r="Q17" s="163"/>
      <c r="R17" s="50"/>
      <c r="S17" s="50"/>
      <c r="T17" s="50"/>
      <c r="U17" s="168"/>
      <c r="V17" s="49"/>
      <c r="W17" s="47"/>
      <c r="X17" s="163"/>
      <c r="Y17" s="169"/>
      <c r="Z17" s="170"/>
      <c r="AA17" s="171"/>
      <c r="AB17" s="172"/>
      <c r="AC17" s="49"/>
      <c r="AD17" s="50"/>
      <c r="AE17" s="163"/>
      <c r="AF17" s="49"/>
      <c r="AG17" s="50"/>
      <c r="AH17" s="51"/>
      <c r="AI17" s="50"/>
      <c r="AJ17" s="50"/>
      <c r="AK17" s="50"/>
      <c r="AL17" s="17"/>
      <c r="AM17" s="49"/>
      <c r="AN17" s="47"/>
      <c r="AO17" s="163"/>
      <c r="AP17" s="49"/>
      <c r="AQ17" s="50"/>
      <c r="AR17" s="51"/>
      <c r="AS17" s="17"/>
      <c r="AT17" s="47"/>
      <c r="AU17" s="47"/>
      <c r="AV17" s="51"/>
      <c r="AW17" s="2"/>
      <c r="AX17" s="51"/>
      <c r="AY17" s="51"/>
      <c r="AZ17" s="51"/>
      <c r="BA17" s="2"/>
      <c r="BB17" s="47"/>
      <c r="BC17" s="47"/>
      <c r="BD17" s="48"/>
      <c r="BE17" s="49"/>
      <c r="BF17" s="50"/>
      <c r="BG17" s="237"/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  <c r="CN17" s="47">
        <f t="shared" si="24"/>
        <v>0</v>
      </c>
      <c r="CO17" s="47">
        <f t="shared" si="25"/>
        <v>0</v>
      </c>
      <c r="CQ17" s="47">
        <f t="shared" si="26"/>
        <v>0</v>
      </c>
    </row>
    <row r="18" spans="1:95" ht="15" customHeight="1" thickBot="1" x14ac:dyDescent="0.4">
      <c r="A18" s="245">
        <v>8</v>
      </c>
      <c r="B18" s="49"/>
      <c r="C18" s="47"/>
      <c r="D18" s="163"/>
      <c r="E18" s="49"/>
      <c r="F18" s="50"/>
      <c r="G18" s="163"/>
      <c r="H18" s="168"/>
      <c r="I18" s="49"/>
      <c r="J18" s="50"/>
      <c r="K18" s="163"/>
      <c r="L18" s="50"/>
      <c r="M18" s="50"/>
      <c r="N18" s="50"/>
      <c r="O18" s="49"/>
      <c r="P18" s="50"/>
      <c r="Q18" s="163"/>
      <c r="R18" s="50"/>
      <c r="S18" s="50"/>
      <c r="T18" s="50"/>
      <c r="U18" s="168"/>
      <c r="V18" s="49"/>
      <c r="W18" s="47"/>
      <c r="X18" s="163"/>
      <c r="Y18" s="169"/>
      <c r="Z18" s="170"/>
      <c r="AA18" s="171"/>
      <c r="AB18" s="172"/>
      <c r="AC18" s="49"/>
      <c r="AD18" s="50"/>
      <c r="AE18" s="163"/>
      <c r="AF18" s="49"/>
      <c r="AG18" s="50"/>
      <c r="AH18" s="51"/>
      <c r="AI18" s="50"/>
      <c r="AJ18" s="50"/>
      <c r="AK18" s="50"/>
      <c r="AL18" s="17"/>
      <c r="AM18" s="49"/>
      <c r="AN18" s="47"/>
      <c r="AO18" s="163"/>
      <c r="AP18" s="49"/>
      <c r="AQ18" s="50"/>
      <c r="AR18" s="51"/>
      <c r="AS18" s="17"/>
      <c r="AT18" s="47"/>
      <c r="AU18" s="47"/>
      <c r="AV18" s="51"/>
      <c r="AW18" s="2"/>
      <c r="AX18" s="51"/>
      <c r="AY18" s="51"/>
      <c r="AZ18" s="51"/>
      <c r="BA18" s="2"/>
      <c r="BB18" s="47"/>
      <c r="BC18" s="47"/>
      <c r="BD18" s="48"/>
      <c r="BE18" s="49"/>
      <c r="BF18" s="50"/>
      <c r="BG18" s="237"/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  <c r="CN18" s="47">
        <f t="shared" si="24"/>
        <v>0</v>
      </c>
      <c r="CO18" s="47">
        <f t="shared" si="25"/>
        <v>0</v>
      </c>
      <c r="CQ18" s="47">
        <f t="shared" si="26"/>
        <v>0</v>
      </c>
    </row>
    <row r="19" spans="1:95" ht="15" customHeight="1" thickBot="1" x14ac:dyDescent="0.4">
      <c r="A19" s="245">
        <v>9</v>
      </c>
      <c r="B19" s="49"/>
      <c r="C19" s="47"/>
      <c r="D19" s="163"/>
      <c r="E19" s="49"/>
      <c r="F19" s="50"/>
      <c r="G19" s="163"/>
      <c r="H19" s="168"/>
      <c r="I19" s="49"/>
      <c r="J19" s="50"/>
      <c r="K19" s="163"/>
      <c r="L19" s="50"/>
      <c r="M19" s="50"/>
      <c r="N19" s="50"/>
      <c r="O19" s="49"/>
      <c r="P19" s="50"/>
      <c r="Q19" s="163"/>
      <c r="R19" s="50"/>
      <c r="S19" s="50"/>
      <c r="T19" s="50"/>
      <c r="U19" s="168"/>
      <c r="V19" s="49"/>
      <c r="W19" s="47"/>
      <c r="X19" s="163"/>
      <c r="Y19" s="169"/>
      <c r="Z19" s="170"/>
      <c r="AA19" s="171"/>
      <c r="AB19" s="172"/>
      <c r="AC19" s="49"/>
      <c r="AD19" s="50"/>
      <c r="AE19" s="163"/>
      <c r="AF19" s="49"/>
      <c r="AG19" s="50"/>
      <c r="AH19" s="51"/>
      <c r="AI19" s="50"/>
      <c r="AJ19" s="50"/>
      <c r="AK19" s="50"/>
      <c r="AL19" s="17"/>
      <c r="AM19" s="49"/>
      <c r="AN19" s="47"/>
      <c r="AO19" s="163"/>
      <c r="AP19" s="49"/>
      <c r="AQ19" s="50"/>
      <c r="AR19" s="51"/>
      <c r="AS19" s="17"/>
      <c r="AT19" s="47"/>
      <c r="AU19" s="47"/>
      <c r="AV19" s="51"/>
      <c r="AW19" s="2"/>
      <c r="AX19" s="51"/>
      <c r="AY19" s="51"/>
      <c r="AZ19" s="51"/>
      <c r="BA19" s="2"/>
      <c r="BB19" s="47"/>
      <c r="BC19" s="47"/>
      <c r="BD19" s="48"/>
      <c r="BE19" s="49"/>
      <c r="BF19" s="50"/>
      <c r="BG19" s="237"/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  <c r="CN19" s="47">
        <f t="shared" si="24"/>
        <v>0</v>
      </c>
      <c r="CO19" s="47">
        <f t="shared" si="25"/>
        <v>0</v>
      </c>
      <c r="CQ19" s="47">
        <f t="shared" si="26"/>
        <v>0</v>
      </c>
    </row>
    <row r="20" spans="1:95" ht="15" customHeight="1" thickBot="1" x14ac:dyDescent="0.4">
      <c r="A20" s="244">
        <v>10</v>
      </c>
      <c r="B20" s="49"/>
      <c r="C20" s="47"/>
      <c r="D20" s="163"/>
      <c r="E20" s="49"/>
      <c r="F20" s="50"/>
      <c r="G20" s="163"/>
      <c r="H20" s="168"/>
      <c r="I20" s="49"/>
      <c r="J20" s="50"/>
      <c r="K20" s="163"/>
      <c r="L20" s="50"/>
      <c r="M20" s="50"/>
      <c r="N20" s="50"/>
      <c r="O20" s="49"/>
      <c r="P20" s="50"/>
      <c r="Q20" s="163"/>
      <c r="R20" s="50"/>
      <c r="S20" s="50"/>
      <c r="T20" s="50"/>
      <c r="U20" s="168"/>
      <c r="V20" s="49"/>
      <c r="W20" s="47"/>
      <c r="X20" s="163"/>
      <c r="Y20" s="169"/>
      <c r="Z20" s="170"/>
      <c r="AA20" s="171"/>
      <c r="AB20" s="172"/>
      <c r="AC20" s="49"/>
      <c r="AD20" s="50"/>
      <c r="AE20" s="163"/>
      <c r="AF20" s="49"/>
      <c r="AG20" s="50"/>
      <c r="AH20" s="51"/>
      <c r="AI20" s="50"/>
      <c r="AJ20" s="50"/>
      <c r="AK20" s="50"/>
      <c r="AL20" s="17"/>
      <c r="AM20" s="49"/>
      <c r="AN20" s="47"/>
      <c r="AO20" s="163"/>
      <c r="AP20" s="49"/>
      <c r="AQ20" s="50"/>
      <c r="AR20" s="51"/>
      <c r="AS20" s="17"/>
      <c r="AT20" s="47"/>
      <c r="AU20" s="47"/>
      <c r="AV20" s="51"/>
      <c r="AW20" s="2"/>
      <c r="AX20" s="51"/>
      <c r="AY20" s="51"/>
      <c r="AZ20" s="51"/>
      <c r="BA20" s="2"/>
      <c r="BB20" s="47"/>
      <c r="BC20" s="47"/>
      <c r="BD20" s="48"/>
      <c r="BE20" s="49"/>
      <c r="BF20" s="50"/>
      <c r="BG20" s="237"/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  <c r="CN20" s="47">
        <f t="shared" si="24"/>
        <v>0</v>
      </c>
      <c r="CO20" s="47">
        <f t="shared" si="25"/>
        <v>0</v>
      </c>
      <c r="CQ20" s="47">
        <f t="shared" si="26"/>
        <v>0</v>
      </c>
    </row>
    <row r="21" spans="1:95" ht="15" customHeight="1" thickBot="1" x14ac:dyDescent="0.4">
      <c r="A21" s="243">
        <v>11</v>
      </c>
      <c r="B21" s="49"/>
      <c r="C21" s="47"/>
      <c r="D21" s="163"/>
      <c r="E21" s="49"/>
      <c r="F21" s="50"/>
      <c r="G21" s="163"/>
      <c r="H21" s="168"/>
      <c r="I21" s="49"/>
      <c r="J21" s="50"/>
      <c r="K21" s="163"/>
      <c r="L21" s="50"/>
      <c r="M21" s="50"/>
      <c r="N21" s="50"/>
      <c r="O21" s="49"/>
      <c r="P21" s="50"/>
      <c r="Q21" s="163"/>
      <c r="R21" s="50"/>
      <c r="S21" s="50"/>
      <c r="T21" s="50"/>
      <c r="U21" s="168"/>
      <c r="V21" s="49"/>
      <c r="W21" s="47"/>
      <c r="X21" s="163"/>
      <c r="Y21" s="169"/>
      <c r="Z21" s="170"/>
      <c r="AA21" s="171"/>
      <c r="AB21" s="172"/>
      <c r="AC21" s="49"/>
      <c r="AD21" s="50"/>
      <c r="AE21" s="163"/>
      <c r="AF21" s="49"/>
      <c r="AG21" s="50"/>
      <c r="AH21" s="51"/>
      <c r="AI21" s="50"/>
      <c r="AJ21" s="50"/>
      <c r="AK21" s="50"/>
      <c r="AL21" s="17"/>
      <c r="AM21" s="49"/>
      <c r="AN21" s="47"/>
      <c r="AO21" s="163"/>
      <c r="AP21" s="49"/>
      <c r="AQ21" s="50"/>
      <c r="AR21" s="51"/>
      <c r="AS21" s="17"/>
      <c r="AT21" s="47"/>
      <c r="AU21" s="47"/>
      <c r="AV21" s="51"/>
      <c r="AW21" s="2"/>
      <c r="AX21" s="51"/>
      <c r="AY21" s="51"/>
      <c r="AZ21" s="51"/>
      <c r="BA21" s="2"/>
      <c r="BB21" s="47"/>
      <c r="BC21" s="47"/>
      <c r="BD21" s="48"/>
      <c r="BE21" s="49"/>
      <c r="BF21" s="50"/>
      <c r="BG21" s="237"/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  <c r="CN21" s="47">
        <f t="shared" si="24"/>
        <v>0</v>
      </c>
      <c r="CO21" s="47">
        <f t="shared" si="25"/>
        <v>0</v>
      </c>
      <c r="CQ21" s="47">
        <f t="shared" si="26"/>
        <v>0</v>
      </c>
    </row>
    <row r="22" spans="1:95" ht="15" customHeight="1" thickBot="1" x14ac:dyDescent="0.4">
      <c r="A22" s="243">
        <v>12</v>
      </c>
      <c r="B22" s="49"/>
      <c r="C22" s="47"/>
      <c r="D22" s="163"/>
      <c r="E22" s="49"/>
      <c r="F22" s="50"/>
      <c r="G22" s="163"/>
      <c r="H22" s="168"/>
      <c r="I22" s="49"/>
      <c r="J22" s="50"/>
      <c r="K22" s="163"/>
      <c r="L22" s="50"/>
      <c r="M22" s="50"/>
      <c r="N22" s="50"/>
      <c r="O22" s="49"/>
      <c r="P22" s="50"/>
      <c r="Q22" s="163"/>
      <c r="R22" s="50"/>
      <c r="S22" s="50"/>
      <c r="T22" s="50"/>
      <c r="U22" s="168"/>
      <c r="V22" s="49"/>
      <c r="W22" s="47"/>
      <c r="X22" s="163"/>
      <c r="Y22" s="169"/>
      <c r="Z22" s="170"/>
      <c r="AA22" s="171"/>
      <c r="AB22" s="172"/>
      <c r="AC22" s="49"/>
      <c r="AD22" s="50"/>
      <c r="AE22" s="163"/>
      <c r="AF22" s="49"/>
      <c r="AG22" s="50"/>
      <c r="AH22" s="51"/>
      <c r="AI22" s="50"/>
      <c r="AJ22" s="50"/>
      <c r="AK22" s="50"/>
      <c r="AL22" s="17"/>
      <c r="AM22" s="49"/>
      <c r="AN22" s="47"/>
      <c r="AO22" s="163"/>
      <c r="AP22" s="49"/>
      <c r="AQ22" s="50"/>
      <c r="AR22" s="51"/>
      <c r="AS22" s="17"/>
      <c r="AT22" s="47"/>
      <c r="AU22" s="47"/>
      <c r="AV22" s="51"/>
      <c r="AW22" s="2"/>
      <c r="AX22" s="51"/>
      <c r="AY22" s="51"/>
      <c r="AZ22" s="51"/>
      <c r="BA22" s="2"/>
      <c r="BB22" s="47"/>
      <c r="BC22" s="47"/>
      <c r="BD22" s="48"/>
      <c r="BE22" s="49"/>
      <c r="BF22" s="50"/>
      <c r="BG22" s="237"/>
      <c r="BJ22" s="8"/>
      <c r="CE22" s="226"/>
      <c r="CN22" s="47">
        <f t="shared" si="24"/>
        <v>0</v>
      </c>
      <c r="CO22" s="47">
        <f t="shared" si="25"/>
        <v>0</v>
      </c>
      <c r="CQ22" s="47">
        <f t="shared" si="26"/>
        <v>0</v>
      </c>
    </row>
    <row r="23" spans="1:95" ht="15" customHeight="1" thickBot="1" x14ac:dyDescent="0.4">
      <c r="A23" s="243">
        <v>13</v>
      </c>
      <c r="B23" s="49"/>
      <c r="C23" s="47"/>
      <c r="D23" s="163"/>
      <c r="E23" s="49"/>
      <c r="F23" s="50"/>
      <c r="G23" s="163"/>
      <c r="H23" s="168"/>
      <c r="I23" s="49"/>
      <c r="J23" s="50"/>
      <c r="K23" s="163"/>
      <c r="L23" s="50"/>
      <c r="M23" s="50"/>
      <c r="N23" s="50"/>
      <c r="O23" s="49"/>
      <c r="P23" s="50"/>
      <c r="Q23" s="163"/>
      <c r="R23" s="50"/>
      <c r="S23" s="50"/>
      <c r="T23" s="50"/>
      <c r="U23" s="168"/>
      <c r="V23" s="49"/>
      <c r="W23" s="47"/>
      <c r="X23" s="163"/>
      <c r="Y23" s="169"/>
      <c r="Z23" s="170"/>
      <c r="AA23" s="171"/>
      <c r="AB23" s="172"/>
      <c r="AC23" s="49"/>
      <c r="AD23" s="50"/>
      <c r="AE23" s="163"/>
      <c r="AF23" s="49"/>
      <c r="AG23" s="50"/>
      <c r="AH23" s="51"/>
      <c r="AI23" s="50"/>
      <c r="AJ23" s="50"/>
      <c r="AK23" s="50"/>
      <c r="AL23" s="17"/>
      <c r="AM23" s="49"/>
      <c r="AN23" s="47"/>
      <c r="AO23" s="163"/>
      <c r="AP23" s="49"/>
      <c r="AQ23" s="50"/>
      <c r="AR23" s="51"/>
      <c r="AS23" s="17"/>
      <c r="AT23" s="47"/>
      <c r="AU23" s="47"/>
      <c r="AV23" s="51"/>
      <c r="AW23" s="2"/>
      <c r="AX23" s="51"/>
      <c r="AY23" s="51"/>
      <c r="AZ23" s="51"/>
      <c r="BA23" s="2"/>
      <c r="BB23" s="47"/>
      <c r="BC23" s="47"/>
      <c r="BD23" s="48"/>
      <c r="BE23" s="49"/>
      <c r="BF23" s="50"/>
      <c r="BG23" s="237"/>
      <c r="BI23" s="304" t="s">
        <v>117</v>
      </c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6"/>
      <c r="BU23" s="59"/>
      <c r="BV23" s="334" t="s">
        <v>120</v>
      </c>
      <c r="BW23" s="335"/>
      <c r="BX23" s="335"/>
      <c r="BY23" s="335"/>
      <c r="BZ23" s="335"/>
      <c r="CA23" s="335"/>
      <c r="CB23" s="336"/>
      <c r="CN23" s="47">
        <f t="shared" si="24"/>
        <v>0</v>
      </c>
      <c r="CO23" s="47">
        <f t="shared" si="25"/>
        <v>0</v>
      </c>
      <c r="CQ23" s="47">
        <f t="shared" si="26"/>
        <v>0</v>
      </c>
    </row>
    <row r="24" spans="1:95" ht="15" customHeight="1" thickBot="1" x14ac:dyDescent="0.4">
      <c r="A24" s="243">
        <v>14</v>
      </c>
      <c r="B24" s="49"/>
      <c r="C24" s="47"/>
      <c r="D24" s="163"/>
      <c r="E24" s="49"/>
      <c r="F24" s="50"/>
      <c r="G24" s="163"/>
      <c r="H24" s="168"/>
      <c r="I24" s="49"/>
      <c r="J24" s="50"/>
      <c r="K24" s="163"/>
      <c r="L24" s="50"/>
      <c r="M24" s="50"/>
      <c r="N24" s="50"/>
      <c r="O24" s="49"/>
      <c r="P24" s="50"/>
      <c r="Q24" s="163"/>
      <c r="R24" s="50"/>
      <c r="S24" s="50"/>
      <c r="T24" s="50"/>
      <c r="U24" s="168"/>
      <c r="V24" s="49"/>
      <c r="W24" s="47"/>
      <c r="X24" s="163"/>
      <c r="Y24" s="169"/>
      <c r="Z24" s="170"/>
      <c r="AA24" s="171"/>
      <c r="AB24" s="172"/>
      <c r="AC24" s="49"/>
      <c r="AD24" s="50"/>
      <c r="AE24" s="163"/>
      <c r="AF24" s="49"/>
      <c r="AG24" s="50"/>
      <c r="AH24" s="51"/>
      <c r="AI24" s="50"/>
      <c r="AJ24" s="50"/>
      <c r="AK24" s="50"/>
      <c r="AL24" s="17"/>
      <c r="AM24" s="49"/>
      <c r="AN24" s="47"/>
      <c r="AO24" s="163"/>
      <c r="AP24" s="49"/>
      <c r="AQ24" s="50"/>
      <c r="AR24" s="51"/>
      <c r="AS24" s="17"/>
      <c r="AT24" s="47"/>
      <c r="AU24" s="47"/>
      <c r="AV24" s="51"/>
      <c r="AW24" s="2"/>
      <c r="AX24" s="51"/>
      <c r="AY24" s="51"/>
      <c r="AZ24" s="51"/>
      <c r="BA24" s="2"/>
      <c r="BB24" s="47"/>
      <c r="BC24" s="47"/>
      <c r="BD24" s="48"/>
      <c r="BE24" s="49"/>
      <c r="BF24" s="50"/>
      <c r="BG24" s="237"/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  <c r="CN24" s="47">
        <f t="shared" si="24"/>
        <v>0</v>
      </c>
      <c r="CO24" s="47">
        <f t="shared" si="25"/>
        <v>0</v>
      </c>
      <c r="CQ24" s="47">
        <f t="shared" si="26"/>
        <v>0</v>
      </c>
    </row>
    <row r="25" spans="1:95" ht="15" customHeight="1" thickBot="1" x14ac:dyDescent="0.4">
      <c r="A25" s="243">
        <v>15</v>
      </c>
      <c r="B25" s="49"/>
      <c r="C25" s="47"/>
      <c r="D25" s="163"/>
      <c r="E25" s="49"/>
      <c r="F25" s="50"/>
      <c r="G25" s="163"/>
      <c r="H25" s="168"/>
      <c r="I25" s="49"/>
      <c r="J25" s="50"/>
      <c r="K25" s="163"/>
      <c r="L25" s="50"/>
      <c r="M25" s="50"/>
      <c r="N25" s="50"/>
      <c r="O25" s="49"/>
      <c r="P25" s="50"/>
      <c r="Q25" s="163"/>
      <c r="R25" s="50"/>
      <c r="S25" s="50"/>
      <c r="T25" s="50"/>
      <c r="U25" s="168"/>
      <c r="V25" s="49"/>
      <c r="W25" s="47"/>
      <c r="X25" s="163"/>
      <c r="Y25" s="169"/>
      <c r="Z25" s="170"/>
      <c r="AA25" s="171"/>
      <c r="AB25" s="172"/>
      <c r="AC25" s="49"/>
      <c r="AD25" s="50"/>
      <c r="AE25" s="163"/>
      <c r="AF25" s="49"/>
      <c r="AG25" s="50"/>
      <c r="AH25" s="51"/>
      <c r="AI25" s="50"/>
      <c r="AJ25" s="50"/>
      <c r="AK25" s="50"/>
      <c r="AL25" s="17"/>
      <c r="AM25" s="49"/>
      <c r="AN25" s="47"/>
      <c r="AO25" s="163"/>
      <c r="AP25" s="49"/>
      <c r="AQ25" s="50"/>
      <c r="AR25" s="51"/>
      <c r="AS25" s="17"/>
      <c r="AT25" s="47"/>
      <c r="AU25" s="47"/>
      <c r="AV25" s="51"/>
      <c r="AW25" s="2"/>
      <c r="AX25" s="51"/>
      <c r="AY25" s="51"/>
      <c r="AZ25" s="51"/>
      <c r="BA25" s="2"/>
      <c r="BB25" s="47"/>
      <c r="BC25" s="47"/>
      <c r="BD25" s="48"/>
      <c r="BE25" s="49"/>
      <c r="BF25" s="50"/>
      <c r="BG25" s="237"/>
      <c r="BI25" s="189"/>
      <c r="BJ25" s="362"/>
      <c r="BK25" s="363"/>
      <c r="BL25" s="363"/>
      <c r="BM25" s="363"/>
      <c r="BN25" s="363"/>
      <c r="BO25" s="363"/>
      <c r="BP25" s="190"/>
      <c r="BQ25" s="364"/>
      <c r="BR25" s="365"/>
      <c r="BS25" s="366"/>
      <c r="BT25" s="69"/>
      <c r="BU25" s="15"/>
      <c r="BV25" s="325" t="s">
        <v>49</v>
      </c>
      <c r="BW25" s="326"/>
      <c r="BX25" s="326"/>
      <c r="BY25" s="326"/>
      <c r="BZ25" s="326"/>
      <c r="CA25" s="326"/>
      <c r="CB25" s="327"/>
      <c r="CN25" s="47">
        <f t="shared" si="24"/>
        <v>0</v>
      </c>
      <c r="CO25" s="47">
        <f t="shared" si="25"/>
        <v>0</v>
      </c>
      <c r="CQ25" s="47">
        <f t="shared" si="26"/>
        <v>0</v>
      </c>
    </row>
    <row r="26" spans="1:95" ht="15" customHeight="1" thickBot="1" x14ac:dyDescent="0.4">
      <c r="A26" s="46">
        <v>16</v>
      </c>
      <c r="B26" s="49"/>
      <c r="C26" s="47"/>
      <c r="D26" s="163"/>
      <c r="E26" s="49"/>
      <c r="F26" s="50"/>
      <c r="G26" s="163"/>
      <c r="H26" s="168"/>
      <c r="I26" s="49"/>
      <c r="J26" s="50"/>
      <c r="K26" s="163"/>
      <c r="L26" s="50"/>
      <c r="M26" s="50"/>
      <c r="N26" s="50"/>
      <c r="O26" s="49"/>
      <c r="P26" s="50"/>
      <c r="Q26" s="163"/>
      <c r="R26" s="50"/>
      <c r="S26" s="50"/>
      <c r="T26" s="50"/>
      <c r="U26" s="168"/>
      <c r="V26" s="49"/>
      <c r="W26" s="47"/>
      <c r="X26" s="163"/>
      <c r="Y26" s="169"/>
      <c r="Z26" s="170"/>
      <c r="AA26" s="171"/>
      <c r="AB26" s="172"/>
      <c r="AC26" s="49"/>
      <c r="AD26" s="50"/>
      <c r="AE26" s="163"/>
      <c r="AF26" s="49"/>
      <c r="AG26" s="50"/>
      <c r="AH26" s="51"/>
      <c r="AI26" s="50"/>
      <c r="AJ26" s="50"/>
      <c r="AK26" s="50"/>
      <c r="AL26" s="17"/>
      <c r="AM26" s="49"/>
      <c r="AN26" s="47"/>
      <c r="AO26" s="163"/>
      <c r="AP26" s="49"/>
      <c r="AQ26" s="50"/>
      <c r="AR26" s="51"/>
      <c r="AS26" s="17"/>
      <c r="AT26" s="47"/>
      <c r="AU26" s="47"/>
      <c r="AV26" s="51"/>
      <c r="AW26" s="2"/>
      <c r="AX26" s="51"/>
      <c r="AY26" s="51"/>
      <c r="AZ26" s="51"/>
      <c r="BA26" s="2"/>
      <c r="BB26" s="47"/>
      <c r="BC26" s="47"/>
      <c r="BD26" s="48"/>
      <c r="BE26" s="49"/>
      <c r="BF26" s="50"/>
      <c r="BG26" s="237"/>
      <c r="BI26" s="115" t="s">
        <v>45</v>
      </c>
      <c r="BJ26" s="357" t="s">
        <v>50</v>
      </c>
      <c r="BK26" s="358"/>
      <c r="BL26" s="358"/>
      <c r="BM26" s="358"/>
      <c r="BN26" s="358"/>
      <c r="BO26" s="358"/>
      <c r="BP26" s="191"/>
      <c r="BQ26" s="359" t="s">
        <v>100</v>
      </c>
      <c r="BR26" s="360"/>
      <c r="BS26" s="361"/>
      <c r="BT26" s="70"/>
      <c r="BU26" s="15"/>
      <c r="BV26" s="328"/>
      <c r="BW26" s="329"/>
      <c r="BX26" s="329"/>
      <c r="BY26" s="329"/>
      <c r="BZ26" s="329"/>
      <c r="CA26" s="329"/>
      <c r="CB26" s="330"/>
      <c r="CN26" s="47">
        <f t="shared" si="24"/>
        <v>0</v>
      </c>
      <c r="CO26" s="47">
        <f t="shared" si="25"/>
        <v>0</v>
      </c>
      <c r="CQ26" s="47">
        <f t="shared" si="26"/>
        <v>0</v>
      </c>
    </row>
    <row r="27" spans="1:95" ht="15" customHeight="1" thickBot="1" x14ac:dyDescent="0.4">
      <c r="A27" s="46">
        <v>17</v>
      </c>
      <c r="B27" s="49"/>
      <c r="C27" s="47"/>
      <c r="D27" s="163"/>
      <c r="E27" s="49"/>
      <c r="F27" s="50"/>
      <c r="G27" s="163"/>
      <c r="H27" s="168"/>
      <c r="I27" s="49"/>
      <c r="J27" s="50"/>
      <c r="K27" s="163"/>
      <c r="L27" s="50"/>
      <c r="M27" s="50"/>
      <c r="N27" s="50"/>
      <c r="O27" s="49"/>
      <c r="P27" s="50"/>
      <c r="Q27" s="163"/>
      <c r="R27" s="50"/>
      <c r="S27" s="50"/>
      <c r="T27" s="50"/>
      <c r="U27" s="168"/>
      <c r="V27" s="49"/>
      <c r="W27" s="47"/>
      <c r="X27" s="163"/>
      <c r="Y27" s="169"/>
      <c r="Z27" s="170"/>
      <c r="AA27" s="171"/>
      <c r="AB27" s="172"/>
      <c r="AC27" s="49"/>
      <c r="AD27" s="50"/>
      <c r="AE27" s="163"/>
      <c r="AF27" s="49"/>
      <c r="AG27" s="50"/>
      <c r="AH27" s="51"/>
      <c r="AI27" s="50"/>
      <c r="AJ27" s="50"/>
      <c r="AK27" s="50"/>
      <c r="AL27" s="17"/>
      <c r="AM27" s="49"/>
      <c r="AN27" s="47"/>
      <c r="AO27" s="163"/>
      <c r="AP27" s="49"/>
      <c r="AQ27" s="50"/>
      <c r="AR27" s="51"/>
      <c r="AS27" s="17"/>
      <c r="AT27" s="47"/>
      <c r="AU27" s="47"/>
      <c r="AV27" s="51"/>
      <c r="AW27" s="2"/>
      <c r="AX27" s="51"/>
      <c r="AY27" s="51"/>
      <c r="AZ27" s="51"/>
      <c r="BA27" s="2"/>
      <c r="BB27" s="47"/>
      <c r="BC27" s="47"/>
      <c r="BD27" s="48"/>
      <c r="BE27" s="49"/>
      <c r="BF27" s="50"/>
      <c r="BG27" s="237"/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31"/>
      <c r="BW27" s="332"/>
      <c r="BX27" s="332"/>
      <c r="BY27" s="332"/>
      <c r="BZ27" s="332"/>
      <c r="CA27" s="332"/>
      <c r="CB27" s="333"/>
      <c r="CN27" s="47">
        <f t="shared" si="24"/>
        <v>0</v>
      </c>
      <c r="CO27" s="47">
        <f t="shared" si="25"/>
        <v>0</v>
      </c>
      <c r="CQ27" s="47">
        <f t="shared" si="26"/>
        <v>0</v>
      </c>
    </row>
    <row r="28" spans="1:95" ht="15.75" customHeight="1" thickBot="1" x14ac:dyDescent="0.4">
      <c r="A28" s="46">
        <v>18</v>
      </c>
      <c r="B28" s="49"/>
      <c r="C28" s="47"/>
      <c r="D28" s="163"/>
      <c r="E28" s="49"/>
      <c r="F28" s="50"/>
      <c r="G28" s="163"/>
      <c r="H28" s="168"/>
      <c r="I28" s="49"/>
      <c r="J28" s="50"/>
      <c r="K28" s="163"/>
      <c r="L28" s="50"/>
      <c r="M28" s="50"/>
      <c r="N28" s="50"/>
      <c r="O28" s="49"/>
      <c r="P28" s="50"/>
      <c r="Q28" s="163"/>
      <c r="R28" s="50"/>
      <c r="S28" s="50"/>
      <c r="T28" s="50"/>
      <c r="U28" s="168"/>
      <c r="V28" s="49"/>
      <c r="W28" s="47"/>
      <c r="X28" s="163"/>
      <c r="Y28" s="169"/>
      <c r="Z28" s="170"/>
      <c r="AA28" s="171"/>
      <c r="AB28" s="172"/>
      <c r="AC28" s="49"/>
      <c r="AD28" s="50"/>
      <c r="AE28" s="163"/>
      <c r="AF28" s="49"/>
      <c r="AG28" s="50"/>
      <c r="AH28" s="51"/>
      <c r="AI28" s="50"/>
      <c r="AJ28" s="50"/>
      <c r="AK28" s="50"/>
      <c r="AL28" s="17"/>
      <c r="AM28" s="49"/>
      <c r="AN28" s="47"/>
      <c r="AO28" s="163"/>
      <c r="AP28" s="49"/>
      <c r="AQ28" s="50"/>
      <c r="AR28" s="51"/>
      <c r="AS28" s="17"/>
      <c r="AT28" s="47"/>
      <c r="AU28" s="47"/>
      <c r="AV28" s="51"/>
      <c r="AW28" s="2"/>
      <c r="AX28" s="51"/>
      <c r="AY28" s="51"/>
      <c r="AZ28" s="51"/>
      <c r="BA28" s="2"/>
      <c r="BB28" s="47"/>
      <c r="BC28" s="47"/>
      <c r="BD28" s="48"/>
      <c r="BE28" s="49"/>
      <c r="BF28" s="50"/>
      <c r="BG28" s="237"/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  <c r="CN28" s="47">
        <f t="shared" si="24"/>
        <v>0</v>
      </c>
      <c r="CO28" s="47">
        <f t="shared" si="25"/>
        <v>0</v>
      </c>
      <c r="CP28" s="4"/>
      <c r="CQ28" s="47">
        <f t="shared" si="26"/>
        <v>0</v>
      </c>
    </row>
    <row r="29" spans="1:95" ht="15" customHeight="1" thickBot="1" x14ac:dyDescent="0.4">
      <c r="A29" s="46">
        <v>19</v>
      </c>
      <c r="B29" s="49"/>
      <c r="C29" s="47"/>
      <c r="D29" s="163"/>
      <c r="E29" s="49"/>
      <c r="F29" s="50"/>
      <c r="G29" s="163"/>
      <c r="H29" s="168"/>
      <c r="I29" s="49"/>
      <c r="J29" s="50"/>
      <c r="K29" s="163"/>
      <c r="L29" s="50"/>
      <c r="M29" s="50"/>
      <c r="N29" s="50"/>
      <c r="O29" s="49"/>
      <c r="P29" s="50"/>
      <c r="Q29" s="163"/>
      <c r="R29" s="50"/>
      <c r="S29" s="50"/>
      <c r="T29" s="50"/>
      <c r="U29" s="168"/>
      <c r="V29" s="49"/>
      <c r="W29" s="47"/>
      <c r="X29" s="163"/>
      <c r="Y29" s="169"/>
      <c r="Z29" s="170"/>
      <c r="AA29" s="171"/>
      <c r="AB29" s="172"/>
      <c r="AC29" s="49"/>
      <c r="AD29" s="50"/>
      <c r="AE29" s="163"/>
      <c r="AF29" s="49"/>
      <c r="AG29" s="50"/>
      <c r="AH29" s="51"/>
      <c r="AI29" s="50"/>
      <c r="AJ29" s="50"/>
      <c r="AK29" s="50"/>
      <c r="AL29" s="17"/>
      <c r="AM29" s="49"/>
      <c r="AN29" s="47"/>
      <c r="AO29" s="163"/>
      <c r="AP29" s="49"/>
      <c r="AQ29" s="50"/>
      <c r="AR29" s="51"/>
      <c r="AS29" s="17"/>
      <c r="AT29" s="47"/>
      <c r="AU29" s="47"/>
      <c r="AV29" s="51"/>
      <c r="AW29" s="2"/>
      <c r="AX29" s="51"/>
      <c r="AY29" s="51"/>
      <c r="AZ29" s="51"/>
      <c r="BA29" s="2"/>
      <c r="BB29" s="47"/>
      <c r="BC29" s="47"/>
      <c r="BD29" s="48"/>
      <c r="BE29" s="49"/>
      <c r="BF29" s="50"/>
      <c r="BG29" s="237"/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  <c r="CN29" s="47">
        <f t="shared" si="24"/>
        <v>0</v>
      </c>
      <c r="CO29" s="47">
        <f t="shared" si="25"/>
        <v>0</v>
      </c>
      <c r="CP29" s="4"/>
      <c r="CQ29" s="47">
        <f t="shared" si="26"/>
        <v>0</v>
      </c>
    </row>
    <row r="30" spans="1:95" ht="13.5" customHeight="1" thickBot="1" x14ac:dyDescent="0.4">
      <c r="A30" s="46">
        <v>20</v>
      </c>
      <c r="B30" s="49"/>
      <c r="C30" s="47"/>
      <c r="D30" s="163"/>
      <c r="E30" s="49"/>
      <c r="F30" s="50"/>
      <c r="G30" s="163"/>
      <c r="H30" s="168"/>
      <c r="I30" s="49"/>
      <c r="J30" s="50"/>
      <c r="K30" s="163"/>
      <c r="L30" s="50"/>
      <c r="M30" s="50"/>
      <c r="N30" s="50"/>
      <c r="O30" s="49"/>
      <c r="P30" s="50"/>
      <c r="Q30" s="163"/>
      <c r="R30" s="50"/>
      <c r="S30" s="50"/>
      <c r="T30" s="50"/>
      <c r="U30" s="173"/>
      <c r="V30" s="49"/>
      <c r="W30" s="47"/>
      <c r="X30" s="163"/>
      <c r="Y30" s="117"/>
      <c r="Z30" s="118"/>
      <c r="AA30" s="119"/>
      <c r="AB30" s="120"/>
      <c r="AC30" s="49"/>
      <c r="AD30" s="50"/>
      <c r="AE30" s="163"/>
      <c r="AF30" s="49"/>
      <c r="AG30" s="50"/>
      <c r="AH30" s="51"/>
      <c r="AI30" s="50"/>
      <c r="AJ30" s="50"/>
      <c r="AK30" s="50"/>
      <c r="AL30" s="17"/>
      <c r="AM30" s="49"/>
      <c r="AN30" s="47"/>
      <c r="AO30" s="163"/>
      <c r="AP30" s="49"/>
      <c r="AQ30" s="50"/>
      <c r="AR30" s="51"/>
      <c r="AS30" s="17"/>
      <c r="AT30" s="47"/>
      <c r="AU30" s="47"/>
      <c r="AV30" s="51"/>
      <c r="AW30" s="2"/>
      <c r="AX30" s="51"/>
      <c r="AY30" s="51"/>
      <c r="AZ30" s="51"/>
      <c r="BA30" s="2"/>
      <c r="BB30" s="47"/>
      <c r="BC30" s="47"/>
      <c r="BD30" s="48"/>
      <c r="BE30" s="49"/>
      <c r="BF30" s="50"/>
      <c r="BG30" s="237"/>
      <c r="BI30" s="199" t="s">
        <v>5</v>
      </c>
      <c r="BJ30" s="81">
        <v>9099.8446600000007</v>
      </c>
      <c r="BK30" s="21">
        <v>9801.9145875398317</v>
      </c>
      <c r="BL30" s="92">
        <f t="shared" ref="BL30:BL41" si="84">BJ30-BK30</f>
        <v>-702.06992753983104</v>
      </c>
      <c r="BM30" s="253">
        <v>4737.68</v>
      </c>
      <c r="BN30" s="21">
        <v>4900.1360709150122</v>
      </c>
      <c r="BO30" s="82">
        <f t="shared" ref="BO30:BO41" si="85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86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87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88">BZ30-CA30</f>
        <v>958.01787220901315</v>
      </c>
      <c r="CN30" s="47">
        <f t="shared" si="24"/>
        <v>0</v>
      </c>
      <c r="CO30" s="47">
        <f t="shared" si="25"/>
        <v>0</v>
      </c>
      <c r="CQ30" s="47">
        <f t="shared" si="26"/>
        <v>0</v>
      </c>
    </row>
    <row r="31" spans="1:95" ht="15" customHeight="1" thickBot="1" x14ac:dyDescent="0.4">
      <c r="A31" s="46">
        <v>21</v>
      </c>
      <c r="B31" s="49"/>
      <c r="C31" s="47"/>
      <c r="D31" s="163"/>
      <c r="E31" s="49"/>
      <c r="F31" s="50"/>
      <c r="G31" s="163"/>
      <c r="H31" s="168"/>
      <c r="I31" s="49"/>
      <c r="J31" s="50"/>
      <c r="K31" s="163"/>
      <c r="L31" s="50"/>
      <c r="M31" s="50"/>
      <c r="N31" s="50"/>
      <c r="O31" s="49"/>
      <c r="P31" s="50"/>
      <c r="Q31" s="163"/>
      <c r="R31" s="50"/>
      <c r="S31" s="50"/>
      <c r="T31" s="50"/>
      <c r="U31" s="173"/>
      <c r="V31" s="49"/>
      <c r="W31" s="47"/>
      <c r="X31" s="163"/>
      <c r="Y31" s="117"/>
      <c r="Z31" s="118"/>
      <c r="AA31" s="119"/>
      <c r="AB31" s="120"/>
      <c r="AC31" s="49"/>
      <c r="AD31" s="50"/>
      <c r="AE31" s="163"/>
      <c r="AF31" s="49"/>
      <c r="AG31" s="50"/>
      <c r="AH31" s="51"/>
      <c r="AI31" s="50"/>
      <c r="AJ31" s="50"/>
      <c r="AK31" s="50"/>
      <c r="AL31" s="17"/>
      <c r="AM31" s="49"/>
      <c r="AN31" s="47"/>
      <c r="AO31" s="163"/>
      <c r="AP31" s="49"/>
      <c r="AQ31" s="50"/>
      <c r="AR31" s="51"/>
      <c r="AS31" s="17"/>
      <c r="AT31" s="47"/>
      <c r="AU31" s="47"/>
      <c r="AV31" s="51"/>
      <c r="AW31" s="2"/>
      <c r="AX31" s="51"/>
      <c r="AY31" s="51"/>
      <c r="AZ31" s="51"/>
      <c r="BA31" s="2"/>
      <c r="BB31" s="47"/>
      <c r="BC31" s="47"/>
      <c r="BD31" s="48"/>
      <c r="BE31" s="49"/>
      <c r="BF31" s="50"/>
      <c r="BG31" s="237"/>
      <c r="BI31" s="199" t="s">
        <v>6</v>
      </c>
      <c r="BJ31" s="81">
        <v>8067.8800829999991</v>
      </c>
      <c r="BK31" s="21">
        <v>8963.5767707149025</v>
      </c>
      <c r="BL31" s="92">
        <f t="shared" si="84"/>
        <v>-895.69668771490342</v>
      </c>
      <c r="BM31" s="254">
        <v>4276.2460000000001</v>
      </c>
      <c r="BN31" s="21">
        <v>4462.7581629957967</v>
      </c>
      <c r="BO31" s="82">
        <f t="shared" si="85"/>
        <v>-186.51216299579664</v>
      </c>
      <c r="BP31" s="197"/>
      <c r="BQ31" s="254">
        <v>787.85350000000005</v>
      </c>
      <c r="BR31" s="21">
        <v>1583.6143697070756</v>
      </c>
      <c r="BS31" s="220">
        <f t="shared" si="86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87"/>
        <v>-793.90235442160042</v>
      </c>
      <c r="BY31" s="207"/>
      <c r="BZ31" s="83">
        <v>7179.7383</v>
      </c>
      <c r="CA31" s="109">
        <v>12012.914276065794</v>
      </c>
      <c r="CB31" s="215">
        <f t="shared" si="88"/>
        <v>-4833.1759760657942</v>
      </c>
      <c r="CN31" s="47">
        <f t="shared" si="24"/>
        <v>0</v>
      </c>
      <c r="CO31" s="47">
        <f t="shared" si="25"/>
        <v>0</v>
      </c>
      <c r="CQ31" s="47">
        <f t="shared" si="26"/>
        <v>0</v>
      </c>
    </row>
    <row r="32" spans="1:95" ht="15" customHeight="1" thickBot="1" x14ac:dyDescent="0.4">
      <c r="A32" s="46">
        <v>22</v>
      </c>
      <c r="B32" s="49"/>
      <c r="C32" s="47"/>
      <c r="D32" s="163"/>
      <c r="E32" s="49"/>
      <c r="F32" s="50"/>
      <c r="G32" s="163"/>
      <c r="H32" s="168"/>
      <c r="I32" s="49"/>
      <c r="J32" s="50"/>
      <c r="K32" s="163"/>
      <c r="L32" s="50"/>
      <c r="M32" s="50"/>
      <c r="N32" s="50"/>
      <c r="O32" s="49"/>
      <c r="P32" s="50"/>
      <c r="Q32" s="163"/>
      <c r="R32" s="50"/>
      <c r="S32" s="50"/>
      <c r="T32" s="50"/>
      <c r="U32" s="173"/>
      <c r="V32" s="49"/>
      <c r="W32" s="47"/>
      <c r="X32" s="163"/>
      <c r="Y32" s="117"/>
      <c r="Z32" s="118"/>
      <c r="AA32" s="119"/>
      <c r="AB32" s="120"/>
      <c r="AC32" s="49"/>
      <c r="AD32" s="50"/>
      <c r="AE32" s="163"/>
      <c r="AF32" s="49"/>
      <c r="AG32" s="50"/>
      <c r="AH32" s="51"/>
      <c r="AI32" s="50"/>
      <c r="AJ32" s="50"/>
      <c r="AK32" s="50"/>
      <c r="AL32" s="17"/>
      <c r="AM32" s="49"/>
      <c r="AN32" s="47"/>
      <c r="AO32" s="163"/>
      <c r="AP32" s="49"/>
      <c r="AQ32" s="50"/>
      <c r="AR32" s="51"/>
      <c r="AS32" s="17"/>
      <c r="AT32" s="47"/>
      <c r="AU32" s="47"/>
      <c r="AV32" s="51"/>
      <c r="AW32" s="2"/>
      <c r="AX32" s="51"/>
      <c r="AY32" s="51"/>
      <c r="AZ32" s="51"/>
      <c r="BA32" s="2"/>
      <c r="BB32" s="47"/>
      <c r="BC32" s="47"/>
      <c r="BD32" s="48"/>
      <c r="BE32" s="49"/>
      <c r="BF32" s="50"/>
      <c r="BG32" s="237"/>
      <c r="BI32" s="199" t="s">
        <v>7</v>
      </c>
      <c r="BJ32" s="81">
        <v>9257</v>
      </c>
      <c r="BK32" s="21">
        <v>10030.647453244723</v>
      </c>
      <c r="BL32" s="92">
        <f t="shared" si="84"/>
        <v>-773.64745324472278</v>
      </c>
      <c r="BM32" s="254">
        <v>3369.9969999999998</v>
      </c>
      <c r="BN32" s="21">
        <v>4980.4230613322788</v>
      </c>
      <c r="BO32" s="82">
        <f t="shared" si="85"/>
        <v>-1610.426061332279</v>
      </c>
      <c r="BP32" s="197"/>
      <c r="BQ32" s="254">
        <v>909.17</v>
      </c>
      <c r="BR32" s="21">
        <v>1693.1915254073704</v>
      </c>
      <c r="BS32" s="220">
        <f t="shared" si="86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87"/>
        <v>-802.61775792909475</v>
      </c>
      <c r="BY32" s="207"/>
      <c r="BZ32" s="83">
        <v>7868</v>
      </c>
      <c r="CA32" s="109">
        <v>12456.896493386255</v>
      </c>
      <c r="CB32" s="215">
        <f t="shared" si="88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47">
        <f t="shared" si="24"/>
        <v>0</v>
      </c>
      <c r="CO32" s="47">
        <f t="shared" si="25"/>
        <v>0</v>
      </c>
      <c r="CQ32" s="47">
        <f t="shared" si="26"/>
        <v>0</v>
      </c>
    </row>
    <row r="33" spans="1:95" ht="15" customHeight="1" thickBot="1" x14ac:dyDescent="0.4">
      <c r="A33" s="46">
        <v>23</v>
      </c>
      <c r="B33" s="49"/>
      <c r="C33" s="47"/>
      <c r="D33" s="163"/>
      <c r="E33" s="49"/>
      <c r="F33" s="50"/>
      <c r="G33" s="163"/>
      <c r="H33" s="173"/>
      <c r="I33" s="49"/>
      <c r="J33" s="50"/>
      <c r="K33" s="163"/>
      <c r="L33" s="50"/>
      <c r="M33" s="50"/>
      <c r="N33" s="50"/>
      <c r="O33" s="49"/>
      <c r="P33" s="50"/>
      <c r="Q33" s="163"/>
      <c r="R33" s="50"/>
      <c r="S33" s="50"/>
      <c r="T33" s="50"/>
      <c r="U33" s="173"/>
      <c r="V33" s="49"/>
      <c r="W33" s="47"/>
      <c r="X33" s="163"/>
      <c r="Y33" s="117"/>
      <c r="Z33" s="118"/>
      <c r="AA33" s="119"/>
      <c r="AB33" s="120"/>
      <c r="AC33" s="49"/>
      <c r="AD33" s="50"/>
      <c r="AE33" s="163"/>
      <c r="AF33" s="49"/>
      <c r="AG33" s="50"/>
      <c r="AH33" s="51"/>
      <c r="AI33" s="50"/>
      <c r="AJ33" s="50"/>
      <c r="AK33" s="50"/>
      <c r="AL33" s="17"/>
      <c r="AM33" s="49"/>
      <c r="AN33" s="47"/>
      <c r="AO33" s="163"/>
      <c r="AP33" s="49"/>
      <c r="AQ33" s="50"/>
      <c r="AR33" s="51"/>
      <c r="AS33" s="17"/>
      <c r="AT33" s="47"/>
      <c r="AU33" s="47"/>
      <c r="AV33" s="51"/>
      <c r="AW33" s="2"/>
      <c r="AX33" s="51"/>
      <c r="AY33" s="51"/>
      <c r="AZ33" s="51"/>
      <c r="BA33" s="2"/>
      <c r="BB33" s="47"/>
      <c r="BC33" s="47"/>
      <c r="BD33" s="48"/>
      <c r="BE33" s="49"/>
      <c r="BF33" s="50"/>
      <c r="BG33" s="237"/>
      <c r="BI33" s="199" t="s">
        <v>8</v>
      </c>
      <c r="BJ33" s="81">
        <v>8977.5299999999988</v>
      </c>
      <c r="BK33" s="21">
        <v>9972.3536653604879</v>
      </c>
      <c r="BL33" s="92">
        <f t="shared" si="84"/>
        <v>-994.82366536048903</v>
      </c>
      <c r="BM33" s="254">
        <v>4679.8609999999999</v>
      </c>
      <c r="BN33" s="21">
        <v>4992.321976957579</v>
      </c>
      <c r="BO33" s="82">
        <f t="shared" si="85"/>
        <v>-312.46097695757908</v>
      </c>
      <c r="BP33" s="197"/>
      <c r="BQ33" s="254">
        <v>834.04312419354801</v>
      </c>
      <c r="BR33" s="21">
        <v>1971.3672978400978</v>
      </c>
      <c r="BS33" s="220">
        <f t="shared" si="86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87"/>
        <v>-910.91331534656842</v>
      </c>
      <c r="BY33" s="207"/>
      <c r="BZ33" s="83">
        <v>7468.5398000000005</v>
      </c>
      <c r="CA33" s="107">
        <v>14101.986661586783</v>
      </c>
      <c r="CB33" s="215">
        <f t="shared" si="88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47">
        <f t="shared" si="24"/>
        <v>0</v>
      </c>
      <c r="CO33" s="47">
        <f t="shared" si="25"/>
        <v>0</v>
      </c>
      <c r="CQ33" s="47">
        <f t="shared" si="26"/>
        <v>0</v>
      </c>
    </row>
    <row r="34" spans="1:95" ht="15" customHeight="1" thickBot="1" x14ac:dyDescent="0.4">
      <c r="A34" s="46">
        <v>24</v>
      </c>
      <c r="B34" s="49"/>
      <c r="C34" s="47"/>
      <c r="D34" s="163"/>
      <c r="E34" s="49"/>
      <c r="F34" s="50"/>
      <c r="G34" s="163"/>
      <c r="H34" s="173"/>
      <c r="I34" s="49"/>
      <c r="J34" s="50"/>
      <c r="K34" s="163"/>
      <c r="L34" s="50"/>
      <c r="M34" s="50"/>
      <c r="N34" s="50"/>
      <c r="O34" s="49"/>
      <c r="P34" s="50"/>
      <c r="Q34" s="163"/>
      <c r="R34" s="50"/>
      <c r="S34" s="50"/>
      <c r="T34" s="50"/>
      <c r="U34" s="173"/>
      <c r="V34" s="49"/>
      <c r="W34" s="47"/>
      <c r="X34" s="163"/>
      <c r="Y34" s="117"/>
      <c r="Z34" s="118"/>
      <c r="AA34" s="119"/>
      <c r="AB34" s="120"/>
      <c r="AC34" s="49"/>
      <c r="AD34" s="50"/>
      <c r="AE34" s="163"/>
      <c r="AF34" s="49"/>
      <c r="AG34" s="50"/>
      <c r="AH34" s="51"/>
      <c r="AI34" s="50"/>
      <c r="AJ34" s="50"/>
      <c r="AK34" s="50"/>
      <c r="AL34" s="17"/>
      <c r="AM34" s="49"/>
      <c r="AN34" s="47"/>
      <c r="AO34" s="163"/>
      <c r="AP34" s="49"/>
      <c r="AQ34" s="50"/>
      <c r="AR34" s="51"/>
      <c r="AS34" s="17"/>
      <c r="AT34" s="47"/>
      <c r="AU34" s="47"/>
      <c r="AV34" s="51"/>
      <c r="AW34" s="2"/>
      <c r="AX34" s="51"/>
      <c r="AY34" s="51"/>
      <c r="AZ34" s="51"/>
      <c r="BA34" s="2"/>
      <c r="BB34" s="47"/>
      <c r="BC34" s="47"/>
      <c r="BD34" s="48"/>
      <c r="BE34" s="49"/>
      <c r="BF34" s="50"/>
      <c r="BG34" s="237"/>
      <c r="BI34" s="199" t="s">
        <v>9</v>
      </c>
      <c r="BJ34" s="81">
        <v>9122.1899999999987</v>
      </c>
      <c r="BK34" s="21">
        <v>10559.38129531788</v>
      </c>
      <c r="BL34" s="92">
        <f t="shared" si="84"/>
        <v>-1437.1912953178817</v>
      </c>
      <c r="BM34" s="254">
        <v>4645.9750000000004</v>
      </c>
      <c r="BN34" s="21">
        <v>5444.6415661926649</v>
      </c>
      <c r="BO34" s="82">
        <f t="shared" si="85"/>
        <v>-798.6665661926645</v>
      </c>
      <c r="BP34" s="197"/>
      <c r="BQ34" s="254">
        <v>810.53499999999997</v>
      </c>
      <c r="BR34" s="21">
        <v>1965.1262146158649</v>
      </c>
      <c r="BS34" s="220">
        <f t="shared" si="86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87"/>
        <v>-925.82655047140929</v>
      </c>
      <c r="BY34" s="207"/>
      <c r="BZ34" s="83">
        <v>7626.2873494691385</v>
      </c>
      <c r="CA34" s="107">
        <v>14314.411886949427</v>
      </c>
      <c r="CB34" s="215">
        <f t="shared" si="88"/>
        <v>-6688.1245374802884</v>
      </c>
      <c r="CN34" s="47">
        <f t="shared" si="24"/>
        <v>0</v>
      </c>
      <c r="CO34" s="47">
        <f t="shared" si="25"/>
        <v>0</v>
      </c>
      <c r="CQ34" s="47">
        <f t="shared" si="26"/>
        <v>0</v>
      </c>
    </row>
    <row r="35" spans="1:95" ht="15" customHeight="1" thickBot="1" x14ac:dyDescent="0.4">
      <c r="A35" s="46">
        <v>25</v>
      </c>
      <c r="B35" s="49"/>
      <c r="C35" s="47"/>
      <c r="D35" s="163"/>
      <c r="E35" s="49"/>
      <c r="F35" s="50"/>
      <c r="G35" s="163"/>
      <c r="H35" s="173"/>
      <c r="I35" s="49"/>
      <c r="J35" s="50"/>
      <c r="K35" s="163"/>
      <c r="L35" s="50"/>
      <c r="M35" s="50"/>
      <c r="N35" s="50"/>
      <c r="O35" s="49"/>
      <c r="P35" s="50"/>
      <c r="Q35" s="163"/>
      <c r="R35" s="50"/>
      <c r="S35" s="50"/>
      <c r="T35" s="50"/>
      <c r="U35" s="173"/>
      <c r="V35" s="49"/>
      <c r="W35" s="47"/>
      <c r="X35" s="163"/>
      <c r="Y35" s="117"/>
      <c r="Z35" s="118"/>
      <c r="AA35" s="119"/>
      <c r="AB35" s="120"/>
      <c r="AC35" s="49"/>
      <c r="AD35" s="50"/>
      <c r="AE35" s="163"/>
      <c r="AF35" s="49"/>
      <c r="AG35" s="50"/>
      <c r="AH35" s="51"/>
      <c r="AI35" s="50"/>
      <c r="AJ35" s="50"/>
      <c r="AK35" s="50"/>
      <c r="AL35" s="17"/>
      <c r="AM35" s="49"/>
      <c r="AN35" s="47"/>
      <c r="AO35" s="163"/>
      <c r="AP35" s="49"/>
      <c r="AQ35" s="50"/>
      <c r="AR35" s="51"/>
      <c r="AS35" s="17"/>
      <c r="AT35" s="47"/>
      <c r="AU35" s="47"/>
      <c r="AV35" s="51"/>
      <c r="AW35" s="2"/>
      <c r="AX35" s="51"/>
      <c r="AY35" s="51"/>
      <c r="AZ35" s="51"/>
      <c r="BA35" s="2"/>
      <c r="BB35" s="47"/>
      <c r="BC35" s="47"/>
      <c r="BD35" s="48"/>
      <c r="BE35" s="49"/>
      <c r="BF35" s="50"/>
      <c r="BG35" s="237"/>
      <c r="BI35" s="199" t="s">
        <v>22</v>
      </c>
      <c r="BJ35" s="81">
        <v>8604.1274070000018</v>
      </c>
      <c r="BK35" s="21">
        <v>10554.353866119576</v>
      </c>
      <c r="BL35" s="92">
        <f t="shared" si="84"/>
        <v>-1950.2264591195744</v>
      </c>
      <c r="BM35" s="270">
        <v>4361.0186999999996</v>
      </c>
      <c r="BN35" s="21">
        <v>5572.7632000577723</v>
      </c>
      <c r="BO35" s="82">
        <f t="shared" si="85"/>
        <v>-1211.7445000577727</v>
      </c>
      <c r="BP35" s="197"/>
      <c r="BQ35" s="254">
        <v>754.316175053763</v>
      </c>
      <c r="BR35" s="21">
        <v>1835.1057112562673</v>
      </c>
      <c r="BS35" s="220">
        <f t="shared" si="86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87"/>
        <v>-1028.3283624129731</v>
      </c>
      <c r="BY35" s="207"/>
      <c r="BZ35" s="83">
        <v>7234.2440999999981</v>
      </c>
      <c r="CA35" s="107">
        <v>16098.577615919468</v>
      </c>
      <c r="CB35" s="215">
        <f t="shared" si="88"/>
        <v>-8864.3335159194703</v>
      </c>
      <c r="CN35" s="47">
        <f t="shared" si="24"/>
        <v>0</v>
      </c>
      <c r="CO35" s="47">
        <f t="shared" si="25"/>
        <v>0</v>
      </c>
      <c r="CQ35" s="47">
        <f t="shared" si="26"/>
        <v>0</v>
      </c>
    </row>
    <row r="36" spans="1:95" ht="15" customHeight="1" thickBot="1" x14ac:dyDescent="0.4">
      <c r="A36" s="46">
        <v>26</v>
      </c>
      <c r="B36" s="49"/>
      <c r="C36" s="47"/>
      <c r="D36" s="163"/>
      <c r="E36" s="49"/>
      <c r="F36" s="50"/>
      <c r="G36" s="163"/>
      <c r="H36" s="173"/>
      <c r="I36" s="49"/>
      <c r="J36" s="50"/>
      <c r="K36" s="163"/>
      <c r="L36" s="50"/>
      <c r="M36" s="50"/>
      <c r="N36" s="50"/>
      <c r="O36" s="49"/>
      <c r="P36" s="50"/>
      <c r="Q36" s="163"/>
      <c r="R36" s="50"/>
      <c r="S36" s="50"/>
      <c r="T36" s="50"/>
      <c r="U36" s="173"/>
      <c r="V36" s="49"/>
      <c r="W36" s="47"/>
      <c r="X36" s="163"/>
      <c r="Y36" s="117"/>
      <c r="Z36" s="118"/>
      <c r="AA36" s="119"/>
      <c r="AB36" s="120"/>
      <c r="AC36" s="49"/>
      <c r="AD36" s="50"/>
      <c r="AE36" s="163"/>
      <c r="AF36" s="49"/>
      <c r="AG36" s="50"/>
      <c r="AH36" s="51"/>
      <c r="AI36" s="50"/>
      <c r="AJ36" s="50"/>
      <c r="AK36" s="50"/>
      <c r="AL36" s="17"/>
      <c r="AM36" s="49"/>
      <c r="AN36" s="47"/>
      <c r="AO36" s="163"/>
      <c r="AP36" s="49"/>
      <c r="AQ36" s="50"/>
      <c r="AR36" s="51"/>
      <c r="AS36" s="17"/>
      <c r="AT36" s="47"/>
      <c r="AU36" s="47"/>
      <c r="AV36" s="51"/>
      <c r="AW36" s="2"/>
      <c r="AX36" s="51"/>
      <c r="AY36" s="51"/>
      <c r="AZ36" s="51"/>
      <c r="BA36" s="2"/>
      <c r="BB36" s="47"/>
      <c r="BC36" s="47"/>
      <c r="BD36" s="48"/>
      <c r="BE36" s="49"/>
      <c r="BF36" s="50"/>
      <c r="BG36" s="237"/>
      <c r="BI36" s="199" t="s">
        <v>23</v>
      </c>
      <c r="BJ36" s="81">
        <v>9009.9000000000015</v>
      </c>
      <c r="BK36" s="21">
        <v>11059.387897326431</v>
      </c>
      <c r="BL36" s="92">
        <f t="shared" si="84"/>
        <v>-2049.4878973264294</v>
      </c>
      <c r="BM36" s="254">
        <v>4556.8670000000002</v>
      </c>
      <c r="BN36" s="21">
        <v>5973.8421106670085</v>
      </c>
      <c r="BO36" s="82">
        <f t="shared" si="85"/>
        <v>-1416.9751106670083</v>
      </c>
      <c r="BP36" s="197"/>
      <c r="BQ36" s="254">
        <v>740.61</v>
      </c>
      <c r="BR36" s="21">
        <v>1830.3720490908759</v>
      </c>
      <c r="BS36" s="220">
        <f t="shared" si="86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87"/>
        <v>-1070.9963184567316</v>
      </c>
      <c r="BY36" s="207"/>
      <c r="BZ36" s="83">
        <v>5672.9896999999983</v>
      </c>
      <c r="CA36" s="107">
        <v>16382.86827351331</v>
      </c>
      <c r="CB36" s="215">
        <f t="shared" si="88"/>
        <v>-10709.878573513311</v>
      </c>
      <c r="CN36" s="47">
        <f t="shared" si="24"/>
        <v>0</v>
      </c>
      <c r="CO36" s="47">
        <f t="shared" si="25"/>
        <v>0</v>
      </c>
      <c r="CQ36" s="47">
        <f t="shared" si="26"/>
        <v>0</v>
      </c>
    </row>
    <row r="37" spans="1:95" ht="13.5" customHeight="1" thickBot="1" x14ac:dyDescent="0.4">
      <c r="A37" s="46">
        <v>27</v>
      </c>
      <c r="B37" s="49"/>
      <c r="C37" s="47"/>
      <c r="D37" s="163"/>
      <c r="E37" s="49"/>
      <c r="F37" s="50"/>
      <c r="G37" s="163"/>
      <c r="H37" s="173"/>
      <c r="I37" s="49"/>
      <c r="J37" s="50"/>
      <c r="K37" s="163"/>
      <c r="L37" s="50"/>
      <c r="M37" s="50"/>
      <c r="N37" s="50"/>
      <c r="O37" s="49"/>
      <c r="P37" s="50"/>
      <c r="Q37" s="163"/>
      <c r="R37" s="50"/>
      <c r="S37" s="50"/>
      <c r="T37" s="50"/>
      <c r="U37" s="173"/>
      <c r="V37" s="49"/>
      <c r="W37" s="47"/>
      <c r="X37" s="163"/>
      <c r="Y37" s="117"/>
      <c r="Z37" s="118"/>
      <c r="AA37" s="119"/>
      <c r="AB37" s="120"/>
      <c r="AC37" s="49"/>
      <c r="AD37" s="50"/>
      <c r="AE37" s="163"/>
      <c r="AF37" s="49"/>
      <c r="AG37" s="50"/>
      <c r="AH37" s="51"/>
      <c r="AI37" s="50"/>
      <c r="AJ37" s="50"/>
      <c r="AK37" s="50"/>
      <c r="AL37" s="17"/>
      <c r="AM37" s="49"/>
      <c r="AN37" s="47"/>
      <c r="AO37" s="163"/>
      <c r="AP37" s="49"/>
      <c r="AQ37" s="50"/>
      <c r="AR37" s="51"/>
      <c r="AS37" s="17"/>
      <c r="AT37" s="47"/>
      <c r="AU37" s="47"/>
      <c r="AV37" s="51"/>
      <c r="AW37" s="2"/>
      <c r="AX37" s="51"/>
      <c r="AY37" s="51"/>
      <c r="AZ37" s="51"/>
      <c r="BA37" s="2"/>
      <c r="BB37" s="47"/>
      <c r="BC37" s="47"/>
      <c r="BD37" s="48"/>
      <c r="BE37" s="49"/>
      <c r="BF37" s="50"/>
      <c r="BG37" s="237"/>
      <c r="BI37" s="199" t="s">
        <v>17</v>
      </c>
      <c r="BJ37" s="81">
        <v>9403.845523</v>
      </c>
      <c r="BK37" s="21">
        <v>11101.075707872222</v>
      </c>
      <c r="BL37" s="92">
        <f t="shared" si="84"/>
        <v>-1697.2301848722218</v>
      </c>
      <c r="BM37" s="254">
        <v>5131.8670000000002</v>
      </c>
      <c r="BN37" s="21">
        <v>6052.2746939036369</v>
      </c>
      <c r="BO37" s="82">
        <f t="shared" si="85"/>
        <v>-920.40769390363675</v>
      </c>
      <c r="BP37" s="197"/>
      <c r="BQ37" s="254">
        <v>681.10299999999995</v>
      </c>
      <c r="BR37" s="21">
        <v>1767.2672236712367</v>
      </c>
      <c r="BS37" s="220">
        <f t="shared" si="86"/>
        <v>-1086.1642236712369</v>
      </c>
      <c r="BT37" s="5"/>
      <c r="BU37" s="15"/>
      <c r="BV37" s="214">
        <v>351.89060263952945</v>
      </c>
      <c r="BW37" s="107">
        <v>1284.1484877921591</v>
      </c>
      <c r="BX37" s="84">
        <f t="shared" si="87"/>
        <v>-932.25788515262968</v>
      </c>
      <c r="BY37" s="207"/>
      <c r="BZ37" s="83">
        <v>7346.8215</v>
      </c>
      <c r="CA37" s="107">
        <v>16128.697029100895</v>
      </c>
      <c r="CB37" s="215">
        <f t="shared" si="88"/>
        <v>-8781.8755291008947</v>
      </c>
      <c r="CN37" s="47">
        <f t="shared" si="24"/>
        <v>0</v>
      </c>
      <c r="CO37" s="47">
        <f t="shared" si="25"/>
        <v>0</v>
      </c>
      <c r="CQ37" s="47">
        <f t="shared" si="26"/>
        <v>0</v>
      </c>
    </row>
    <row r="38" spans="1:95" ht="15" customHeight="1" x14ac:dyDescent="0.35">
      <c r="A38" s="46">
        <v>28</v>
      </c>
      <c r="B38" s="49"/>
      <c r="C38" s="47"/>
      <c r="D38" s="163"/>
      <c r="E38" s="49"/>
      <c r="F38" s="50"/>
      <c r="G38" s="163"/>
      <c r="H38" s="173"/>
      <c r="I38" s="49"/>
      <c r="J38" s="50"/>
      <c r="K38" s="163"/>
      <c r="L38" s="50"/>
      <c r="M38" s="50"/>
      <c r="N38" s="50"/>
      <c r="O38" s="49"/>
      <c r="P38" s="50"/>
      <c r="Q38" s="163"/>
      <c r="R38" s="50"/>
      <c r="S38" s="50"/>
      <c r="T38" s="50"/>
      <c r="U38" s="173"/>
      <c r="V38" s="49"/>
      <c r="W38" s="47"/>
      <c r="X38" s="163"/>
      <c r="Y38" s="2"/>
      <c r="Z38" s="53"/>
      <c r="AA38" s="54"/>
      <c r="AB38" s="52"/>
      <c r="AC38" s="49"/>
      <c r="AD38" s="50"/>
      <c r="AE38" s="163"/>
      <c r="AF38" s="49"/>
      <c r="AG38" s="50"/>
      <c r="AH38" s="51"/>
      <c r="AI38" s="50"/>
      <c r="AJ38" s="50"/>
      <c r="AK38" s="50"/>
      <c r="AL38" s="17"/>
      <c r="AM38" s="49"/>
      <c r="AN38" s="47"/>
      <c r="AO38" s="163"/>
      <c r="AP38" s="49"/>
      <c r="AQ38" s="50"/>
      <c r="AR38" s="51"/>
      <c r="AS38" s="17"/>
      <c r="AT38" s="47"/>
      <c r="AU38" s="47"/>
      <c r="AV38" s="51"/>
      <c r="AW38" s="2"/>
      <c r="AX38" s="51"/>
      <c r="AY38" s="51"/>
      <c r="AZ38" s="51"/>
      <c r="BA38" s="2"/>
      <c r="BB38" s="47"/>
      <c r="BC38" s="47"/>
      <c r="BD38" s="48"/>
      <c r="BE38" s="49"/>
      <c r="BF38" s="50"/>
      <c r="BG38" s="237"/>
      <c r="BI38" s="199" t="s">
        <v>10</v>
      </c>
      <c r="BJ38" s="81"/>
      <c r="BK38" s="21">
        <v>10779.263002463777</v>
      </c>
      <c r="BL38" s="92">
        <f t="shared" si="84"/>
        <v>-10779.263002463777</v>
      </c>
      <c r="BM38" s="254"/>
      <c r="BN38" s="21">
        <v>5872.3145003282016</v>
      </c>
      <c r="BO38" s="82">
        <f t="shared" si="85"/>
        <v>-5872.3145003282016</v>
      </c>
      <c r="BP38" s="197"/>
      <c r="BQ38" s="254"/>
      <c r="BR38" s="21">
        <v>1651.7637108019353</v>
      </c>
      <c r="BS38" s="220">
        <f t="shared" si="86"/>
        <v>-1651.7637108019353</v>
      </c>
      <c r="BT38" s="5"/>
      <c r="BU38" s="15"/>
      <c r="BV38" s="214"/>
      <c r="BW38" s="107">
        <v>1208.7646526683636</v>
      </c>
      <c r="BX38" s="84">
        <f t="shared" si="87"/>
        <v>-1208.7646526683636</v>
      </c>
      <c r="BY38" s="207"/>
      <c r="BZ38" s="83"/>
      <c r="CA38" s="107">
        <v>15277.645896647065</v>
      </c>
      <c r="CB38" s="215">
        <f t="shared" si="88"/>
        <v>-15277.645896647065</v>
      </c>
      <c r="CN38" s="47">
        <f t="shared" si="24"/>
        <v>0</v>
      </c>
      <c r="CO38" s="47">
        <f t="shared" si="25"/>
        <v>0</v>
      </c>
      <c r="CQ38" s="47">
        <f t="shared" si="26"/>
        <v>0</v>
      </c>
    </row>
    <row r="39" spans="1:95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11157.159529517237</v>
      </c>
      <c r="BL39" s="92">
        <f t="shared" si="84"/>
        <v>-11157.159529517237</v>
      </c>
      <c r="BM39" s="254"/>
      <c r="BN39" s="21">
        <v>6087.579337493291</v>
      </c>
      <c r="BO39" s="82">
        <f t="shared" si="85"/>
        <v>-6087.579337493291</v>
      </c>
      <c r="BP39" s="197"/>
      <c r="BQ39" s="254"/>
      <c r="BR39" s="21">
        <v>2795.5735691705136</v>
      </c>
      <c r="BS39" s="220">
        <f t="shared" si="86"/>
        <v>-2795.5735691705136</v>
      </c>
      <c r="BT39" s="5"/>
      <c r="BU39" s="15"/>
      <c r="BV39" s="214"/>
      <c r="BW39" s="107">
        <v>1215.1479933416113</v>
      </c>
      <c r="BX39" s="84">
        <f t="shared" si="87"/>
        <v>-1215.1479933416113</v>
      </c>
      <c r="BY39" s="207"/>
      <c r="BZ39" s="83"/>
      <c r="CA39" s="107">
        <v>15450.20609576125</v>
      </c>
      <c r="CB39" s="215">
        <f t="shared" si="88"/>
        <v>-15450.20609576125</v>
      </c>
      <c r="CN39" s="47">
        <f t="shared" si="24"/>
        <v>0</v>
      </c>
      <c r="CO39" s="47">
        <f t="shared" si="25"/>
        <v>0</v>
      </c>
      <c r="CQ39" s="47">
        <f t="shared" si="26"/>
        <v>0</v>
      </c>
    </row>
    <row r="40" spans="1:95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84"/>
        <v>-10743.073388846915</v>
      </c>
      <c r="BM40" s="254"/>
      <c r="BN40" s="21">
        <v>5832.3583361673891</v>
      </c>
      <c r="BO40" s="82">
        <f t="shared" si="85"/>
        <v>-5832.3583361673891</v>
      </c>
      <c r="BP40" s="197"/>
      <c r="BQ40" s="254"/>
      <c r="BR40" s="21">
        <v>2603.1652017662027</v>
      </c>
      <c r="BS40" s="220">
        <f t="shared" si="86"/>
        <v>-2603.1652017662027</v>
      </c>
      <c r="BT40" s="5"/>
      <c r="BU40" s="15"/>
      <c r="BV40" s="214"/>
      <c r="BW40" s="107">
        <v>1153.3893710620828</v>
      </c>
      <c r="BX40" s="84">
        <f t="shared" si="87"/>
        <v>-1153.3893710620828</v>
      </c>
      <c r="BY40" s="207"/>
      <c r="BZ40" s="83"/>
      <c r="CA40" s="107">
        <v>14780.364315283223</v>
      </c>
      <c r="CB40" s="215">
        <f t="shared" si="88"/>
        <v>-14780.364315283223</v>
      </c>
      <c r="CN40" s="47">
        <f t="shared" si="24"/>
        <v>0</v>
      </c>
      <c r="CO40" s="47">
        <f t="shared" si="25"/>
        <v>0</v>
      </c>
      <c r="CQ40" s="47">
        <f t="shared" si="26"/>
        <v>0</v>
      </c>
    </row>
    <row r="41" spans="1:95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84"/>
        <v>-11004.303480979688</v>
      </c>
      <c r="BM41" s="254"/>
      <c r="BN41" s="21">
        <v>5961.3589319686052</v>
      </c>
      <c r="BO41" s="82">
        <f t="shared" si="85"/>
        <v>-5961.3589319686052</v>
      </c>
      <c r="BP41" s="197"/>
      <c r="BQ41" s="254"/>
      <c r="BR41" s="21">
        <v>2589.4017939279993</v>
      </c>
      <c r="BS41" s="220">
        <f t="shared" si="86"/>
        <v>-2589.4017939279993</v>
      </c>
      <c r="BT41" s="5"/>
      <c r="BU41" s="15"/>
      <c r="BV41" s="214"/>
      <c r="BW41" s="107">
        <v>1164.8762045276405</v>
      </c>
      <c r="BX41" s="84">
        <f t="shared" si="87"/>
        <v>-1164.8762045276405</v>
      </c>
      <c r="BY41" s="207"/>
      <c r="BZ41" s="83"/>
      <c r="CA41" s="107">
        <v>15031.252261225651</v>
      </c>
      <c r="CB41" s="215">
        <f t="shared" si="88"/>
        <v>-15031.252261225651</v>
      </c>
      <c r="CN41" s="285">
        <f t="shared" si="24"/>
        <v>0</v>
      </c>
      <c r="CO41" s="285">
        <f t="shared" si="25"/>
        <v>0</v>
      </c>
      <c r="CQ41" s="285">
        <f t="shared" si="26"/>
        <v>0</v>
      </c>
    </row>
    <row r="42" spans="1:95" ht="15" customHeight="1" thickBot="1" x14ac:dyDescent="0.3">
      <c r="A42" s="23"/>
      <c r="B42" s="396"/>
      <c r="C42" s="369"/>
      <c r="D42" s="369"/>
      <c r="E42" s="369"/>
      <c r="F42" s="369"/>
      <c r="G42" s="369"/>
      <c r="H42" s="23"/>
      <c r="I42" s="367"/>
      <c r="J42" s="368"/>
      <c r="K42" s="368"/>
      <c r="L42" s="368"/>
      <c r="M42" s="368"/>
      <c r="N42" s="368"/>
      <c r="O42" s="367"/>
      <c r="P42" s="368"/>
      <c r="Q42" s="368"/>
      <c r="R42" s="368"/>
      <c r="S42" s="368"/>
      <c r="T42" s="368"/>
      <c r="U42" s="23"/>
      <c r="V42" s="401"/>
      <c r="W42" s="402"/>
      <c r="X42" s="402"/>
      <c r="Y42" s="23"/>
      <c r="Z42" s="23"/>
      <c r="AA42" s="23"/>
      <c r="AB42" s="23"/>
      <c r="AC42" s="396"/>
      <c r="AD42" s="403"/>
      <c r="AE42" s="403"/>
      <c r="AF42" s="403"/>
      <c r="AG42" s="403"/>
      <c r="AH42" s="403"/>
      <c r="AI42" s="403"/>
      <c r="AJ42" s="403"/>
      <c r="AK42" s="403"/>
      <c r="AL42" s="23"/>
      <c r="AM42" s="396"/>
      <c r="AN42" s="369"/>
      <c r="AO42" s="369"/>
      <c r="AP42" s="369"/>
      <c r="AQ42" s="369"/>
      <c r="AR42" s="369"/>
      <c r="AS42" s="23"/>
      <c r="AT42" s="401"/>
      <c r="AU42" s="402"/>
      <c r="AV42" s="402"/>
      <c r="AW42" s="23"/>
      <c r="AX42" s="401"/>
      <c r="AY42" s="402"/>
      <c r="AZ42" s="402"/>
      <c r="BA42" s="23"/>
      <c r="BB42" s="396"/>
      <c r="BC42" s="369"/>
      <c r="BD42" s="369"/>
      <c r="BE42" s="369"/>
      <c r="BF42" s="369"/>
      <c r="BG42" s="369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5" ht="15.75" customHeight="1" x14ac:dyDescent="0.25">
      <c r="A43" s="23"/>
      <c r="B43" s="369"/>
      <c r="C43" s="369"/>
      <c r="D43" s="369"/>
      <c r="E43" s="369"/>
      <c r="F43" s="369"/>
      <c r="G43" s="369"/>
      <c r="H43" s="23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23"/>
      <c r="V43" s="402"/>
      <c r="W43" s="402"/>
      <c r="X43" s="402"/>
      <c r="Y43" s="23"/>
      <c r="Z43" s="23"/>
      <c r="AA43" s="23"/>
      <c r="AB43" s="23"/>
      <c r="AC43" s="403"/>
      <c r="AD43" s="403"/>
      <c r="AE43" s="403"/>
      <c r="AF43" s="403"/>
      <c r="AG43" s="403"/>
      <c r="AH43" s="403"/>
      <c r="AI43" s="403"/>
      <c r="AJ43" s="403"/>
      <c r="AK43" s="403"/>
      <c r="AL43" s="23"/>
      <c r="AM43" s="369"/>
      <c r="AN43" s="369"/>
      <c r="AO43" s="369"/>
      <c r="AP43" s="369"/>
      <c r="AQ43" s="369"/>
      <c r="AR43" s="369"/>
      <c r="AS43" s="23"/>
      <c r="AT43" s="402"/>
      <c r="AU43" s="402"/>
      <c r="AV43" s="402"/>
      <c r="AW43" s="23"/>
      <c r="AX43" s="402"/>
      <c r="AY43" s="402"/>
      <c r="AZ43" s="402"/>
      <c r="BA43" s="23"/>
      <c r="BB43" s="369"/>
      <c r="BC43" s="369"/>
      <c r="BD43" s="369"/>
      <c r="BE43" s="369"/>
      <c r="BF43" s="369"/>
      <c r="BG43" s="369"/>
      <c r="BH43" s="14"/>
      <c r="BJ43" s="20"/>
      <c r="BK43" s="90"/>
      <c r="CN43" s="14"/>
      <c r="CO43" s="14"/>
      <c r="CP43" s="14"/>
      <c r="CQ43" s="14"/>
    </row>
    <row r="44" spans="1:95" ht="13.5" customHeight="1" x14ac:dyDescent="0.25">
      <c r="A44" s="23"/>
      <c r="B44" s="369"/>
      <c r="C44" s="369"/>
      <c r="D44" s="369"/>
      <c r="E44" s="369"/>
      <c r="F44" s="369"/>
      <c r="G44" s="369"/>
      <c r="H44" s="23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23"/>
      <c r="V44" s="402"/>
      <c r="W44" s="402"/>
      <c r="X44" s="402"/>
      <c r="Y44" s="23"/>
      <c r="Z44" s="23"/>
      <c r="AA44" s="23"/>
      <c r="AB44" s="23"/>
      <c r="AC44" s="403"/>
      <c r="AD44" s="403"/>
      <c r="AE44" s="403"/>
      <c r="AF44" s="403"/>
      <c r="AG44" s="403"/>
      <c r="AH44" s="403"/>
      <c r="AI44" s="403"/>
      <c r="AJ44" s="403"/>
      <c r="AK44" s="403"/>
      <c r="AL44" s="23"/>
      <c r="AM44" s="369"/>
      <c r="AN44" s="369"/>
      <c r="AO44" s="369"/>
      <c r="AP44" s="369"/>
      <c r="AQ44" s="369"/>
      <c r="AR44" s="369"/>
      <c r="AS44" s="23"/>
      <c r="AT44" s="402"/>
      <c r="AU44" s="402"/>
      <c r="AV44" s="402"/>
      <c r="AW44" s="23"/>
      <c r="AX44" s="402"/>
      <c r="AY44" s="402"/>
      <c r="AZ44" s="402"/>
      <c r="BA44" s="23"/>
      <c r="BB44" s="369"/>
      <c r="BC44" s="369"/>
      <c r="BD44" s="369"/>
      <c r="BE44" s="369"/>
      <c r="BF44" s="369"/>
      <c r="BG44" s="369"/>
      <c r="BH44" s="14"/>
      <c r="BJ44" s="20"/>
      <c r="BK44" s="20"/>
      <c r="CN44" s="14"/>
      <c r="CO44" s="14"/>
      <c r="CP44" s="14"/>
      <c r="CQ44" s="14"/>
    </row>
    <row r="45" spans="1:95" ht="14.25" customHeight="1" x14ac:dyDescent="0.25">
      <c r="A45" s="23"/>
      <c r="C45" s="157"/>
      <c r="D45" s="23"/>
      <c r="F45" s="23"/>
      <c r="G45" s="23"/>
      <c r="H45" s="23"/>
      <c r="I45" s="369"/>
      <c r="J45" s="369"/>
      <c r="K45" s="369"/>
      <c r="L45" s="369"/>
      <c r="M45" s="369"/>
      <c r="N45" s="369"/>
      <c r="O45" s="369"/>
      <c r="P45" s="369"/>
      <c r="Q45" s="369"/>
      <c r="R45" s="369"/>
      <c r="S45" s="369"/>
      <c r="T45" s="369"/>
      <c r="U45" s="23"/>
      <c r="V45" s="402"/>
      <c r="W45" s="402"/>
      <c r="X45" s="402"/>
      <c r="Y45" s="23"/>
      <c r="Z45" s="23"/>
      <c r="AA45" s="23"/>
      <c r="AB45" s="23"/>
      <c r="AC45" s="404"/>
      <c r="AD45" s="405"/>
      <c r="AE45" s="405"/>
      <c r="AF45" s="405"/>
      <c r="AG45" s="405"/>
      <c r="AH45" s="405"/>
      <c r="AI45" s="405"/>
      <c r="AJ45" s="405"/>
      <c r="AK45" s="405"/>
      <c r="AL45" s="23"/>
      <c r="AM45" s="23"/>
      <c r="AN45" s="23"/>
      <c r="AO45" s="23"/>
      <c r="AP45" s="23"/>
      <c r="AQ45" s="23"/>
      <c r="AR45" s="23"/>
      <c r="AS45" s="23"/>
      <c r="AT45" s="402"/>
      <c r="AU45" s="402"/>
      <c r="AV45" s="402"/>
      <c r="AW45" s="23"/>
      <c r="AX45" s="402"/>
      <c r="AY45" s="402"/>
      <c r="AZ45" s="402"/>
      <c r="BA45" s="23"/>
      <c r="BB45" s="159"/>
      <c r="BC45" s="160"/>
      <c r="BD45" s="159"/>
      <c r="BE45" s="159"/>
      <c r="BF45" s="159"/>
      <c r="BG45" s="159"/>
      <c r="BH45" s="14"/>
      <c r="BJ45" s="20"/>
      <c r="CN45" s="14"/>
      <c r="CO45" s="14"/>
      <c r="CP45" s="14"/>
      <c r="CQ45" s="14"/>
    </row>
    <row r="46" spans="1:95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405"/>
      <c r="AD46" s="405"/>
      <c r="AE46" s="405"/>
      <c r="AF46" s="405"/>
      <c r="AG46" s="405"/>
      <c r="AH46" s="405"/>
      <c r="AI46" s="405"/>
      <c r="AJ46" s="405"/>
      <c r="AK46" s="405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  <c r="CN46" s="14"/>
      <c r="CO46" s="14"/>
      <c r="CP46" s="14"/>
      <c r="CQ46" s="14"/>
    </row>
    <row r="47" spans="1:95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405"/>
      <c r="AD47" s="405"/>
      <c r="AE47" s="405"/>
      <c r="AF47" s="405"/>
      <c r="AG47" s="405"/>
      <c r="AH47" s="405"/>
      <c r="AI47" s="405"/>
      <c r="AJ47" s="405"/>
      <c r="AK47" s="405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04" t="s">
        <v>118</v>
      </c>
      <c r="BJ47" s="305"/>
      <c r="BK47" s="305"/>
      <c r="BL47" s="305"/>
      <c r="BM47" s="305"/>
      <c r="BN47" s="305"/>
      <c r="BO47" s="305"/>
      <c r="BP47" s="305"/>
      <c r="BQ47" s="305"/>
      <c r="BR47" s="305"/>
      <c r="BS47" s="305"/>
      <c r="BT47" s="306"/>
      <c r="CN47" s="14"/>
      <c r="CO47" s="14"/>
      <c r="CP47" s="14"/>
      <c r="CQ47" s="14"/>
    </row>
    <row r="48" spans="1:95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  <c r="CN48" s="14"/>
      <c r="CO48" s="14"/>
      <c r="CP48" s="14"/>
      <c r="CQ48" s="14"/>
    </row>
    <row r="49" spans="1:95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49"/>
      <c r="BK49" s="350"/>
      <c r="BL49" s="350"/>
      <c r="BM49" s="350"/>
      <c r="BN49" s="350"/>
      <c r="BO49" s="351"/>
      <c r="BP49" s="60"/>
      <c r="BQ49" s="355"/>
      <c r="BR49" s="355"/>
      <c r="BS49" s="355"/>
      <c r="BT49" s="69"/>
      <c r="CN49" s="14"/>
      <c r="CO49" s="14"/>
      <c r="CP49" s="14"/>
      <c r="CQ49" s="14"/>
    </row>
    <row r="50" spans="1:95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52" t="s">
        <v>52</v>
      </c>
      <c r="BK50" s="353"/>
      <c r="BL50" s="353"/>
      <c r="BM50" s="353"/>
      <c r="BN50" s="353"/>
      <c r="BO50" s="354"/>
      <c r="BP50" s="60"/>
      <c r="BQ50" s="356"/>
      <c r="BR50" s="356"/>
      <c r="BS50" s="356"/>
      <c r="BT50" s="70"/>
      <c r="CN50" s="14"/>
      <c r="CO50" s="14"/>
      <c r="CP50" s="14"/>
      <c r="CQ50" s="14"/>
    </row>
    <row r="51" spans="1:95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95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95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95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89">BJ54-BK54</f>
        <v>-709.00054269733346</v>
      </c>
      <c r="BM54" s="253">
        <v>3323.3180000000002</v>
      </c>
      <c r="BN54" s="21">
        <v>3352.8927140551687</v>
      </c>
      <c r="BO54" s="220">
        <f t="shared" ref="BO54:BO65" si="90">BM54-BN54</f>
        <v>-29.574714055168442</v>
      </c>
      <c r="BP54" s="80"/>
      <c r="BQ54" s="96"/>
      <c r="BR54" s="97"/>
      <c r="BS54" s="98"/>
      <c r="BT54" s="5"/>
    </row>
    <row r="55" spans="1:95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89"/>
        <v>-697.95352329832804</v>
      </c>
      <c r="BM55" s="253">
        <v>2996.2914576344101</v>
      </c>
      <c r="BN55" s="21">
        <v>3103.0593240260428</v>
      </c>
      <c r="BO55" s="220">
        <f t="shared" si="90"/>
        <v>-106.76786639163265</v>
      </c>
      <c r="BP55" s="80"/>
      <c r="BQ55" s="96"/>
      <c r="BR55" s="97"/>
      <c r="BS55" s="98"/>
      <c r="BT55" s="5"/>
    </row>
    <row r="56" spans="1:95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4708.1380661742114</v>
      </c>
      <c r="BL56" s="92">
        <f t="shared" si="89"/>
        <v>-750.13806617421142</v>
      </c>
      <c r="BM56" s="253">
        <v>3369.9969999999998</v>
      </c>
      <c r="BN56" s="21">
        <v>3503.9933612680038</v>
      </c>
      <c r="BO56" s="220">
        <f t="shared" si="90"/>
        <v>-133.99636126800397</v>
      </c>
      <c r="BP56" s="80"/>
      <c r="BQ56" s="96"/>
      <c r="BR56" s="97"/>
      <c r="BS56" s="98"/>
      <c r="BT56" s="5"/>
    </row>
    <row r="57" spans="1:95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4491.1386812116671</v>
      </c>
      <c r="BL57" s="92">
        <f t="shared" si="89"/>
        <v>-804.14868121166728</v>
      </c>
      <c r="BM57" s="254">
        <v>3411.3465376344102</v>
      </c>
      <c r="BN57" s="21">
        <v>3307.1620041619899</v>
      </c>
      <c r="BO57" s="220">
        <f t="shared" si="90"/>
        <v>104.1845334724203</v>
      </c>
      <c r="BP57" s="80"/>
      <c r="BQ57" s="96"/>
      <c r="BR57" s="97"/>
      <c r="BS57" s="98"/>
      <c r="BT57" s="5"/>
    </row>
    <row r="58" spans="1:95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4530.8850726316477</v>
      </c>
      <c r="BL58" s="92">
        <f t="shared" si="89"/>
        <v>-461.44507263164815</v>
      </c>
      <c r="BM58" s="254">
        <v>4970.3708010752698</v>
      </c>
      <c r="BN58" s="21">
        <v>3325.1405241232474</v>
      </c>
      <c r="BO58" s="220">
        <f t="shared" si="90"/>
        <v>1645.2302769520225</v>
      </c>
      <c r="BP58" s="80"/>
      <c r="BQ58" s="96"/>
      <c r="BR58" s="97"/>
      <c r="BS58" s="99"/>
      <c r="BT58" s="5"/>
    </row>
    <row r="59" spans="1:95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4283.0861951820316</v>
      </c>
      <c r="BL59" s="92">
        <f t="shared" si="89"/>
        <v>-642.36619518203088</v>
      </c>
      <c r="BM59" s="270">
        <v>4421.1381332258097</v>
      </c>
      <c r="BN59" s="21">
        <v>3129.7852570267542</v>
      </c>
      <c r="BO59" s="220">
        <f t="shared" si="90"/>
        <v>1291.3528761990556</v>
      </c>
      <c r="BP59" s="80"/>
      <c r="BQ59" s="96"/>
      <c r="BR59" s="97"/>
      <c r="BS59" s="99"/>
      <c r="BT59" s="5"/>
    </row>
    <row r="60" spans="1:95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4328.4751433553638</v>
      </c>
      <c r="BL60" s="92">
        <f t="shared" si="89"/>
        <v>-497.6951433553636</v>
      </c>
      <c r="BM60" s="254">
        <v>4697.0290000000005</v>
      </c>
      <c r="BN60" s="21">
        <v>3147.5039614155517</v>
      </c>
      <c r="BO60" s="220">
        <f t="shared" si="90"/>
        <v>1549.5250385844488</v>
      </c>
      <c r="BP60" s="80"/>
      <c r="BQ60" s="96"/>
      <c r="BR60" s="97"/>
      <c r="BS60" s="99"/>
      <c r="BT60" s="5"/>
    </row>
    <row r="61" spans="1:95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>
        <v>3502.6099999999992</v>
      </c>
      <c r="BK61" s="21">
        <v>4230.6362001414072</v>
      </c>
      <c r="BL61" s="92">
        <f t="shared" si="89"/>
        <v>-728.02620014140803</v>
      </c>
      <c r="BM61" s="254">
        <v>4532.442</v>
      </c>
      <c r="BN61" s="21">
        <v>3062.6357872950184</v>
      </c>
      <c r="BO61" s="220">
        <f t="shared" si="90"/>
        <v>1469.8062127049816</v>
      </c>
      <c r="BP61" s="80"/>
      <c r="BQ61" s="96"/>
      <c r="BR61" s="97"/>
      <c r="BS61" s="99"/>
      <c r="BT61" s="5"/>
    </row>
    <row r="62" spans="1:95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89"/>
        <v>-4885.6218678638943</v>
      </c>
      <c r="BM62" s="254"/>
      <c r="BN62" s="21">
        <v>3157.1791464073208</v>
      </c>
      <c r="BO62" s="220">
        <f t="shared" si="90"/>
        <v>-3157.1791464073208</v>
      </c>
      <c r="BP62" s="80"/>
      <c r="BQ62" s="96"/>
      <c r="BR62" s="97"/>
      <c r="BS62" s="99"/>
      <c r="BT62" s="5"/>
    </row>
    <row r="63" spans="1:95" ht="15" customHeight="1" x14ac:dyDescent="0.25">
      <c r="BI63" s="199" t="s">
        <v>25</v>
      </c>
      <c r="BJ63" s="81"/>
      <c r="BK63" s="21">
        <v>6364.0145735796496</v>
      </c>
      <c r="BL63" s="92">
        <f t="shared" si="89"/>
        <v>-6364.0145735796496</v>
      </c>
      <c r="BM63" s="254"/>
      <c r="BN63" s="21">
        <v>3635.166438605439</v>
      </c>
      <c r="BO63" s="220">
        <f t="shared" si="90"/>
        <v>-3635.166438605439</v>
      </c>
      <c r="BP63" s="80"/>
      <c r="BQ63" s="96"/>
      <c r="BR63" s="97"/>
      <c r="BS63" s="99"/>
      <c r="BT63" s="5"/>
    </row>
    <row r="64" spans="1:95" ht="15" customHeight="1" x14ac:dyDescent="0.25">
      <c r="BI64" s="199" t="s">
        <v>11</v>
      </c>
      <c r="BJ64" s="81"/>
      <c r="BK64" s="21">
        <v>6442.0657546335988</v>
      </c>
      <c r="BL64" s="92">
        <f t="shared" si="89"/>
        <v>-6442.0657546335988</v>
      </c>
      <c r="BM64" s="254"/>
      <c r="BN64" s="21">
        <v>3592.3211179648733</v>
      </c>
      <c r="BO64" s="220">
        <f t="shared" si="90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89"/>
        <v>-6359.5018162868801</v>
      </c>
      <c r="BM65" s="254"/>
      <c r="BN65" s="21">
        <v>3604.9264366143657</v>
      </c>
      <c r="BO65" s="220">
        <f t="shared" si="90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92">
    <mergeCell ref="CN7:CO7"/>
    <mergeCell ref="CN4:CO4"/>
    <mergeCell ref="CN5:CO5"/>
    <mergeCell ref="CN6:CO6"/>
    <mergeCell ref="BB6:BG6"/>
    <mergeCell ref="BZ5:CB5"/>
    <mergeCell ref="BJ5:BO5"/>
    <mergeCell ref="BQ5:BS5"/>
    <mergeCell ref="BV5:BX5"/>
    <mergeCell ref="BJ4:BO4"/>
    <mergeCell ref="BQ4:BS4"/>
    <mergeCell ref="BB42:BG44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V8:X8"/>
    <mergeCell ref="E8:G8"/>
    <mergeCell ref="V7:X7"/>
    <mergeCell ref="A4:G4"/>
    <mergeCell ref="AM4:AR4"/>
    <mergeCell ref="AM5:AR5"/>
    <mergeCell ref="AC4:AK4"/>
    <mergeCell ref="V4:X4"/>
    <mergeCell ref="V5:X5"/>
    <mergeCell ref="AT7:AV7"/>
    <mergeCell ref="B5:G5"/>
    <mergeCell ref="AM6:AR6"/>
    <mergeCell ref="AC6:AK6"/>
    <mergeCell ref="AT6:AV6"/>
    <mergeCell ref="B6:G6"/>
    <mergeCell ref="V6:X6"/>
    <mergeCell ref="Z6:AB6"/>
    <mergeCell ref="I42:N45"/>
    <mergeCell ref="I4:T4"/>
    <mergeCell ref="I5:T5"/>
    <mergeCell ref="I6:T6"/>
    <mergeCell ref="I7:T7"/>
    <mergeCell ref="O8:T8"/>
    <mergeCell ref="O42:T45"/>
    <mergeCell ref="I8:N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B1:BG1"/>
    <mergeCell ref="BV2:CB2"/>
    <mergeCell ref="BI2:BT2"/>
    <mergeCell ref="BV4:BX4"/>
    <mergeCell ref="BZ4:CB4"/>
    <mergeCell ref="BB4:BG4"/>
    <mergeCell ref="AX5:AZ5"/>
    <mergeCell ref="Z5:AB5"/>
    <mergeCell ref="AX4:AZ4"/>
    <mergeCell ref="Z4:AB4"/>
    <mergeCell ref="BB5:BG5"/>
    <mergeCell ref="AT5:AV5"/>
    <mergeCell ref="AC5:AK5"/>
    <mergeCell ref="AT4:AV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topLeftCell="A45" zoomScale="120" zoomScaleNormal="120" workbookViewId="0">
      <selection activeCell="B38" sqref="B38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Septiembre 2021</v>
      </c>
      <c r="E1" s="239"/>
      <c r="F1" s="239"/>
      <c r="G1" s="425" t="s">
        <v>88</v>
      </c>
      <c r="H1" s="426"/>
      <c r="I1" s="426"/>
      <c r="J1" s="426"/>
      <c r="K1" s="426"/>
      <c r="L1" s="18" t="s">
        <v>54</v>
      </c>
      <c r="N1" s="165"/>
      <c r="O1" s="166"/>
      <c r="P1" s="166"/>
      <c r="Q1" s="167" t="str">
        <f>D1</f>
        <v>Septiembre 2021</v>
      </c>
      <c r="R1" s="166"/>
      <c r="S1" s="427" t="s">
        <v>89</v>
      </c>
      <c r="T1" s="428"/>
      <c r="U1" s="428"/>
      <c r="V1" s="428"/>
      <c r="W1" s="428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677.75</v>
      </c>
      <c r="C3" s="126" t="s">
        <v>65</v>
      </c>
      <c r="D3" s="126">
        <f>Prodiarias!V11</f>
        <v>151</v>
      </c>
      <c r="E3" s="126">
        <f>Prodiarias!AC11</f>
        <v>318.86</v>
      </c>
      <c r="F3" s="126">
        <f>Prodiarias!AM11</f>
        <v>116.73</v>
      </c>
      <c r="G3" s="126">
        <f>Prodiarias!AT11</f>
        <v>708.508506916839</v>
      </c>
      <c r="H3" s="126">
        <f>Prodiarias!AX11</f>
        <v>382.46462076641762</v>
      </c>
      <c r="I3" s="126">
        <f>Prodiarias!BB11</f>
        <v>11.181427889966608</v>
      </c>
      <c r="J3" s="126">
        <f>SUM(B3:I3)</f>
        <v>2366.4945555732234</v>
      </c>
      <c r="K3" s="242">
        <f>J3*6.28</f>
        <v>14861.585808999844</v>
      </c>
      <c r="N3" s="125">
        <v>1</v>
      </c>
      <c r="O3" s="126">
        <f>B3*0.8</f>
        <v>542.20000000000005</v>
      </c>
      <c r="P3" s="126" t="s">
        <v>65</v>
      </c>
      <c r="Q3" s="126">
        <f t="shared" ref="Q3:Q33" si="0">D3</f>
        <v>151</v>
      </c>
      <c r="R3" s="126">
        <f t="shared" ref="R3:R33" si="1">E3*0.8</f>
        <v>255.08800000000002</v>
      </c>
      <c r="S3" s="126">
        <f t="shared" ref="S3:S33" si="2">F3*0.8</f>
        <v>93.384000000000015</v>
      </c>
      <c r="T3" s="126">
        <f t="shared" ref="T3:T33" si="3">G3</f>
        <v>708.508506916839</v>
      </c>
      <c r="U3" s="126">
        <f t="shared" ref="U3:U33" si="4">H3</f>
        <v>382.46462076641762</v>
      </c>
      <c r="V3" s="127">
        <f t="shared" ref="V3:V33" si="5">I3*0.35</f>
        <v>3.9134997614883127</v>
      </c>
      <c r="W3" s="128">
        <f t="shared" ref="W3:W33" si="6">SUM(O3:V3)</f>
        <v>2136.5586274447451</v>
      </c>
      <c r="X3" s="138">
        <f>W3*6.28</f>
        <v>13417.588180352999</v>
      </c>
    </row>
    <row r="4" spans="1:24" ht="14.15" customHeight="1" x14ac:dyDescent="0.2">
      <c r="A4" s="135">
        <v>2</v>
      </c>
      <c r="B4" s="126">
        <f>Prodiarias!B12</f>
        <v>744.03</v>
      </c>
      <c r="C4" s="126" t="s">
        <v>65</v>
      </c>
      <c r="D4" s="126">
        <f>Prodiarias!V12</f>
        <v>168.6</v>
      </c>
      <c r="E4" s="126">
        <f>Prodiarias!AC12</f>
        <v>322.91000000000003</v>
      </c>
      <c r="F4" s="126">
        <f>Prodiarias!AM12</f>
        <v>119.93</v>
      </c>
      <c r="G4" s="126">
        <f>Prodiarias!AT12</f>
        <v>707.63714422006683</v>
      </c>
      <c r="H4" s="126">
        <f>Prodiarias!AX12</f>
        <v>382.28812211798379</v>
      </c>
      <c r="I4" s="126">
        <f>Prodiarias!BB12</f>
        <v>12.356495468277945</v>
      </c>
      <c r="J4" s="126">
        <f t="shared" ref="J4" si="7">SUM(B4:I4)</f>
        <v>2457.7517618063284</v>
      </c>
      <c r="K4" s="242">
        <f t="shared" ref="K4" si="8">J4*6.28</f>
        <v>15434.681064143742</v>
      </c>
      <c r="N4" s="125">
        <v>2</v>
      </c>
      <c r="O4" s="126">
        <f t="shared" ref="O4:O32" si="9">B4*0.8</f>
        <v>595.22400000000005</v>
      </c>
      <c r="P4" s="126" t="s">
        <v>65</v>
      </c>
      <c r="Q4" s="126">
        <f t="shared" si="0"/>
        <v>168.6</v>
      </c>
      <c r="R4" s="126">
        <f t="shared" si="1"/>
        <v>258.32800000000003</v>
      </c>
      <c r="S4" s="126">
        <f t="shared" si="2"/>
        <v>95.944000000000017</v>
      </c>
      <c r="T4" s="126">
        <f t="shared" si="3"/>
        <v>707.63714422006683</v>
      </c>
      <c r="U4" s="126">
        <f t="shared" si="4"/>
        <v>382.28812211798379</v>
      </c>
      <c r="V4" s="127">
        <f t="shared" si="5"/>
        <v>4.3247734138972804</v>
      </c>
      <c r="W4" s="128">
        <f t="shared" si="6"/>
        <v>2212.346039751948</v>
      </c>
      <c r="X4" s="138">
        <f t="shared" ref="X4:X32" si="10">W4*6.28</f>
        <v>13893.533129642234</v>
      </c>
    </row>
    <row r="5" spans="1:24" ht="14.15" customHeight="1" x14ac:dyDescent="0.2">
      <c r="A5" s="135">
        <v>3</v>
      </c>
      <c r="B5" s="126">
        <f>Prodiarias!B13</f>
        <v>702.38</v>
      </c>
      <c r="C5" s="126" t="s">
        <v>65</v>
      </c>
      <c r="D5" s="126">
        <f>Prodiarias!V13</f>
        <v>164.6</v>
      </c>
      <c r="E5" s="126">
        <f>Prodiarias!AC13</f>
        <v>319.72000000000003</v>
      </c>
      <c r="F5" s="126">
        <f>Prodiarias!AM13</f>
        <v>106.39</v>
      </c>
      <c r="G5" s="126">
        <f>Prodiarias!AT13</f>
        <v>707.28573700111303</v>
      </c>
      <c r="H5" s="126">
        <f>Prodiarias!AX13</f>
        <v>381.80950866592462</v>
      </c>
      <c r="I5" s="126">
        <f>Prodiarias!BB13</f>
        <v>10.909524566703769</v>
      </c>
      <c r="J5" s="126">
        <f t="shared" ref="J5:J33" si="11">SUM(B5:I5)</f>
        <v>2393.0947702337412</v>
      </c>
      <c r="K5" s="242">
        <f t="shared" ref="K5:K33" si="12">J5*6.28</f>
        <v>15028.635157067896</v>
      </c>
      <c r="N5" s="125">
        <v>3</v>
      </c>
      <c r="O5" s="126">
        <f t="shared" si="9"/>
        <v>561.904</v>
      </c>
      <c r="P5" s="126" t="s">
        <v>65</v>
      </c>
      <c r="Q5" s="126">
        <f t="shared" si="0"/>
        <v>164.6</v>
      </c>
      <c r="R5" s="126">
        <f t="shared" si="1"/>
        <v>255.77600000000004</v>
      </c>
      <c r="S5" s="126">
        <f t="shared" si="2"/>
        <v>85.112000000000009</v>
      </c>
      <c r="T5" s="126">
        <f t="shared" si="3"/>
        <v>707.28573700111303</v>
      </c>
      <c r="U5" s="126">
        <f t="shared" si="4"/>
        <v>381.80950866592462</v>
      </c>
      <c r="V5" s="127">
        <f t="shared" si="5"/>
        <v>3.8183335983463191</v>
      </c>
      <c r="W5" s="128">
        <f t="shared" si="6"/>
        <v>2160.305579265384</v>
      </c>
      <c r="X5" s="138">
        <f t="shared" si="10"/>
        <v>13566.719037786612</v>
      </c>
    </row>
    <row r="6" spans="1:24" ht="14.15" customHeight="1" x14ac:dyDescent="0.2">
      <c r="A6" s="135">
        <v>4</v>
      </c>
      <c r="B6" s="126">
        <f>Prodiarias!B14</f>
        <v>729.73</v>
      </c>
      <c r="C6" s="126" t="s">
        <v>65</v>
      </c>
      <c r="D6" s="126">
        <f>Prodiarias!V14</f>
        <v>166.5</v>
      </c>
      <c r="E6" s="126">
        <f>Prodiarias!AC14</f>
        <v>310.89999999999998</v>
      </c>
      <c r="F6" s="126">
        <f>Prodiarias!AM14</f>
        <v>120.41</v>
      </c>
      <c r="G6" s="126">
        <f>Prodiarias!AT14</f>
        <v>706.2951184608047</v>
      </c>
      <c r="H6" s="126">
        <f>Prodiarias!AX14</f>
        <v>381.9860073143584</v>
      </c>
      <c r="I6" s="126">
        <f>Prodiarias!BB14</f>
        <v>11.119414851327717</v>
      </c>
      <c r="J6" s="126">
        <f t="shared" si="11"/>
        <v>2426.9405406264914</v>
      </c>
      <c r="K6" s="242">
        <f t="shared" si="12"/>
        <v>15241.186595134366</v>
      </c>
      <c r="N6" s="125">
        <v>4</v>
      </c>
      <c r="O6" s="126">
        <f t="shared" si="9"/>
        <v>583.78399999999999</v>
      </c>
      <c r="P6" s="126" t="s">
        <v>65</v>
      </c>
      <c r="Q6" s="126">
        <f t="shared" si="0"/>
        <v>166.5</v>
      </c>
      <c r="R6" s="126">
        <f t="shared" si="1"/>
        <v>248.72</v>
      </c>
      <c r="S6" s="126">
        <f t="shared" si="2"/>
        <v>96.328000000000003</v>
      </c>
      <c r="T6" s="126">
        <f t="shared" si="3"/>
        <v>706.2951184608047</v>
      </c>
      <c r="U6" s="126">
        <f t="shared" si="4"/>
        <v>381.9860073143584</v>
      </c>
      <c r="V6" s="127">
        <f t="shared" si="5"/>
        <v>3.8917951979647007</v>
      </c>
      <c r="W6" s="128">
        <f t="shared" si="6"/>
        <v>2187.5049209731278</v>
      </c>
      <c r="X6" s="138">
        <f t="shared" si="10"/>
        <v>13737.530903711244</v>
      </c>
    </row>
    <row r="7" spans="1:24" ht="14.15" customHeight="1" x14ac:dyDescent="0.2">
      <c r="A7" s="135">
        <v>5</v>
      </c>
      <c r="B7" s="126">
        <f>Prodiarias!B15</f>
        <v>662.16</v>
      </c>
      <c r="C7" s="126" t="s">
        <v>65</v>
      </c>
      <c r="D7" s="126">
        <f>Prodiarias!V15</f>
        <v>171.3</v>
      </c>
      <c r="E7" s="126">
        <f>Prodiarias!AC15</f>
        <v>314.04000000000002</v>
      </c>
      <c r="F7" s="126">
        <f>Prodiarias!AM15</f>
        <v>79.010000000000005</v>
      </c>
      <c r="G7" s="126">
        <f>Prodiarias!AT15</f>
        <v>686.57020193989513</v>
      </c>
      <c r="H7" s="126">
        <f>Prodiarias!AX15</f>
        <v>382.2976625854667</v>
      </c>
      <c r="I7" s="126">
        <f>Prodiarias!BB15</f>
        <v>11.599618381300685</v>
      </c>
      <c r="J7" s="126">
        <f t="shared" si="11"/>
        <v>2306.9774829066628</v>
      </c>
      <c r="K7" s="242">
        <f t="shared" si="12"/>
        <v>14487.818592653843</v>
      </c>
      <c r="N7" s="125">
        <v>5</v>
      </c>
      <c r="O7" s="126">
        <f t="shared" si="9"/>
        <v>529.72799999999995</v>
      </c>
      <c r="P7" s="126" t="s">
        <v>65</v>
      </c>
      <c r="Q7" s="126">
        <f t="shared" si="0"/>
        <v>171.3</v>
      </c>
      <c r="R7" s="126">
        <f t="shared" si="1"/>
        <v>251.23200000000003</v>
      </c>
      <c r="S7" s="126">
        <f t="shared" si="2"/>
        <v>63.208000000000006</v>
      </c>
      <c r="T7" s="126">
        <f t="shared" si="3"/>
        <v>686.57020193989513</v>
      </c>
      <c r="U7" s="126">
        <f t="shared" si="4"/>
        <v>382.2976625854667</v>
      </c>
      <c r="V7" s="127">
        <f t="shared" si="5"/>
        <v>4.0598664334552392</v>
      </c>
      <c r="W7" s="128">
        <f t="shared" si="6"/>
        <v>2088.3957309588172</v>
      </c>
      <c r="X7" s="138">
        <f t="shared" si="10"/>
        <v>13115.125190421373</v>
      </c>
    </row>
    <row r="8" spans="1:24" ht="14.15" customHeight="1" x14ac:dyDescent="0.2">
      <c r="A8" s="135">
        <v>6</v>
      </c>
      <c r="B8" s="126">
        <f>Prodiarias!B16</f>
        <v>0</v>
      </c>
      <c r="C8" s="126" t="s">
        <v>65</v>
      </c>
      <c r="D8" s="126">
        <f>Prodiarias!V16</f>
        <v>0</v>
      </c>
      <c r="E8" s="126">
        <f>Prodiarias!AC16</f>
        <v>0</v>
      </c>
      <c r="F8" s="126">
        <f>Prodiarias!AM16</f>
        <v>0</v>
      </c>
      <c r="G8" s="126">
        <f>Prodiarias!AT16</f>
        <v>0</v>
      </c>
      <c r="H8" s="126">
        <f>Prodiarias!AX16</f>
        <v>0</v>
      </c>
      <c r="I8" s="126">
        <f>Prodiarias!BB16</f>
        <v>0</v>
      </c>
      <c r="J8" s="126">
        <f t="shared" si="11"/>
        <v>0</v>
      </c>
      <c r="K8" s="242">
        <f t="shared" si="12"/>
        <v>0</v>
      </c>
      <c r="N8" s="125">
        <v>6</v>
      </c>
      <c r="O8" s="126">
        <f t="shared" si="9"/>
        <v>0</v>
      </c>
      <c r="P8" s="126" t="s">
        <v>65</v>
      </c>
      <c r="Q8" s="126">
        <f t="shared" si="0"/>
        <v>0</v>
      </c>
      <c r="R8" s="126">
        <f t="shared" si="1"/>
        <v>0</v>
      </c>
      <c r="S8" s="126">
        <f t="shared" si="2"/>
        <v>0</v>
      </c>
      <c r="T8" s="126">
        <f t="shared" si="3"/>
        <v>0</v>
      </c>
      <c r="U8" s="126">
        <f t="shared" si="4"/>
        <v>0</v>
      </c>
      <c r="V8" s="127">
        <f t="shared" si="5"/>
        <v>0</v>
      </c>
      <c r="W8" s="128">
        <f t="shared" si="6"/>
        <v>0</v>
      </c>
      <c r="X8" s="138">
        <f t="shared" si="10"/>
        <v>0</v>
      </c>
    </row>
    <row r="9" spans="1:24" ht="14.15" customHeight="1" x14ac:dyDescent="0.2">
      <c r="A9" s="135">
        <v>7</v>
      </c>
      <c r="B9" s="126">
        <f>Prodiarias!B17</f>
        <v>0</v>
      </c>
      <c r="C9" s="126" t="s">
        <v>65</v>
      </c>
      <c r="D9" s="126">
        <f>Prodiarias!V17</f>
        <v>0</v>
      </c>
      <c r="E9" s="126">
        <f>Prodiarias!AC17</f>
        <v>0</v>
      </c>
      <c r="F9" s="126">
        <f>Prodiarias!AM17</f>
        <v>0</v>
      </c>
      <c r="G9" s="126">
        <f>Prodiarias!AT17</f>
        <v>0</v>
      </c>
      <c r="H9" s="126">
        <f>Prodiarias!AX17</f>
        <v>0</v>
      </c>
      <c r="I9" s="126">
        <f>Prodiarias!BB17</f>
        <v>0</v>
      </c>
      <c r="J9" s="126">
        <f t="shared" si="11"/>
        <v>0</v>
      </c>
      <c r="K9" s="242">
        <f t="shared" si="12"/>
        <v>0</v>
      </c>
      <c r="N9" s="125">
        <v>7</v>
      </c>
      <c r="O9" s="126">
        <f t="shared" si="9"/>
        <v>0</v>
      </c>
      <c r="P9" s="126" t="s">
        <v>65</v>
      </c>
      <c r="Q9" s="126">
        <f t="shared" si="0"/>
        <v>0</v>
      </c>
      <c r="R9" s="126">
        <f t="shared" si="1"/>
        <v>0</v>
      </c>
      <c r="S9" s="126">
        <f t="shared" si="2"/>
        <v>0</v>
      </c>
      <c r="T9" s="126">
        <f t="shared" si="3"/>
        <v>0</v>
      </c>
      <c r="U9" s="126">
        <f t="shared" si="4"/>
        <v>0</v>
      </c>
      <c r="V9" s="127">
        <f t="shared" si="5"/>
        <v>0</v>
      </c>
      <c r="W9" s="128">
        <f t="shared" si="6"/>
        <v>0</v>
      </c>
      <c r="X9" s="138">
        <f t="shared" si="10"/>
        <v>0</v>
      </c>
    </row>
    <row r="10" spans="1:24" ht="14.15" customHeight="1" x14ac:dyDescent="0.2">
      <c r="A10" s="135">
        <v>8</v>
      </c>
      <c r="B10" s="126">
        <f>Prodiarias!B18</f>
        <v>0</v>
      </c>
      <c r="C10" s="126" t="s">
        <v>65</v>
      </c>
      <c r="D10" s="126">
        <f>Prodiarias!V18</f>
        <v>0</v>
      </c>
      <c r="E10" s="126">
        <f>Prodiarias!AC18</f>
        <v>0</v>
      </c>
      <c r="F10" s="126">
        <f>Prodiarias!AM18</f>
        <v>0</v>
      </c>
      <c r="G10" s="126">
        <f>Prodiarias!AT18</f>
        <v>0</v>
      </c>
      <c r="H10" s="126">
        <f>Prodiarias!AX18</f>
        <v>0</v>
      </c>
      <c r="I10" s="126">
        <f>Prodiarias!BB18</f>
        <v>0</v>
      </c>
      <c r="J10" s="126">
        <f t="shared" si="11"/>
        <v>0</v>
      </c>
      <c r="K10" s="242">
        <f t="shared" si="12"/>
        <v>0</v>
      </c>
      <c r="N10" s="125">
        <v>8</v>
      </c>
      <c r="O10" s="126">
        <f t="shared" si="9"/>
        <v>0</v>
      </c>
      <c r="P10" s="126" t="s">
        <v>65</v>
      </c>
      <c r="Q10" s="126">
        <f t="shared" si="0"/>
        <v>0</v>
      </c>
      <c r="R10" s="126">
        <f t="shared" si="1"/>
        <v>0</v>
      </c>
      <c r="S10" s="126">
        <f t="shared" si="2"/>
        <v>0</v>
      </c>
      <c r="T10" s="126">
        <f t="shared" si="3"/>
        <v>0</v>
      </c>
      <c r="U10" s="126">
        <f t="shared" si="4"/>
        <v>0</v>
      </c>
      <c r="V10" s="127">
        <f t="shared" si="5"/>
        <v>0</v>
      </c>
      <c r="W10" s="128">
        <f t="shared" si="6"/>
        <v>0</v>
      </c>
      <c r="X10" s="138">
        <f t="shared" si="10"/>
        <v>0</v>
      </c>
    </row>
    <row r="11" spans="1:24" ht="14.15" customHeight="1" x14ac:dyDescent="0.2">
      <c r="A11" s="135">
        <v>9</v>
      </c>
      <c r="B11" s="126">
        <f>Prodiarias!B19</f>
        <v>0</v>
      </c>
      <c r="C11" s="126" t="s">
        <v>65</v>
      </c>
      <c r="D11" s="126">
        <f>Prodiarias!V19</f>
        <v>0</v>
      </c>
      <c r="E11" s="126">
        <f>Prodiarias!AC19</f>
        <v>0</v>
      </c>
      <c r="F11" s="126">
        <f>Prodiarias!AM19</f>
        <v>0</v>
      </c>
      <c r="G11" s="126">
        <f>Prodiarias!AT19</f>
        <v>0</v>
      </c>
      <c r="H11" s="126">
        <f>Prodiarias!AX19</f>
        <v>0</v>
      </c>
      <c r="I11" s="126">
        <f>Prodiarias!BB19</f>
        <v>0</v>
      </c>
      <c r="J11" s="126">
        <f t="shared" si="11"/>
        <v>0</v>
      </c>
      <c r="K11" s="242">
        <f t="shared" si="12"/>
        <v>0</v>
      </c>
      <c r="N11" s="125">
        <v>9</v>
      </c>
      <c r="O11" s="126">
        <f t="shared" si="9"/>
        <v>0</v>
      </c>
      <c r="P11" s="126" t="s">
        <v>65</v>
      </c>
      <c r="Q11" s="126">
        <f t="shared" si="0"/>
        <v>0</v>
      </c>
      <c r="R11" s="126">
        <f t="shared" si="1"/>
        <v>0</v>
      </c>
      <c r="S11" s="126">
        <f t="shared" si="2"/>
        <v>0</v>
      </c>
      <c r="T11" s="126">
        <f t="shared" si="3"/>
        <v>0</v>
      </c>
      <c r="U11" s="126">
        <f t="shared" si="4"/>
        <v>0</v>
      </c>
      <c r="V11" s="127">
        <f t="shared" si="5"/>
        <v>0</v>
      </c>
      <c r="W11" s="128">
        <f t="shared" si="6"/>
        <v>0</v>
      </c>
      <c r="X11" s="138">
        <f t="shared" si="10"/>
        <v>0</v>
      </c>
    </row>
    <row r="12" spans="1:24" ht="14.15" customHeight="1" x14ac:dyDescent="0.2">
      <c r="A12" s="135">
        <v>10</v>
      </c>
      <c r="B12" s="126">
        <f>Prodiarias!B20</f>
        <v>0</v>
      </c>
      <c r="C12" s="126" t="s">
        <v>65</v>
      </c>
      <c r="D12" s="126">
        <f>Prodiarias!V20</f>
        <v>0</v>
      </c>
      <c r="E12" s="126">
        <f>Prodiarias!AC20</f>
        <v>0</v>
      </c>
      <c r="F12" s="126">
        <f>Prodiarias!AM20</f>
        <v>0</v>
      </c>
      <c r="G12" s="126">
        <f>Prodiarias!AT20</f>
        <v>0</v>
      </c>
      <c r="H12" s="126">
        <f>Prodiarias!AX20</f>
        <v>0</v>
      </c>
      <c r="I12" s="126">
        <f>Prodiarias!BB20</f>
        <v>0</v>
      </c>
      <c r="J12" s="126">
        <f t="shared" si="11"/>
        <v>0</v>
      </c>
      <c r="K12" s="242">
        <f t="shared" si="12"/>
        <v>0</v>
      </c>
      <c r="N12" s="125">
        <v>10</v>
      </c>
      <c r="O12" s="126">
        <f t="shared" si="9"/>
        <v>0</v>
      </c>
      <c r="P12" s="126" t="s">
        <v>65</v>
      </c>
      <c r="Q12" s="126">
        <f t="shared" si="0"/>
        <v>0</v>
      </c>
      <c r="R12" s="126">
        <f t="shared" si="1"/>
        <v>0</v>
      </c>
      <c r="S12" s="126">
        <f t="shared" si="2"/>
        <v>0</v>
      </c>
      <c r="T12" s="126">
        <f t="shared" si="3"/>
        <v>0</v>
      </c>
      <c r="U12" s="126">
        <f t="shared" si="4"/>
        <v>0</v>
      </c>
      <c r="V12" s="127">
        <f t="shared" si="5"/>
        <v>0</v>
      </c>
      <c r="W12" s="128">
        <f t="shared" si="6"/>
        <v>0</v>
      </c>
      <c r="X12" s="138">
        <f t="shared" si="10"/>
        <v>0</v>
      </c>
    </row>
    <row r="13" spans="1:24" ht="14.15" customHeight="1" x14ac:dyDescent="0.2">
      <c r="A13" s="135">
        <v>11</v>
      </c>
      <c r="B13" s="126">
        <f>Prodiarias!B21</f>
        <v>0</v>
      </c>
      <c r="C13" s="126" t="s">
        <v>65</v>
      </c>
      <c r="D13" s="126">
        <f>Prodiarias!V21</f>
        <v>0</v>
      </c>
      <c r="E13" s="126">
        <f>Prodiarias!AC21</f>
        <v>0</v>
      </c>
      <c r="F13" s="126">
        <f>Prodiarias!AM21</f>
        <v>0</v>
      </c>
      <c r="G13" s="126">
        <f>Prodiarias!AT21</f>
        <v>0</v>
      </c>
      <c r="H13" s="126">
        <f>Prodiarias!AX21</f>
        <v>0</v>
      </c>
      <c r="I13" s="126">
        <f>Prodiarias!BB21</f>
        <v>0</v>
      </c>
      <c r="J13" s="126">
        <f t="shared" si="11"/>
        <v>0</v>
      </c>
      <c r="K13" s="242">
        <f t="shared" si="12"/>
        <v>0</v>
      </c>
      <c r="N13" s="125">
        <v>11</v>
      </c>
      <c r="O13" s="126">
        <f t="shared" si="9"/>
        <v>0</v>
      </c>
      <c r="P13" s="126" t="s">
        <v>65</v>
      </c>
      <c r="Q13" s="126">
        <f t="shared" si="0"/>
        <v>0</v>
      </c>
      <c r="R13" s="126">
        <f t="shared" si="1"/>
        <v>0</v>
      </c>
      <c r="S13" s="126">
        <f t="shared" si="2"/>
        <v>0</v>
      </c>
      <c r="T13" s="126">
        <f t="shared" si="3"/>
        <v>0</v>
      </c>
      <c r="U13" s="126">
        <f t="shared" si="4"/>
        <v>0</v>
      </c>
      <c r="V13" s="127">
        <f t="shared" si="5"/>
        <v>0</v>
      </c>
      <c r="W13" s="128">
        <f t="shared" si="6"/>
        <v>0</v>
      </c>
      <c r="X13" s="138">
        <f t="shared" si="10"/>
        <v>0</v>
      </c>
    </row>
    <row r="14" spans="1:24" ht="14.15" customHeight="1" x14ac:dyDescent="0.2">
      <c r="A14" s="135">
        <v>12</v>
      </c>
      <c r="B14" s="126">
        <f>Prodiarias!B22</f>
        <v>0</v>
      </c>
      <c r="C14" s="126" t="s">
        <v>65</v>
      </c>
      <c r="D14" s="126">
        <f>Prodiarias!V22</f>
        <v>0</v>
      </c>
      <c r="E14" s="126">
        <f>Prodiarias!AC22</f>
        <v>0</v>
      </c>
      <c r="F14" s="126">
        <f>Prodiarias!AM22</f>
        <v>0</v>
      </c>
      <c r="G14" s="126">
        <f>Prodiarias!AT22</f>
        <v>0</v>
      </c>
      <c r="H14" s="126">
        <f>Prodiarias!AX22</f>
        <v>0</v>
      </c>
      <c r="I14" s="126">
        <f>Prodiarias!BB22</f>
        <v>0</v>
      </c>
      <c r="J14" s="126">
        <f t="shared" si="11"/>
        <v>0</v>
      </c>
      <c r="K14" s="242">
        <f t="shared" si="12"/>
        <v>0</v>
      </c>
      <c r="N14" s="125">
        <v>12</v>
      </c>
      <c r="O14" s="126">
        <f t="shared" si="9"/>
        <v>0</v>
      </c>
      <c r="P14" s="126" t="s">
        <v>65</v>
      </c>
      <c r="Q14" s="126">
        <f t="shared" si="0"/>
        <v>0</v>
      </c>
      <c r="R14" s="126">
        <f t="shared" si="1"/>
        <v>0</v>
      </c>
      <c r="S14" s="126">
        <f t="shared" si="2"/>
        <v>0</v>
      </c>
      <c r="T14" s="126">
        <f t="shared" si="3"/>
        <v>0</v>
      </c>
      <c r="U14" s="126">
        <f t="shared" si="4"/>
        <v>0</v>
      </c>
      <c r="V14" s="127">
        <f t="shared" si="5"/>
        <v>0</v>
      </c>
      <c r="W14" s="128">
        <f t="shared" si="6"/>
        <v>0</v>
      </c>
      <c r="X14" s="138">
        <f t="shared" si="10"/>
        <v>0</v>
      </c>
    </row>
    <row r="15" spans="1:24" ht="14.15" customHeight="1" x14ac:dyDescent="0.2">
      <c r="A15" s="135">
        <v>13</v>
      </c>
      <c r="B15" s="126">
        <f>Prodiarias!B23</f>
        <v>0</v>
      </c>
      <c r="C15" s="126" t="s">
        <v>65</v>
      </c>
      <c r="D15" s="126">
        <f>Prodiarias!V23</f>
        <v>0</v>
      </c>
      <c r="E15" s="126">
        <f>Prodiarias!AC23</f>
        <v>0</v>
      </c>
      <c r="F15" s="126">
        <f>Prodiarias!AM23</f>
        <v>0</v>
      </c>
      <c r="G15" s="126">
        <f>Prodiarias!AT23</f>
        <v>0</v>
      </c>
      <c r="H15" s="126">
        <f>Prodiarias!AX23</f>
        <v>0</v>
      </c>
      <c r="I15" s="126">
        <f>Prodiarias!BB23</f>
        <v>0</v>
      </c>
      <c r="J15" s="126">
        <f t="shared" si="11"/>
        <v>0</v>
      </c>
      <c r="K15" s="242">
        <f t="shared" si="12"/>
        <v>0</v>
      </c>
      <c r="N15" s="125">
        <v>13</v>
      </c>
      <c r="O15" s="126">
        <f t="shared" si="9"/>
        <v>0</v>
      </c>
      <c r="P15" s="126" t="s">
        <v>65</v>
      </c>
      <c r="Q15" s="126">
        <f t="shared" si="0"/>
        <v>0</v>
      </c>
      <c r="R15" s="126">
        <f t="shared" si="1"/>
        <v>0</v>
      </c>
      <c r="S15" s="126">
        <f t="shared" si="2"/>
        <v>0</v>
      </c>
      <c r="T15" s="126">
        <f t="shared" si="3"/>
        <v>0</v>
      </c>
      <c r="U15" s="126">
        <f t="shared" si="4"/>
        <v>0</v>
      </c>
      <c r="V15" s="127">
        <f t="shared" si="5"/>
        <v>0</v>
      </c>
      <c r="W15" s="128">
        <f t="shared" si="6"/>
        <v>0</v>
      </c>
      <c r="X15" s="138">
        <f t="shared" si="10"/>
        <v>0</v>
      </c>
    </row>
    <row r="16" spans="1:24" ht="14.15" customHeight="1" x14ac:dyDescent="0.2">
      <c r="A16" s="135">
        <v>14</v>
      </c>
      <c r="B16" s="126">
        <f>Prodiarias!B24</f>
        <v>0</v>
      </c>
      <c r="C16" s="126" t="s">
        <v>65</v>
      </c>
      <c r="D16" s="126">
        <f>Prodiarias!V24</f>
        <v>0</v>
      </c>
      <c r="E16" s="126">
        <f>Prodiarias!AC24</f>
        <v>0</v>
      </c>
      <c r="F16" s="126">
        <f>Prodiarias!AM24</f>
        <v>0</v>
      </c>
      <c r="G16" s="126">
        <f>Prodiarias!AT24</f>
        <v>0</v>
      </c>
      <c r="H16" s="126">
        <f>Prodiarias!AX24</f>
        <v>0</v>
      </c>
      <c r="I16" s="126">
        <f>Prodiarias!BB24</f>
        <v>0</v>
      </c>
      <c r="J16" s="126">
        <f t="shared" si="11"/>
        <v>0</v>
      </c>
      <c r="K16" s="242">
        <f t="shared" si="12"/>
        <v>0</v>
      </c>
      <c r="N16" s="125">
        <v>14</v>
      </c>
      <c r="O16" s="126">
        <f t="shared" si="9"/>
        <v>0</v>
      </c>
      <c r="P16" s="126" t="s">
        <v>65</v>
      </c>
      <c r="Q16" s="126">
        <f t="shared" si="0"/>
        <v>0</v>
      </c>
      <c r="R16" s="126">
        <f t="shared" si="1"/>
        <v>0</v>
      </c>
      <c r="S16" s="126">
        <f t="shared" si="2"/>
        <v>0</v>
      </c>
      <c r="T16" s="126">
        <f t="shared" si="3"/>
        <v>0</v>
      </c>
      <c r="U16" s="126">
        <f t="shared" si="4"/>
        <v>0</v>
      </c>
      <c r="V16" s="127">
        <f t="shared" si="5"/>
        <v>0</v>
      </c>
      <c r="W16" s="128">
        <f t="shared" si="6"/>
        <v>0</v>
      </c>
      <c r="X16" s="138">
        <f t="shared" si="10"/>
        <v>0</v>
      </c>
    </row>
    <row r="17" spans="1:24" ht="14.15" customHeight="1" x14ac:dyDescent="0.2">
      <c r="A17" s="135">
        <v>15</v>
      </c>
      <c r="B17" s="126">
        <f>Prodiarias!B25</f>
        <v>0</v>
      </c>
      <c r="C17" s="126" t="s">
        <v>65</v>
      </c>
      <c r="D17" s="126">
        <f>Prodiarias!V25</f>
        <v>0</v>
      </c>
      <c r="E17" s="126">
        <f>Prodiarias!AC25</f>
        <v>0</v>
      </c>
      <c r="F17" s="126">
        <f>Prodiarias!AM25</f>
        <v>0</v>
      </c>
      <c r="G17" s="126">
        <f>Prodiarias!AT25</f>
        <v>0</v>
      </c>
      <c r="H17" s="126">
        <f>Prodiarias!AX25</f>
        <v>0</v>
      </c>
      <c r="I17" s="126">
        <f>Prodiarias!BB25</f>
        <v>0</v>
      </c>
      <c r="J17" s="126">
        <f t="shared" si="11"/>
        <v>0</v>
      </c>
      <c r="K17" s="242">
        <f t="shared" si="12"/>
        <v>0</v>
      </c>
      <c r="N17" s="125">
        <v>15</v>
      </c>
      <c r="O17" s="126">
        <f t="shared" si="9"/>
        <v>0</v>
      </c>
      <c r="P17" s="126" t="s">
        <v>65</v>
      </c>
      <c r="Q17" s="126">
        <f t="shared" si="0"/>
        <v>0</v>
      </c>
      <c r="R17" s="126">
        <f t="shared" si="1"/>
        <v>0</v>
      </c>
      <c r="S17" s="126">
        <f t="shared" si="2"/>
        <v>0</v>
      </c>
      <c r="T17" s="126">
        <f t="shared" si="3"/>
        <v>0</v>
      </c>
      <c r="U17" s="126">
        <f t="shared" si="4"/>
        <v>0</v>
      </c>
      <c r="V17" s="127">
        <f t="shared" si="5"/>
        <v>0</v>
      </c>
      <c r="W17" s="128">
        <f t="shared" si="6"/>
        <v>0</v>
      </c>
      <c r="X17" s="138">
        <f t="shared" si="10"/>
        <v>0</v>
      </c>
    </row>
    <row r="18" spans="1:24" ht="14.15" customHeight="1" x14ac:dyDescent="0.2">
      <c r="A18" s="135">
        <v>16</v>
      </c>
      <c r="B18" s="126">
        <f>Prodiarias!B26</f>
        <v>0</v>
      </c>
      <c r="C18" s="126" t="s">
        <v>65</v>
      </c>
      <c r="D18" s="126">
        <f>Prodiarias!V26</f>
        <v>0</v>
      </c>
      <c r="E18" s="126">
        <f>Prodiarias!AC26</f>
        <v>0</v>
      </c>
      <c r="F18" s="126">
        <f>Prodiarias!AM26</f>
        <v>0</v>
      </c>
      <c r="G18" s="126">
        <f>Prodiarias!AT26</f>
        <v>0</v>
      </c>
      <c r="H18" s="126">
        <f>Prodiarias!AX26</f>
        <v>0</v>
      </c>
      <c r="I18" s="126">
        <f>Prodiarias!BB26</f>
        <v>0</v>
      </c>
      <c r="J18" s="126">
        <f t="shared" si="11"/>
        <v>0</v>
      </c>
      <c r="K18" s="242">
        <f t="shared" si="12"/>
        <v>0</v>
      </c>
      <c r="N18" s="125">
        <v>16</v>
      </c>
      <c r="O18" s="126">
        <f t="shared" si="9"/>
        <v>0</v>
      </c>
      <c r="P18" s="126" t="s">
        <v>65</v>
      </c>
      <c r="Q18" s="126">
        <f t="shared" si="0"/>
        <v>0</v>
      </c>
      <c r="R18" s="126">
        <f t="shared" si="1"/>
        <v>0</v>
      </c>
      <c r="S18" s="126">
        <f t="shared" si="2"/>
        <v>0</v>
      </c>
      <c r="T18" s="126">
        <f t="shared" si="3"/>
        <v>0</v>
      </c>
      <c r="U18" s="126">
        <f t="shared" si="4"/>
        <v>0</v>
      </c>
      <c r="V18" s="127">
        <f t="shared" si="5"/>
        <v>0</v>
      </c>
      <c r="W18" s="128">
        <f t="shared" si="6"/>
        <v>0</v>
      </c>
      <c r="X18" s="138">
        <f t="shared" si="10"/>
        <v>0</v>
      </c>
    </row>
    <row r="19" spans="1:24" ht="14.15" customHeight="1" x14ac:dyDescent="0.2">
      <c r="A19" s="135">
        <v>17</v>
      </c>
      <c r="B19" s="126">
        <f>Prodiarias!B27</f>
        <v>0</v>
      </c>
      <c r="C19" s="126" t="s">
        <v>65</v>
      </c>
      <c r="D19" s="126">
        <f>Prodiarias!V27</f>
        <v>0</v>
      </c>
      <c r="E19" s="126">
        <f>Prodiarias!AC27</f>
        <v>0</v>
      </c>
      <c r="F19" s="126">
        <f>Prodiarias!AM27</f>
        <v>0</v>
      </c>
      <c r="G19" s="126">
        <f>Prodiarias!AT27</f>
        <v>0</v>
      </c>
      <c r="H19" s="126">
        <f>Prodiarias!AX27</f>
        <v>0</v>
      </c>
      <c r="I19" s="126">
        <f>Prodiarias!BB27</f>
        <v>0</v>
      </c>
      <c r="J19" s="126">
        <f t="shared" si="11"/>
        <v>0</v>
      </c>
      <c r="K19" s="242">
        <f t="shared" si="12"/>
        <v>0</v>
      </c>
      <c r="N19" s="125">
        <v>17</v>
      </c>
      <c r="O19" s="126">
        <f t="shared" si="9"/>
        <v>0</v>
      </c>
      <c r="P19" s="126" t="s">
        <v>65</v>
      </c>
      <c r="Q19" s="126">
        <f t="shared" si="0"/>
        <v>0</v>
      </c>
      <c r="R19" s="126">
        <f t="shared" si="1"/>
        <v>0</v>
      </c>
      <c r="S19" s="126">
        <f t="shared" si="2"/>
        <v>0</v>
      </c>
      <c r="T19" s="126">
        <f t="shared" si="3"/>
        <v>0</v>
      </c>
      <c r="U19" s="126">
        <f t="shared" si="4"/>
        <v>0</v>
      </c>
      <c r="V19" s="127">
        <f t="shared" si="5"/>
        <v>0</v>
      </c>
      <c r="W19" s="128">
        <f t="shared" si="6"/>
        <v>0</v>
      </c>
      <c r="X19" s="138">
        <f t="shared" si="10"/>
        <v>0</v>
      </c>
    </row>
    <row r="20" spans="1:24" ht="14.15" customHeight="1" x14ac:dyDescent="0.2">
      <c r="A20" s="135">
        <v>18</v>
      </c>
      <c r="B20" s="126">
        <f>Prodiarias!B28</f>
        <v>0</v>
      </c>
      <c r="C20" s="126" t="s">
        <v>65</v>
      </c>
      <c r="D20" s="126">
        <f>Prodiarias!V28</f>
        <v>0</v>
      </c>
      <c r="E20" s="126">
        <f>Prodiarias!AC28</f>
        <v>0</v>
      </c>
      <c r="F20" s="126">
        <f>Prodiarias!AM28</f>
        <v>0</v>
      </c>
      <c r="G20" s="126">
        <f>Prodiarias!AT28</f>
        <v>0</v>
      </c>
      <c r="H20" s="126">
        <f>Prodiarias!AX28</f>
        <v>0</v>
      </c>
      <c r="I20" s="126">
        <f>Prodiarias!BB28</f>
        <v>0</v>
      </c>
      <c r="J20" s="126">
        <f t="shared" si="11"/>
        <v>0</v>
      </c>
      <c r="K20" s="242">
        <f t="shared" si="12"/>
        <v>0</v>
      </c>
      <c r="N20" s="125">
        <v>18</v>
      </c>
      <c r="O20" s="126">
        <f t="shared" si="9"/>
        <v>0</v>
      </c>
      <c r="P20" s="126" t="s">
        <v>65</v>
      </c>
      <c r="Q20" s="126">
        <f t="shared" si="0"/>
        <v>0</v>
      </c>
      <c r="R20" s="126">
        <f t="shared" si="1"/>
        <v>0</v>
      </c>
      <c r="S20" s="126">
        <f t="shared" si="2"/>
        <v>0</v>
      </c>
      <c r="T20" s="126">
        <f t="shared" si="3"/>
        <v>0</v>
      </c>
      <c r="U20" s="126">
        <f t="shared" si="4"/>
        <v>0</v>
      </c>
      <c r="V20" s="127">
        <f t="shared" si="5"/>
        <v>0</v>
      </c>
      <c r="W20" s="128">
        <f t="shared" si="6"/>
        <v>0</v>
      </c>
      <c r="X20" s="138">
        <f t="shared" si="10"/>
        <v>0</v>
      </c>
    </row>
    <row r="21" spans="1:24" ht="14.15" customHeight="1" x14ac:dyDescent="0.2">
      <c r="A21" s="135">
        <v>19</v>
      </c>
      <c r="B21" s="126">
        <f>Prodiarias!B29</f>
        <v>0</v>
      </c>
      <c r="C21" s="126" t="s">
        <v>65</v>
      </c>
      <c r="D21" s="126">
        <f>Prodiarias!V29</f>
        <v>0</v>
      </c>
      <c r="E21" s="126">
        <f>Prodiarias!AC29</f>
        <v>0</v>
      </c>
      <c r="F21" s="126">
        <f>Prodiarias!AM29</f>
        <v>0</v>
      </c>
      <c r="G21" s="126">
        <f>Prodiarias!AT29</f>
        <v>0</v>
      </c>
      <c r="H21" s="126">
        <f>Prodiarias!AX29</f>
        <v>0</v>
      </c>
      <c r="I21" s="126">
        <f>Prodiarias!BB29</f>
        <v>0</v>
      </c>
      <c r="J21" s="126">
        <f t="shared" si="11"/>
        <v>0</v>
      </c>
      <c r="K21" s="242">
        <f t="shared" si="12"/>
        <v>0</v>
      </c>
      <c r="N21" s="125">
        <v>19</v>
      </c>
      <c r="O21" s="126">
        <f t="shared" si="9"/>
        <v>0</v>
      </c>
      <c r="P21" s="126" t="s">
        <v>65</v>
      </c>
      <c r="Q21" s="126">
        <f t="shared" si="0"/>
        <v>0</v>
      </c>
      <c r="R21" s="126">
        <f t="shared" si="1"/>
        <v>0</v>
      </c>
      <c r="S21" s="126">
        <f t="shared" si="2"/>
        <v>0</v>
      </c>
      <c r="T21" s="126">
        <f t="shared" si="3"/>
        <v>0</v>
      </c>
      <c r="U21" s="126">
        <f t="shared" si="4"/>
        <v>0</v>
      </c>
      <c r="V21" s="127">
        <f t="shared" si="5"/>
        <v>0</v>
      </c>
      <c r="W21" s="128">
        <f t="shared" si="6"/>
        <v>0</v>
      </c>
      <c r="X21" s="138">
        <f t="shared" si="10"/>
        <v>0</v>
      </c>
    </row>
    <row r="22" spans="1:24" ht="14.15" customHeight="1" x14ac:dyDescent="0.2">
      <c r="A22" s="135">
        <v>20</v>
      </c>
      <c r="B22" s="126">
        <f>Prodiarias!B30</f>
        <v>0</v>
      </c>
      <c r="C22" s="126" t="s">
        <v>65</v>
      </c>
      <c r="D22" s="126">
        <f>Prodiarias!V30</f>
        <v>0</v>
      </c>
      <c r="E22" s="126">
        <f>Prodiarias!AC30</f>
        <v>0</v>
      </c>
      <c r="F22" s="126">
        <f>Prodiarias!AM30</f>
        <v>0</v>
      </c>
      <c r="G22" s="126">
        <f>Prodiarias!AT30</f>
        <v>0</v>
      </c>
      <c r="H22" s="126">
        <f>Prodiarias!AX30</f>
        <v>0</v>
      </c>
      <c r="I22" s="126">
        <f>Prodiarias!BB30</f>
        <v>0</v>
      </c>
      <c r="J22" s="126">
        <f t="shared" si="11"/>
        <v>0</v>
      </c>
      <c r="K22" s="242">
        <f t="shared" si="12"/>
        <v>0</v>
      </c>
      <c r="N22" s="125">
        <v>20</v>
      </c>
      <c r="O22" s="126">
        <f t="shared" si="9"/>
        <v>0</v>
      </c>
      <c r="P22" s="126" t="s">
        <v>65</v>
      </c>
      <c r="Q22" s="126">
        <f t="shared" si="0"/>
        <v>0</v>
      </c>
      <c r="R22" s="126">
        <f t="shared" si="1"/>
        <v>0</v>
      </c>
      <c r="S22" s="126">
        <f t="shared" si="2"/>
        <v>0</v>
      </c>
      <c r="T22" s="126">
        <f t="shared" si="3"/>
        <v>0</v>
      </c>
      <c r="U22" s="126">
        <f t="shared" si="4"/>
        <v>0</v>
      </c>
      <c r="V22" s="127">
        <f t="shared" si="5"/>
        <v>0</v>
      </c>
      <c r="W22" s="128">
        <f t="shared" si="6"/>
        <v>0</v>
      </c>
      <c r="X22" s="138">
        <f t="shared" si="10"/>
        <v>0</v>
      </c>
    </row>
    <row r="23" spans="1:24" ht="14.15" customHeight="1" x14ac:dyDescent="0.2">
      <c r="A23" s="135">
        <v>21</v>
      </c>
      <c r="B23" s="126">
        <f>Prodiarias!B31</f>
        <v>0</v>
      </c>
      <c r="C23" s="126" t="s">
        <v>65</v>
      </c>
      <c r="D23" s="126">
        <f>Prodiarias!V31</f>
        <v>0</v>
      </c>
      <c r="E23" s="126">
        <f>Prodiarias!AC31</f>
        <v>0</v>
      </c>
      <c r="F23" s="126">
        <f>Prodiarias!AM31</f>
        <v>0</v>
      </c>
      <c r="G23" s="126">
        <f>Prodiarias!AT31</f>
        <v>0</v>
      </c>
      <c r="H23" s="126">
        <f>Prodiarias!AX31</f>
        <v>0</v>
      </c>
      <c r="I23" s="126">
        <f>Prodiarias!BB31</f>
        <v>0</v>
      </c>
      <c r="J23" s="126">
        <f t="shared" si="11"/>
        <v>0</v>
      </c>
      <c r="K23" s="242">
        <f t="shared" si="12"/>
        <v>0</v>
      </c>
      <c r="N23" s="125">
        <v>21</v>
      </c>
      <c r="O23" s="126">
        <f t="shared" si="9"/>
        <v>0</v>
      </c>
      <c r="P23" s="126" t="s">
        <v>65</v>
      </c>
      <c r="Q23" s="126">
        <f t="shared" si="0"/>
        <v>0</v>
      </c>
      <c r="R23" s="126">
        <f t="shared" si="1"/>
        <v>0</v>
      </c>
      <c r="S23" s="126">
        <f t="shared" si="2"/>
        <v>0</v>
      </c>
      <c r="T23" s="126">
        <f t="shared" si="3"/>
        <v>0</v>
      </c>
      <c r="U23" s="126">
        <f t="shared" si="4"/>
        <v>0</v>
      </c>
      <c r="V23" s="127">
        <f t="shared" si="5"/>
        <v>0</v>
      </c>
      <c r="W23" s="128">
        <f t="shared" si="6"/>
        <v>0</v>
      </c>
      <c r="X23" s="138">
        <f t="shared" si="10"/>
        <v>0</v>
      </c>
    </row>
    <row r="24" spans="1:24" ht="14.15" customHeight="1" x14ac:dyDescent="0.2">
      <c r="A24" s="135">
        <v>22</v>
      </c>
      <c r="B24" s="126">
        <f>Prodiarias!B32</f>
        <v>0</v>
      </c>
      <c r="C24" s="126" t="s">
        <v>65</v>
      </c>
      <c r="D24" s="126">
        <f>Prodiarias!V32</f>
        <v>0</v>
      </c>
      <c r="E24" s="126">
        <f>Prodiarias!AC32</f>
        <v>0</v>
      </c>
      <c r="F24" s="126">
        <f>Prodiarias!AM32</f>
        <v>0</v>
      </c>
      <c r="G24" s="126">
        <f>Prodiarias!AT32</f>
        <v>0</v>
      </c>
      <c r="H24" s="126">
        <f>Prodiarias!AX32</f>
        <v>0</v>
      </c>
      <c r="I24" s="126">
        <f>Prodiarias!BB32</f>
        <v>0</v>
      </c>
      <c r="J24" s="126">
        <f t="shared" si="11"/>
        <v>0</v>
      </c>
      <c r="K24" s="242">
        <f t="shared" si="12"/>
        <v>0</v>
      </c>
      <c r="N24" s="125">
        <v>22</v>
      </c>
      <c r="O24" s="126">
        <f t="shared" si="9"/>
        <v>0</v>
      </c>
      <c r="P24" s="126" t="s">
        <v>65</v>
      </c>
      <c r="Q24" s="126">
        <f t="shared" si="0"/>
        <v>0</v>
      </c>
      <c r="R24" s="126">
        <f t="shared" si="1"/>
        <v>0</v>
      </c>
      <c r="S24" s="126">
        <f t="shared" si="2"/>
        <v>0</v>
      </c>
      <c r="T24" s="126">
        <f t="shared" si="3"/>
        <v>0</v>
      </c>
      <c r="U24" s="126">
        <f t="shared" si="4"/>
        <v>0</v>
      </c>
      <c r="V24" s="127">
        <f t="shared" si="5"/>
        <v>0</v>
      </c>
      <c r="W24" s="128">
        <f t="shared" si="6"/>
        <v>0</v>
      </c>
      <c r="X24" s="138">
        <f t="shared" si="10"/>
        <v>0</v>
      </c>
    </row>
    <row r="25" spans="1:24" ht="14.15" customHeight="1" x14ac:dyDescent="0.2">
      <c r="A25" s="135">
        <v>23</v>
      </c>
      <c r="B25" s="126">
        <f>Prodiarias!B33</f>
        <v>0</v>
      </c>
      <c r="C25" s="126" t="s">
        <v>65</v>
      </c>
      <c r="D25" s="126">
        <f>Prodiarias!V33</f>
        <v>0</v>
      </c>
      <c r="E25" s="126">
        <f>Prodiarias!AC33</f>
        <v>0</v>
      </c>
      <c r="F25" s="126">
        <f>Prodiarias!AM33</f>
        <v>0</v>
      </c>
      <c r="G25" s="126">
        <f>Prodiarias!AT33</f>
        <v>0</v>
      </c>
      <c r="H25" s="126">
        <f>Prodiarias!AX33</f>
        <v>0</v>
      </c>
      <c r="I25" s="126">
        <f>Prodiarias!BB33</f>
        <v>0</v>
      </c>
      <c r="J25" s="126">
        <f t="shared" si="11"/>
        <v>0</v>
      </c>
      <c r="K25" s="242">
        <f t="shared" si="12"/>
        <v>0</v>
      </c>
      <c r="N25" s="125">
        <v>23</v>
      </c>
      <c r="O25" s="126">
        <f t="shared" si="9"/>
        <v>0</v>
      </c>
      <c r="P25" s="126" t="s">
        <v>65</v>
      </c>
      <c r="Q25" s="126">
        <f t="shared" si="0"/>
        <v>0</v>
      </c>
      <c r="R25" s="126">
        <f t="shared" si="1"/>
        <v>0</v>
      </c>
      <c r="S25" s="126">
        <f t="shared" si="2"/>
        <v>0</v>
      </c>
      <c r="T25" s="126">
        <f t="shared" si="3"/>
        <v>0</v>
      </c>
      <c r="U25" s="126">
        <f t="shared" si="4"/>
        <v>0</v>
      </c>
      <c r="V25" s="127">
        <f t="shared" si="5"/>
        <v>0</v>
      </c>
      <c r="W25" s="128">
        <f t="shared" si="6"/>
        <v>0</v>
      </c>
      <c r="X25" s="138">
        <f t="shared" si="10"/>
        <v>0</v>
      </c>
    </row>
    <row r="26" spans="1:24" ht="14.15" customHeight="1" x14ac:dyDescent="0.2">
      <c r="A26" s="135">
        <v>24</v>
      </c>
      <c r="B26" s="126">
        <f>Prodiarias!B34</f>
        <v>0</v>
      </c>
      <c r="C26" s="126" t="s">
        <v>65</v>
      </c>
      <c r="D26" s="126">
        <f>Prodiarias!V34</f>
        <v>0</v>
      </c>
      <c r="E26" s="126">
        <f>Prodiarias!AC34</f>
        <v>0</v>
      </c>
      <c r="F26" s="126">
        <f>Prodiarias!AM34</f>
        <v>0</v>
      </c>
      <c r="G26" s="126">
        <f>Prodiarias!AT34</f>
        <v>0</v>
      </c>
      <c r="H26" s="126">
        <f>Prodiarias!AX34</f>
        <v>0</v>
      </c>
      <c r="I26" s="126">
        <f>Prodiarias!BB34</f>
        <v>0</v>
      </c>
      <c r="J26" s="126">
        <f t="shared" si="11"/>
        <v>0</v>
      </c>
      <c r="K26" s="242">
        <f t="shared" si="12"/>
        <v>0</v>
      </c>
      <c r="N26" s="125">
        <v>24</v>
      </c>
      <c r="O26" s="126">
        <f t="shared" si="9"/>
        <v>0</v>
      </c>
      <c r="P26" s="126" t="s">
        <v>65</v>
      </c>
      <c r="Q26" s="126">
        <f t="shared" si="0"/>
        <v>0</v>
      </c>
      <c r="R26" s="126">
        <f t="shared" si="1"/>
        <v>0</v>
      </c>
      <c r="S26" s="126">
        <f t="shared" si="2"/>
        <v>0</v>
      </c>
      <c r="T26" s="126">
        <f t="shared" si="3"/>
        <v>0</v>
      </c>
      <c r="U26" s="126">
        <f t="shared" si="4"/>
        <v>0</v>
      </c>
      <c r="V26" s="127">
        <f t="shared" si="5"/>
        <v>0</v>
      </c>
      <c r="W26" s="128">
        <f t="shared" si="6"/>
        <v>0</v>
      </c>
      <c r="X26" s="138">
        <f t="shared" si="10"/>
        <v>0</v>
      </c>
    </row>
    <row r="27" spans="1:24" ht="14.15" customHeight="1" x14ac:dyDescent="0.2">
      <c r="A27" s="135">
        <v>25</v>
      </c>
      <c r="B27" s="126">
        <f>Prodiarias!B35</f>
        <v>0</v>
      </c>
      <c r="C27" s="126" t="s">
        <v>65</v>
      </c>
      <c r="D27" s="126">
        <f>Prodiarias!V35</f>
        <v>0</v>
      </c>
      <c r="E27" s="126">
        <f>Prodiarias!AC35</f>
        <v>0</v>
      </c>
      <c r="F27" s="126">
        <f>Prodiarias!AM35</f>
        <v>0</v>
      </c>
      <c r="G27" s="126">
        <f>Prodiarias!AT35</f>
        <v>0</v>
      </c>
      <c r="H27" s="126">
        <f>Prodiarias!AX35</f>
        <v>0</v>
      </c>
      <c r="I27" s="126">
        <f>Prodiarias!BB35</f>
        <v>0</v>
      </c>
      <c r="J27" s="126">
        <f t="shared" si="11"/>
        <v>0</v>
      </c>
      <c r="K27" s="242">
        <f t="shared" si="12"/>
        <v>0</v>
      </c>
      <c r="N27" s="125">
        <v>25</v>
      </c>
      <c r="O27" s="126">
        <f t="shared" si="9"/>
        <v>0</v>
      </c>
      <c r="P27" s="126" t="s">
        <v>65</v>
      </c>
      <c r="Q27" s="126">
        <f t="shared" si="0"/>
        <v>0</v>
      </c>
      <c r="R27" s="126">
        <f t="shared" si="1"/>
        <v>0</v>
      </c>
      <c r="S27" s="126">
        <f t="shared" si="2"/>
        <v>0</v>
      </c>
      <c r="T27" s="126">
        <f t="shared" si="3"/>
        <v>0</v>
      </c>
      <c r="U27" s="126">
        <f t="shared" si="4"/>
        <v>0</v>
      </c>
      <c r="V27" s="127">
        <f t="shared" si="5"/>
        <v>0</v>
      </c>
      <c r="W27" s="128">
        <f t="shared" si="6"/>
        <v>0</v>
      </c>
      <c r="X27" s="138">
        <f t="shared" si="10"/>
        <v>0</v>
      </c>
    </row>
    <row r="28" spans="1:24" ht="14.15" customHeight="1" x14ac:dyDescent="0.2">
      <c r="A28" s="135">
        <v>26</v>
      </c>
      <c r="B28" s="126">
        <f>Prodiarias!B36</f>
        <v>0</v>
      </c>
      <c r="C28" s="126" t="s">
        <v>65</v>
      </c>
      <c r="D28" s="126">
        <f>Prodiarias!V36</f>
        <v>0</v>
      </c>
      <c r="E28" s="126">
        <f>Prodiarias!AC36</f>
        <v>0</v>
      </c>
      <c r="F28" s="126">
        <f>Prodiarias!AM36</f>
        <v>0</v>
      </c>
      <c r="G28" s="126">
        <f>Prodiarias!AT36</f>
        <v>0</v>
      </c>
      <c r="H28" s="126">
        <f>Prodiarias!AX36</f>
        <v>0</v>
      </c>
      <c r="I28" s="126">
        <f>Prodiarias!BB36</f>
        <v>0</v>
      </c>
      <c r="J28" s="126">
        <f t="shared" si="11"/>
        <v>0</v>
      </c>
      <c r="K28" s="242">
        <f t="shared" si="12"/>
        <v>0</v>
      </c>
      <c r="N28" s="125">
        <v>26</v>
      </c>
      <c r="O28" s="126">
        <f t="shared" si="9"/>
        <v>0</v>
      </c>
      <c r="P28" s="126" t="s">
        <v>65</v>
      </c>
      <c r="Q28" s="126">
        <f t="shared" si="0"/>
        <v>0</v>
      </c>
      <c r="R28" s="126">
        <f t="shared" si="1"/>
        <v>0</v>
      </c>
      <c r="S28" s="126">
        <f t="shared" si="2"/>
        <v>0</v>
      </c>
      <c r="T28" s="126">
        <f t="shared" si="3"/>
        <v>0</v>
      </c>
      <c r="U28" s="126">
        <f t="shared" si="4"/>
        <v>0</v>
      </c>
      <c r="V28" s="127">
        <f t="shared" si="5"/>
        <v>0</v>
      </c>
      <c r="W28" s="128">
        <f t="shared" si="6"/>
        <v>0</v>
      </c>
      <c r="X28" s="138">
        <f t="shared" si="10"/>
        <v>0</v>
      </c>
    </row>
    <row r="29" spans="1:24" ht="14.15" customHeight="1" x14ac:dyDescent="0.2">
      <c r="A29" s="135">
        <v>27</v>
      </c>
      <c r="B29" s="126">
        <f>Prodiarias!B37</f>
        <v>0</v>
      </c>
      <c r="C29" s="126" t="s">
        <v>65</v>
      </c>
      <c r="D29" s="126">
        <f>Prodiarias!V37</f>
        <v>0</v>
      </c>
      <c r="E29" s="126">
        <f>Prodiarias!AC37</f>
        <v>0</v>
      </c>
      <c r="F29" s="126">
        <f>Prodiarias!AM37</f>
        <v>0</v>
      </c>
      <c r="G29" s="126">
        <f>Prodiarias!AT37</f>
        <v>0</v>
      </c>
      <c r="H29" s="126">
        <f>Prodiarias!AX37</f>
        <v>0</v>
      </c>
      <c r="I29" s="126">
        <f>Prodiarias!BB37</f>
        <v>0</v>
      </c>
      <c r="J29" s="126">
        <f t="shared" si="11"/>
        <v>0</v>
      </c>
      <c r="K29" s="242">
        <f t="shared" si="12"/>
        <v>0</v>
      </c>
      <c r="N29" s="125">
        <v>27</v>
      </c>
      <c r="O29" s="126">
        <f t="shared" si="9"/>
        <v>0</v>
      </c>
      <c r="P29" s="126" t="s">
        <v>65</v>
      </c>
      <c r="Q29" s="126">
        <f t="shared" si="0"/>
        <v>0</v>
      </c>
      <c r="R29" s="126">
        <f t="shared" si="1"/>
        <v>0</v>
      </c>
      <c r="S29" s="126">
        <f t="shared" si="2"/>
        <v>0</v>
      </c>
      <c r="T29" s="126">
        <f t="shared" si="3"/>
        <v>0</v>
      </c>
      <c r="U29" s="126">
        <f t="shared" si="4"/>
        <v>0</v>
      </c>
      <c r="V29" s="127">
        <f t="shared" si="5"/>
        <v>0</v>
      </c>
      <c r="W29" s="128">
        <f t="shared" si="6"/>
        <v>0</v>
      </c>
      <c r="X29" s="138">
        <f t="shared" si="10"/>
        <v>0</v>
      </c>
    </row>
    <row r="30" spans="1:24" ht="14.15" customHeight="1" x14ac:dyDescent="0.2">
      <c r="A30" s="135">
        <v>28</v>
      </c>
      <c r="B30" s="126">
        <f>Prodiarias!B38</f>
        <v>0</v>
      </c>
      <c r="C30" s="126" t="s">
        <v>65</v>
      </c>
      <c r="D30" s="126">
        <f>Prodiarias!V38</f>
        <v>0</v>
      </c>
      <c r="E30" s="126">
        <f>Prodiarias!AC38</f>
        <v>0</v>
      </c>
      <c r="F30" s="126">
        <f>Prodiarias!AM38</f>
        <v>0</v>
      </c>
      <c r="G30" s="126">
        <f>Prodiarias!AT38</f>
        <v>0</v>
      </c>
      <c r="H30" s="126">
        <f>Prodiarias!AX38</f>
        <v>0</v>
      </c>
      <c r="I30" s="126">
        <f>Prodiarias!BB38</f>
        <v>0</v>
      </c>
      <c r="J30" s="126">
        <f t="shared" si="11"/>
        <v>0</v>
      </c>
      <c r="K30" s="242">
        <f t="shared" si="12"/>
        <v>0</v>
      </c>
      <c r="N30" s="125">
        <v>28</v>
      </c>
      <c r="O30" s="126">
        <f t="shared" si="9"/>
        <v>0</v>
      </c>
      <c r="P30" s="126" t="s">
        <v>65</v>
      </c>
      <c r="Q30" s="126">
        <f t="shared" si="0"/>
        <v>0</v>
      </c>
      <c r="R30" s="126">
        <f t="shared" si="1"/>
        <v>0</v>
      </c>
      <c r="S30" s="126">
        <f t="shared" si="2"/>
        <v>0</v>
      </c>
      <c r="T30" s="126">
        <f t="shared" si="3"/>
        <v>0</v>
      </c>
      <c r="U30" s="126">
        <f t="shared" si="4"/>
        <v>0</v>
      </c>
      <c r="V30" s="127">
        <f t="shared" si="5"/>
        <v>0</v>
      </c>
      <c r="W30" s="128">
        <f t="shared" si="6"/>
        <v>0</v>
      </c>
      <c r="X30" s="138">
        <f t="shared" si="10"/>
        <v>0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21" t="s">
        <v>78</v>
      </c>
      <c r="C36" s="421"/>
      <c r="D36" s="421"/>
      <c r="E36" s="421"/>
      <c r="F36" s="421"/>
      <c r="G36" s="421"/>
      <c r="H36" s="421"/>
      <c r="I36" s="421"/>
      <c r="O36" s="421" t="s">
        <v>77</v>
      </c>
      <c r="P36" s="421"/>
      <c r="Q36" s="421"/>
      <c r="R36" s="421"/>
      <c r="S36" s="421"/>
      <c r="T36" s="421"/>
      <c r="U36" s="421"/>
      <c r="V36" s="421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343.14156129032256</v>
      </c>
      <c r="C38" s="126">
        <f>Prodiarias!O11/1000</f>
        <v>0.68495483870967744</v>
      </c>
      <c r="D38" s="126" t="s">
        <v>65</v>
      </c>
      <c r="E38" s="126">
        <f>Prodiarias!AF11/1000</f>
        <v>173.30500000000001</v>
      </c>
      <c r="F38" s="126">
        <f>Prodiarias!AP11/1000</f>
        <v>143.00648387096774</v>
      </c>
      <c r="G38" s="126" t="s">
        <v>65</v>
      </c>
      <c r="H38" s="126" t="s">
        <v>65</v>
      </c>
      <c r="I38" s="126">
        <f>Prodiarias!BE11</f>
        <v>234.60699999999997</v>
      </c>
      <c r="J38" s="126">
        <f>SUM(B38:I38)</f>
        <v>894.74499999999989</v>
      </c>
      <c r="K38" s="129">
        <f>J38*35.336/1000</f>
        <v>31.616709319999995</v>
      </c>
      <c r="L38" s="139">
        <f>J38/1000*6289</f>
        <v>5627.051304999999</v>
      </c>
      <c r="N38" s="125">
        <v>1</v>
      </c>
      <c r="O38" s="126">
        <f>B38*0.8</f>
        <v>274.51324903225805</v>
      </c>
      <c r="P38" s="126">
        <f>C38*0.5</f>
        <v>0.34247741935483872</v>
      </c>
      <c r="Q38" s="126" t="s">
        <v>65</v>
      </c>
      <c r="R38" s="126">
        <f t="shared" ref="R38:R68" si="13">E38*0.3172</f>
        <v>54.972346000000002</v>
      </c>
      <c r="S38" s="126">
        <f t="shared" ref="S38:S68" si="14">F38*0.8</f>
        <v>114.4051870967742</v>
      </c>
      <c r="T38" s="126" t="s">
        <v>65</v>
      </c>
      <c r="U38" s="126" t="s">
        <v>65</v>
      </c>
      <c r="V38" s="126">
        <f t="shared" ref="V38:V68" si="15">I38*0.35</f>
        <v>82.112449999999981</v>
      </c>
      <c r="W38" s="126">
        <f t="shared" ref="W38:W68" si="16">SUM(O38:V38)</f>
        <v>526.34570954838705</v>
      </c>
      <c r="X38" s="129">
        <f>W38*35.336/1000</f>
        <v>18.598951992601805</v>
      </c>
      <c r="Y38" s="139">
        <f>W38/1000*6289</f>
        <v>3310.188167349806</v>
      </c>
    </row>
    <row r="39" spans="1:27" x14ac:dyDescent="0.2">
      <c r="A39" s="125">
        <v>2</v>
      </c>
      <c r="B39" s="126">
        <f>Prodiarias!E12/1000</f>
        <v>340.98671999999999</v>
      </c>
      <c r="C39" s="126">
        <f>Prodiarias!O12/1000</f>
        <v>0</v>
      </c>
      <c r="D39" s="126" t="s">
        <v>65</v>
      </c>
      <c r="E39" s="126">
        <f>Prodiarias!AF12/1000</f>
        <v>165.86</v>
      </c>
      <c r="F39" s="126">
        <f>Prodiarias!AP12/1000</f>
        <v>142.71227999999999</v>
      </c>
      <c r="G39" s="126" t="s">
        <v>65</v>
      </c>
      <c r="H39" s="126" t="s">
        <v>65</v>
      </c>
      <c r="I39" s="126">
        <f>Prodiarias!BE12</f>
        <v>234.0976</v>
      </c>
      <c r="J39" s="126">
        <f t="shared" ref="J39:J49" si="17">SUM(B39:I39)</f>
        <v>883.65660000000003</v>
      </c>
      <c r="K39" s="129">
        <f t="shared" ref="K39:K49" si="18">J39*35.336/1000</f>
        <v>31.224889617599999</v>
      </c>
      <c r="L39" s="139">
        <f>J39/1000*6289</f>
        <v>5557.3163574</v>
      </c>
      <c r="N39" s="125">
        <v>2</v>
      </c>
      <c r="O39" s="126">
        <f t="shared" ref="O39:O53" si="19">B39*0.8</f>
        <v>272.789376</v>
      </c>
      <c r="P39" s="126">
        <f t="shared" ref="P39:P68" si="20">C39*0.5</f>
        <v>0</v>
      </c>
      <c r="Q39" s="126" t="s">
        <v>65</v>
      </c>
      <c r="R39" s="126">
        <f t="shared" si="13"/>
        <v>52.610792000000004</v>
      </c>
      <c r="S39" s="126">
        <f t="shared" si="14"/>
        <v>114.16982400000001</v>
      </c>
      <c r="T39" s="126" t="s">
        <v>65</v>
      </c>
      <c r="U39" s="126" t="s">
        <v>65</v>
      </c>
      <c r="V39" s="126">
        <f t="shared" si="15"/>
        <v>81.934159999999991</v>
      </c>
      <c r="W39" s="126">
        <f t="shared" si="16"/>
        <v>521.50415199999998</v>
      </c>
      <c r="X39" s="129">
        <f t="shared" ref="X39:X67" si="21">W39*35.336/1000</f>
        <v>18.427870715072</v>
      </c>
      <c r="Y39" s="139">
        <f t="shared" ref="Y39:Y53" si="22">W39/1000*6289</f>
        <v>3279.7396119280002</v>
      </c>
      <c r="AA39" s="18" t="s">
        <v>54</v>
      </c>
    </row>
    <row r="40" spans="1:27" x14ac:dyDescent="0.2">
      <c r="A40" s="125">
        <v>3</v>
      </c>
      <c r="B40" s="126">
        <f>Prodiarias!E13/1000</f>
        <v>343.98265053763447</v>
      </c>
      <c r="C40" s="126">
        <f>Prodiarias!O13/1000</f>
        <v>1.0925774193548385</v>
      </c>
      <c r="D40" s="126" t="s">
        <v>65</v>
      </c>
      <c r="E40" s="126">
        <f>Prodiarias!AF13/1000</f>
        <v>170.12299999999999</v>
      </c>
      <c r="F40" s="126">
        <f>Prodiarias!AP13/1000</f>
        <v>145.61977204301076</v>
      </c>
      <c r="G40" s="126" t="s">
        <v>65</v>
      </c>
      <c r="H40" s="126" t="s">
        <v>65</v>
      </c>
      <c r="I40" s="126">
        <f>Prodiarias!BE13</f>
        <v>233.47499999999997</v>
      </c>
      <c r="J40" s="126">
        <f t="shared" si="17"/>
        <v>894.29299999999989</v>
      </c>
      <c r="K40" s="129">
        <f t="shared" si="18"/>
        <v>31.600737447999997</v>
      </c>
      <c r="L40" s="139">
        <f>J40/1000*6289</f>
        <v>5624.2086769999996</v>
      </c>
      <c r="N40" s="125">
        <v>3</v>
      </c>
      <c r="O40" s="126">
        <f t="shared" si="19"/>
        <v>275.18612043010756</v>
      </c>
      <c r="P40" s="126">
        <f t="shared" si="20"/>
        <v>0.54628870967741927</v>
      </c>
      <c r="Q40" s="126" t="s">
        <v>65</v>
      </c>
      <c r="R40" s="126">
        <f t="shared" si="13"/>
        <v>53.963015599999991</v>
      </c>
      <c r="S40" s="126">
        <f t="shared" si="14"/>
        <v>116.49581763440861</v>
      </c>
      <c r="T40" s="126" t="s">
        <v>65</v>
      </c>
      <c r="U40" s="126" t="s">
        <v>65</v>
      </c>
      <c r="V40" s="126">
        <f t="shared" si="15"/>
        <v>81.716249999999988</v>
      </c>
      <c r="W40" s="126">
        <f t="shared" si="16"/>
        <v>527.90749237419357</v>
      </c>
      <c r="X40" s="129">
        <f t="shared" si="21"/>
        <v>18.654139150534501</v>
      </c>
      <c r="Y40" s="139">
        <f t="shared" si="22"/>
        <v>3320.0102195413033</v>
      </c>
      <c r="AA40" s="18" t="s">
        <v>54</v>
      </c>
    </row>
    <row r="41" spans="1:27" x14ac:dyDescent="0.2">
      <c r="A41" s="125">
        <v>4</v>
      </c>
      <c r="B41" s="126">
        <f>Prodiarias!E14/1000</f>
        <v>335.4169208602151</v>
      </c>
      <c r="C41" s="126">
        <f>Prodiarias!O14/1000</f>
        <v>1.9618</v>
      </c>
      <c r="D41" s="126" t="s">
        <v>65</v>
      </c>
      <c r="E41" s="126">
        <f>Prodiarias!AF14/1000</f>
        <v>169.85400000000001</v>
      </c>
      <c r="F41" s="126">
        <f>Prodiarias!AP14/1000</f>
        <v>147.36827913978496</v>
      </c>
      <c r="G41" s="126" t="s">
        <v>65</v>
      </c>
      <c r="H41" s="126" t="s">
        <v>65</v>
      </c>
      <c r="I41" s="126">
        <f>Prodiarias!BE14</f>
        <v>232.76749999999998</v>
      </c>
      <c r="J41" s="126">
        <f t="shared" si="17"/>
        <v>887.36850000000004</v>
      </c>
      <c r="K41" s="129">
        <f t="shared" si="18"/>
        <v>31.356053316000001</v>
      </c>
      <c r="L41" s="139">
        <f t="shared" ref="L41:L49" si="23">J41/1000*6289</f>
        <v>5580.6604964999997</v>
      </c>
      <c r="N41" s="125">
        <v>4</v>
      </c>
      <c r="O41" s="126">
        <f t="shared" si="19"/>
        <v>268.3335366881721</v>
      </c>
      <c r="P41" s="126">
        <f t="shared" si="20"/>
        <v>0.98089999999999999</v>
      </c>
      <c r="Q41" s="126" t="s">
        <v>65</v>
      </c>
      <c r="R41" s="126">
        <f t="shared" si="13"/>
        <v>53.877688800000001</v>
      </c>
      <c r="S41" s="126">
        <f t="shared" si="14"/>
        <v>117.89462331182797</v>
      </c>
      <c r="T41" s="126" t="s">
        <v>65</v>
      </c>
      <c r="U41" s="126" t="s">
        <v>65</v>
      </c>
      <c r="V41" s="126">
        <f t="shared" si="15"/>
        <v>81.468624999999989</v>
      </c>
      <c r="W41" s="126">
        <f t="shared" si="16"/>
        <v>522.5553738000001</v>
      </c>
      <c r="X41" s="129">
        <f t="shared" si="21"/>
        <v>18.465016688596801</v>
      </c>
      <c r="Y41" s="139">
        <f t="shared" si="22"/>
        <v>3286.3507458282002</v>
      </c>
    </row>
    <row r="42" spans="1:27" x14ac:dyDescent="0.2">
      <c r="A42" s="125">
        <v>5</v>
      </c>
      <c r="B42" s="126">
        <f>Prodiarias!E15/1000</f>
        <v>324.54683</v>
      </c>
      <c r="C42" s="126">
        <f>Prodiarias!O15/1000</f>
        <v>3.6211403225806453</v>
      </c>
      <c r="D42" s="126" t="s">
        <v>65</v>
      </c>
      <c r="E42" s="126">
        <f>Prodiarias!AF15/1000</f>
        <v>170.10400000000001</v>
      </c>
      <c r="F42" s="126">
        <f>Prodiarias!AP15/1000</f>
        <v>142.51502967741934</v>
      </c>
      <c r="G42" s="126" t="s">
        <v>65</v>
      </c>
      <c r="H42" s="126" t="s">
        <v>65</v>
      </c>
      <c r="I42" s="126">
        <f>Prodiarias!BE15</f>
        <v>233.16370000000001</v>
      </c>
      <c r="J42" s="126">
        <f t="shared" si="17"/>
        <v>873.95069999999987</v>
      </c>
      <c r="K42" s="129">
        <f t="shared" si="18"/>
        <v>30.881921935199994</v>
      </c>
      <c r="L42" s="139">
        <f t="shared" si="23"/>
        <v>5496.2759522999995</v>
      </c>
      <c r="N42" s="125">
        <v>5</v>
      </c>
      <c r="O42" s="126">
        <f t="shared" si="19"/>
        <v>259.63746400000002</v>
      </c>
      <c r="P42" s="126">
        <f t="shared" si="20"/>
        <v>1.8105701612903227</v>
      </c>
      <c r="Q42" s="126" t="s">
        <v>65</v>
      </c>
      <c r="R42" s="126">
        <f t="shared" si="13"/>
        <v>53.956988799999998</v>
      </c>
      <c r="S42" s="126">
        <f t="shared" si="14"/>
        <v>114.01202374193548</v>
      </c>
      <c r="T42" s="126" t="s">
        <v>65</v>
      </c>
      <c r="U42" s="126" t="s">
        <v>65</v>
      </c>
      <c r="V42" s="126">
        <f t="shared" si="15"/>
        <v>81.607294999999993</v>
      </c>
      <c r="W42" s="126">
        <f t="shared" si="16"/>
        <v>511.02434170322579</v>
      </c>
      <c r="X42" s="129">
        <f t="shared" si="21"/>
        <v>18.057556138425184</v>
      </c>
      <c r="Y42" s="139">
        <f t="shared" si="22"/>
        <v>3213.8320849715869</v>
      </c>
    </row>
    <row r="43" spans="1:27" x14ac:dyDescent="0.2">
      <c r="A43" s="125">
        <v>6</v>
      </c>
      <c r="B43" s="126">
        <f>Prodiarias!E16/1000</f>
        <v>0</v>
      </c>
      <c r="C43" s="126">
        <f>Prodiarias!O16/1000</f>
        <v>0</v>
      </c>
      <c r="D43" s="126" t="s">
        <v>65</v>
      </c>
      <c r="E43" s="126">
        <f>Prodiarias!AF16/1000</f>
        <v>0</v>
      </c>
      <c r="F43" s="126">
        <f>Prodiarias!AP16/1000</f>
        <v>0</v>
      </c>
      <c r="G43" s="126" t="s">
        <v>65</v>
      </c>
      <c r="H43" s="126" t="s">
        <v>65</v>
      </c>
      <c r="I43" s="126">
        <f>Prodiarias!BE16</f>
        <v>0</v>
      </c>
      <c r="J43" s="126">
        <f t="shared" si="17"/>
        <v>0</v>
      </c>
      <c r="K43" s="129">
        <f t="shared" si="18"/>
        <v>0</v>
      </c>
      <c r="L43" s="139">
        <f t="shared" si="23"/>
        <v>0</v>
      </c>
      <c r="N43" s="125">
        <v>6</v>
      </c>
      <c r="O43" s="126">
        <f t="shared" si="19"/>
        <v>0</v>
      </c>
      <c r="P43" s="126">
        <f t="shared" si="20"/>
        <v>0</v>
      </c>
      <c r="Q43" s="126" t="s">
        <v>65</v>
      </c>
      <c r="R43" s="126">
        <f t="shared" si="13"/>
        <v>0</v>
      </c>
      <c r="S43" s="126">
        <f t="shared" si="14"/>
        <v>0</v>
      </c>
      <c r="T43" s="126" t="s">
        <v>65</v>
      </c>
      <c r="U43" s="126" t="s">
        <v>65</v>
      </c>
      <c r="V43" s="126">
        <f t="shared" si="15"/>
        <v>0</v>
      </c>
      <c r="W43" s="126">
        <f t="shared" si="16"/>
        <v>0</v>
      </c>
      <c r="X43" s="129">
        <f t="shared" si="21"/>
        <v>0</v>
      </c>
      <c r="Y43" s="139">
        <f t="shared" si="22"/>
        <v>0</v>
      </c>
    </row>
    <row r="44" spans="1:27" x14ac:dyDescent="0.2">
      <c r="A44" s="125">
        <v>7</v>
      </c>
      <c r="B44" s="126">
        <f>Prodiarias!E17/1000</f>
        <v>0</v>
      </c>
      <c r="C44" s="126">
        <f>Prodiarias!O17/1000</f>
        <v>0</v>
      </c>
      <c r="D44" s="126" t="s">
        <v>65</v>
      </c>
      <c r="E44" s="126">
        <f>Prodiarias!AF17/1000</f>
        <v>0</v>
      </c>
      <c r="F44" s="126">
        <f>Prodiarias!AP17/1000</f>
        <v>0</v>
      </c>
      <c r="G44" s="126" t="s">
        <v>65</v>
      </c>
      <c r="H44" s="126" t="s">
        <v>65</v>
      </c>
      <c r="I44" s="126">
        <f>Prodiarias!BE17</f>
        <v>0</v>
      </c>
      <c r="J44" s="126">
        <f t="shared" si="17"/>
        <v>0</v>
      </c>
      <c r="K44" s="129">
        <f t="shared" si="18"/>
        <v>0</v>
      </c>
      <c r="L44" s="139">
        <f t="shared" si="23"/>
        <v>0</v>
      </c>
      <c r="N44" s="125">
        <v>7</v>
      </c>
      <c r="O44" s="126">
        <f t="shared" si="19"/>
        <v>0</v>
      </c>
      <c r="P44" s="126">
        <f t="shared" si="20"/>
        <v>0</v>
      </c>
      <c r="Q44" s="126" t="s">
        <v>65</v>
      </c>
      <c r="R44" s="126">
        <f t="shared" si="13"/>
        <v>0</v>
      </c>
      <c r="S44" s="126">
        <f t="shared" si="14"/>
        <v>0</v>
      </c>
      <c r="T44" s="126" t="s">
        <v>65</v>
      </c>
      <c r="U44" s="126" t="s">
        <v>65</v>
      </c>
      <c r="V44" s="126">
        <f t="shared" si="15"/>
        <v>0</v>
      </c>
      <c r="W44" s="126">
        <f t="shared" si="16"/>
        <v>0</v>
      </c>
      <c r="X44" s="129">
        <f t="shared" si="21"/>
        <v>0</v>
      </c>
      <c r="Y44" s="139">
        <f t="shared" si="22"/>
        <v>0</v>
      </c>
    </row>
    <row r="45" spans="1:27" x14ac:dyDescent="0.2">
      <c r="A45" s="125">
        <v>8</v>
      </c>
      <c r="B45" s="126">
        <f>Prodiarias!E18/1000</f>
        <v>0</v>
      </c>
      <c r="C45" s="126">
        <f>Prodiarias!O18/1000</f>
        <v>0</v>
      </c>
      <c r="D45" s="126" t="s">
        <v>65</v>
      </c>
      <c r="E45" s="126">
        <f>Prodiarias!AF18/1000</f>
        <v>0</v>
      </c>
      <c r="F45" s="126">
        <f>Prodiarias!AP18/1000</f>
        <v>0</v>
      </c>
      <c r="G45" s="126" t="s">
        <v>65</v>
      </c>
      <c r="H45" s="126" t="s">
        <v>65</v>
      </c>
      <c r="I45" s="126">
        <f>Prodiarias!BE18</f>
        <v>0</v>
      </c>
      <c r="J45" s="126">
        <f t="shared" si="17"/>
        <v>0</v>
      </c>
      <c r="K45" s="129">
        <f t="shared" si="18"/>
        <v>0</v>
      </c>
      <c r="L45" s="139">
        <f t="shared" si="23"/>
        <v>0</v>
      </c>
      <c r="N45" s="125">
        <v>8</v>
      </c>
      <c r="O45" s="126">
        <f t="shared" si="19"/>
        <v>0</v>
      </c>
      <c r="P45" s="126">
        <f t="shared" si="20"/>
        <v>0</v>
      </c>
      <c r="Q45" s="126" t="s">
        <v>65</v>
      </c>
      <c r="R45" s="126">
        <f t="shared" si="13"/>
        <v>0</v>
      </c>
      <c r="S45" s="126">
        <f t="shared" si="14"/>
        <v>0</v>
      </c>
      <c r="T45" s="126" t="s">
        <v>65</v>
      </c>
      <c r="U45" s="126" t="s">
        <v>65</v>
      </c>
      <c r="V45" s="126">
        <f t="shared" si="15"/>
        <v>0</v>
      </c>
      <c r="W45" s="126">
        <f t="shared" si="16"/>
        <v>0</v>
      </c>
      <c r="X45" s="129">
        <f t="shared" si="21"/>
        <v>0</v>
      </c>
      <c r="Y45" s="139">
        <f t="shared" si="22"/>
        <v>0</v>
      </c>
    </row>
    <row r="46" spans="1:27" x14ac:dyDescent="0.2">
      <c r="A46" s="125">
        <v>9</v>
      </c>
      <c r="B46" s="126">
        <f>Prodiarias!E19/1000</f>
        <v>0</v>
      </c>
      <c r="C46" s="126">
        <f>Prodiarias!O19/1000</f>
        <v>0</v>
      </c>
      <c r="D46" s="126" t="s">
        <v>65</v>
      </c>
      <c r="E46" s="126">
        <f>Prodiarias!AF19/1000</f>
        <v>0</v>
      </c>
      <c r="F46" s="126">
        <f>Prodiarias!AP19/1000</f>
        <v>0</v>
      </c>
      <c r="G46" s="126" t="s">
        <v>65</v>
      </c>
      <c r="H46" s="126" t="s">
        <v>65</v>
      </c>
      <c r="I46" s="126">
        <f>Prodiarias!BE19</f>
        <v>0</v>
      </c>
      <c r="J46" s="126">
        <f t="shared" si="17"/>
        <v>0</v>
      </c>
      <c r="K46" s="129">
        <f t="shared" si="18"/>
        <v>0</v>
      </c>
      <c r="L46" s="139">
        <f t="shared" si="23"/>
        <v>0</v>
      </c>
      <c r="N46" s="125">
        <v>9</v>
      </c>
      <c r="O46" s="126">
        <f t="shared" si="19"/>
        <v>0</v>
      </c>
      <c r="P46" s="126">
        <f t="shared" si="20"/>
        <v>0</v>
      </c>
      <c r="Q46" s="126" t="s">
        <v>65</v>
      </c>
      <c r="R46" s="126">
        <f t="shared" si="13"/>
        <v>0</v>
      </c>
      <c r="S46" s="126">
        <f t="shared" si="14"/>
        <v>0</v>
      </c>
      <c r="T46" s="126" t="s">
        <v>65</v>
      </c>
      <c r="U46" s="126" t="s">
        <v>65</v>
      </c>
      <c r="V46" s="126">
        <f t="shared" si="15"/>
        <v>0</v>
      </c>
      <c r="W46" s="126">
        <f t="shared" si="16"/>
        <v>0</v>
      </c>
      <c r="X46" s="129">
        <f t="shared" si="21"/>
        <v>0</v>
      </c>
      <c r="Y46" s="139">
        <f t="shared" si="22"/>
        <v>0</v>
      </c>
    </row>
    <row r="47" spans="1:27" x14ac:dyDescent="0.2">
      <c r="A47" s="125">
        <v>10</v>
      </c>
      <c r="B47" s="126">
        <f>Prodiarias!E20/1000</f>
        <v>0</v>
      </c>
      <c r="C47" s="126">
        <f>Prodiarias!O20/1000</f>
        <v>0</v>
      </c>
      <c r="D47" s="126" t="s">
        <v>65</v>
      </c>
      <c r="E47" s="126">
        <f>Prodiarias!AF20/1000</f>
        <v>0</v>
      </c>
      <c r="F47" s="126">
        <f>Prodiarias!AP20/1000</f>
        <v>0</v>
      </c>
      <c r="G47" s="126" t="s">
        <v>65</v>
      </c>
      <c r="H47" s="126" t="s">
        <v>65</v>
      </c>
      <c r="I47" s="126">
        <f>Prodiarias!BE20</f>
        <v>0</v>
      </c>
      <c r="J47" s="126">
        <f t="shared" si="17"/>
        <v>0</v>
      </c>
      <c r="K47" s="129">
        <f t="shared" si="18"/>
        <v>0</v>
      </c>
      <c r="L47" s="139">
        <f t="shared" si="23"/>
        <v>0</v>
      </c>
      <c r="N47" s="125">
        <v>10</v>
      </c>
      <c r="O47" s="126">
        <f t="shared" si="19"/>
        <v>0</v>
      </c>
      <c r="P47" s="126">
        <f t="shared" si="20"/>
        <v>0</v>
      </c>
      <c r="Q47" s="126" t="s">
        <v>65</v>
      </c>
      <c r="R47" s="126">
        <f t="shared" si="13"/>
        <v>0</v>
      </c>
      <c r="S47" s="126">
        <f t="shared" si="14"/>
        <v>0</v>
      </c>
      <c r="T47" s="126" t="s">
        <v>65</v>
      </c>
      <c r="U47" s="126" t="s">
        <v>65</v>
      </c>
      <c r="V47" s="126">
        <f t="shared" si="15"/>
        <v>0</v>
      </c>
      <c r="W47" s="126">
        <f t="shared" si="16"/>
        <v>0</v>
      </c>
      <c r="X47" s="129">
        <f t="shared" si="21"/>
        <v>0</v>
      </c>
      <c r="Y47" s="139">
        <f t="shared" si="22"/>
        <v>0</v>
      </c>
    </row>
    <row r="48" spans="1:27" x14ac:dyDescent="0.2">
      <c r="A48" s="125">
        <v>11</v>
      </c>
      <c r="B48" s="126">
        <f>Prodiarias!E21/1000</f>
        <v>0</v>
      </c>
      <c r="C48" s="126">
        <f>Prodiarias!O21/1000</f>
        <v>0</v>
      </c>
      <c r="D48" s="126" t="s">
        <v>65</v>
      </c>
      <c r="E48" s="126">
        <f>Prodiarias!AF21/1000</f>
        <v>0</v>
      </c>
      <c r="F48" s="126">
        <f>Prodiarias!AP21/1000</f>
        <v>0</v>
      </c>
      <c r="G48" s="126" t="s">
        <v>65</v>
      </c>
      <c r="H48" s="126" t="s">
        <v>65</v>
      </c>
      <c r="I48" s="126">
        <f>Prodiarias!BE21</f>
        <v>0</v>
      </c>
      <c r="J48" s="126">
        <f t="shared" si="17"/>
        <v>0</v>
      </c>
      <c r="K48" s="129">
        <f t="shared" si="18"/>
        <v>0</v>
      </c>
      <c r="L48" s="139">
        <f t="shared" si="23"/>
        <v>0</v>
      </c>
      <c r="N48" s="125">
        <v>11</v>
      </c>
      <c r="O48" s="126">
        <f t="shared" si="19"/>
        <v>0</v>
      </c>
      <c r="P48" s="126">
        <f t="shared" si="20"/>
        <v>0</v>
      </c>
      <c r="Q48" s="126" t="s">
        <v>65</v>
      </c>
      <c r="R48" s="126">
        <f t="shared" si="13"/>
        <v>0</v>
      </c>
      <c r="S48" s="126">
        <f t="shared" si="14"/>
        <v>0</v>
      </c>
      <c r="T48" s="126" t="s">
        <v>65</v>
      </c>
      <c r="U48" s="126" t="s">
        <v>65</v>
      </c>
      <c r="V48" s="126">
        <f t="shared" si="15"/>
        <v>0</v>
      </c>
      <c r="W48" s="126">
        <f t="shared" si="16"/>
        <v>0</v>
      </c>
      <c r="X48" s="129">
        <f t="shared" si="21"/>
        <v>0</v>
      </c>
      <c r="Y48" s="139">
        <f t="shared" si="22"/>
        <v>0</v>
      </c>
    </row>
    <row r="49" spans="1:25" x14ac:dyDescent="0.2">
      <c r="A49" s="125">
        <v>12</v>
      </c>
      <c r="B49" s="126">
        <f>Prodiarias!E22/1000</f>
        <v>0</v>
      </c>
      <c r="C49" s="126">
        <f>Prodiarias!O22/1000</f>
        <v>0</v>
      </c>
      <c r="D49" s="126" t="s">
        <v>65</v>
      </c>
      <c r="E49" s="126">
        <f>Prodiarias!AF22/1000</f>
        <v>0</v>
      </c>
      <c r="F49" s="126">
        <f>Prodiarias!AP22/1000</f>
        <v>0</v>
      </c>
      <c r="G49" s="126" t="s">
        <v>65</v>
      </c>
      <c r="H49" s="126" t="s">
        <v>65</v>
      </c>
      <c r="I49" s="126">
        <f>Prodiarias!BE22</f>
        <v>0</v>
      </c>
      <c r="J49" s="126">
        <f t="shared" si="17"/>
        <v>0</v>
      </c>
      <c r="K49" s="129">
        <f t="shared" si="18"/>
        <v>0</v>
      </c>
      <c r="L49" s="139">
        <f t="shared" si="23"/>
        <v>0</v>
      </c>
      <c r="N49" s="125">
        <v>12</v>
      </c>
      <c r="O49" s="126">
        <f t="shared" si="19"/>
        <v>0</v>
      </c>
      <c r="P49" s="126">
        <f t="shared" si="20"/>
        <v>0</v>
      </c>
      <c r="Q49" s="126" t="s">
        <v>65</v>
      </c>
      <c r="R49" s="126">
        <f t="shared" si="13"/>
        <v>0</v>
      </c>
      <c r="S49" s="126">
        <f t="shared" si="14"/>
        <v>0</v>
      </c>
      <c r="T49" s="126" t="s">
        <v>65</v>
      </c>
      <c r="U49" s="126" t="s">
        <v>65</v>
      </c>
      <c r="V49" s="126">
        <f t="shared" si="15"/>
        <v>0</v>
      </c>
      <c r="W49" s="126">
        <f t="shared" si="16"/>
        <v>0</v>
      </c>
      <c r="X49" s="129">
        <f t="shared" si="21"/>
        <v>0</v>
      </c>
      <c r="Y49" s="139">
        <f t="shared" si="22"/>
        <v>0</v>
      </c>
    </row>
    <row r="50" spans="1:25" x14ac:dyDescent="0.2">
      <c r="A50" s="125">
        <v>13</v>
      </c>
      <c r="B50" s="126">
        <f>Prodiarias!E23/1000</f>
        <v>0</v>
      </c>
      <c r="C50" s="126">
        <f>Prodiarias!O23/1000</f>
        <v>0</v>
      </c>
      <c r="D50" s="126" t="s">
        <v>65</v>
      </c>
      <c r="E50" s="126">
        <f>Prodiarias!AF23/1000</f>
        <v>0</v>
      </c>
      <c r="F50" s="126">
        <f>Prodiarias!AP23/1000</f>
        <v>0</v>
      </c>
      <c r="G50" s="126" t="s">
        <v>65</v>
      </c>
      <c r="H50" s="126" t="s">
        <v>65</v>
      </c>
      <c r="I50" s="126">
        <f>Prodiarias!BE23</f>
        <v>0</v>
      </c>
      <c r="J50" s="126">
        <f t="shared" ref="J50:J67" si="24">SUM(B50:I50)</f>
        <v>0</v>
      </c>
      <c r="K50" s="129">
        <f t="shared" ref="K50:K67" si="25">J50*35.336/1000</f>
        <v>0</v>
      </c>
      <c r="L50" s="139">
        <f t="shared" ref="L50:L67" si="26">J50/1000*6289</f>
        <v>0</v>
      </c>
      <c r="N50" s="125">
        <v>13</v>
      </c>
      <c r="O50" s="126">
        <f t="shared" si="19"/>
        <v>0</v>
      </c>
      <c r="P50" s="126">
        <f t="shared" si="20"/>
        <v>0</v>
      </c>
      <c r="Q50" s="126" t="s">
        <v>65</v>
      </c>
      <c r="R50" s="126">
        <f t="shared" si="13"/>
        <v>0</v>
      </c>
      <c r="S50" s="126">
        <f t="shared" si="14"/>
        <v>0</v>
      </c>
      <c r="T50" s="126" t="s">
        <v>65</v>
      </c>
      <c r="U50" s="126" t="s">
        <v>65</v>
      </c>
      <c r="V50" s="126">
        <f t="shared" si="15"/>
        <v>0</v>
      </c>
      <c r="W50" s="126">
        <f t="shared" si="16"/>
        <v>0</v>
      </c>
      <c r="X50" s="129">
        <f t="shared" si="21"/>
        <v>0</v>
      </c>
      <c r="Y50" s="139">
        <f t="shared" si="22"/>
        <v>0</v>
      </c>
    </row>
    <row r="51" spans="1:25" x14ac:dyDescent="0.2">
      <c r="A51" s="125">
        <v>14</v>
      </c>
      <c r="B51" s="126">
        <f>Prodiarias!E24/1000</f>
        <v>0</v>
      </c>
      <c r="C51" s="126">
        <f>Prodiarias!O24/1000</f>
        <v>0</v>
      </c>
      <c r="D51" s="126" t="s">
        <v>65</v>
      </c>
      <c r="E51" s="126">
        <f>Prodiarias!AF24/1000</f>
        <v>0</v>
      </c>
      <c r="F51" s="126">
        <f>Prodiarias!AP24/1000</f>
        <v>0</v>
      </c>
      <c r="G51" s="126" t="s">
        <v>65</v>
      </c>
      <c r="H51" s="126" t="s">
        <v>65</v>
      </c>
      <c r="I51" s="126">
        <f>Prodiarias!BE24</f>
        <v>0</v>
      </c>
      <c r="J51" s="126">
        <f t="shared" si="24"/>
        <v>0</v>
      </c>
      <c r="K51" s="129">
        <f t="shared" si="25"/>
        <v>0</v>
      </c>
      <c r="L51" s="139">
        <f t="shared" si="26"/>
        <v>0</v>
      </c>
      <c r="N51" s="125">
        <v>14</v>
      </c>
      <c r="O51" s="126">
        <f t="shared" si="19"/>
        <v>0</v>
      </c>
      <c r="P51" s="126">
        <f t="shared" si="20"/>
        <v>0</v>
      </c>
      <c r="Q51" s="126" t="s">
        <v>65</v>
      </c>
      <c r="R51" s="126">
        <f t="shared" si="13"/>
        <v>0</v>
      </c>
      <c r="S51" s="126">
        <f t="shared" si="14"/>
        <v>0</v>
      </c>
      <c r="T51" s="126" t="s">
        <v>65</v>
      </c>
      <c r="U51" s="126" t="s">
        <v>65</v>
      </c>
      <c r="V51" s="126">
        <f t="shared" si="15"/>
        <v>0</v>
      </c>
      <c r="W51" s="126">
        <f t="shared" si="16"/>
        <v>0</v>
      </c>
      <c r="X51" s="129">
        <f t="shared" si="21"/>
        <v>0</v>
      </c>
      <c r="Y51" s="139">
        <f t="shared" si="22"/>
        <v>0</v>
      </c>
    </row>
    <row r="52" spans="1:25" x14ac:dyDescent="0.2">
      <c r="A52" s="125">
        <v>15</v>
      </c>
      <c r="B52" s="126">
        <f>Prodiarias!E25/1000</f>
        <v>0</v>
      </c>
      <c r="C52" s="126">
        <f>Prodiarias!O25/1000</f>
        <v>0</v>
      </c>
      <c r="D52" s="126" t="s">
        <v>65</v>
      </c>
      <c r="E52" s="126">
        <f>Prodiarias!AF25/1000</f>
        <v>0</v>
      </c>
      <c r="F52" s="126">
        <f>Prodiarias!AP25/1000</f>
        <v>0</v>
      </c>
      <c r="G52" s="126" t="s">
        <v>65</v>
      </c>
      <c r="H52" s="126" t="s">
        <v>65</v>
      </c>
      <c r="I52" s="126">
        <f>Prodiarias!BE25</f>
        <v>0</v>
      </c>
      <c r="J52" s="126">
        <f t="shared" si="24"/>
        <v>0</v>
      </c>
      <c r="K52" s="129">
        <f t="shared" si="25"/>
        <v>0</v>
      </c>
      <c r="L52" s="139">
        <f t="shared" si="26"/>
        <v>0</v>
      </c>
      <c r="N52" s="125">
        <v>15</v>
      </c>
      <c r="O52" s="126">
        <f t="shared" si="19"/>
        <v>0</v>
      </c>
      <c r="P52" s="126">
        <f t="shared" si="20"/>
        <v>0</v>
      </c>
      <c r="Q52" s="126" t="s">
        <v>65</v>
      </c>
      <c r="R52" s="126">
        <f t="shared" si="13"/>
        <v>0</v>
      </c>
      <c r="S52" s="126">
        <f t="shared" si="14"/>
        <v>0</v>
      </c>
      <c r="T52" s="126" t="s">
        <v>65</v>
      </c>
      <c r="U52" s="126" t="s">
        <v>65</v>
      </c>
      <c r="V52" s="126">
        <f t="shared" si="15"/>
        <v>0</v>
      </c>
      <c r="W52" s="126">
        <f t="shared" si="16"/>
        <v>0</v>
      </c>
      <c r="X52" s="129">
        <f t="shared" si="21"/>
        <v>0</v>
      </c>
      <c r="Y52" s="139">
        <f t="shared" si="22"/>
        <v>0</v>
      </c>
    </row>
    <row r="53" spans="1:25" x14ac:dyDescent="0.2">
      <c r="A53" s="125">
        <v>16</v>
      </c>
      <c r="B53" s="126">
        <f>Prodiarias!E26/1000</f>
        <v>0</v>
      </c>
      <c r="C53" s="126">
        <f>Prodiarias!O26/1000</f>
        <v>0</v>
      </c>
      <c r="D53" s="126" t="s">
        <v>65</v>
      </c>
      <c r="E53" s="126">
        <f>Prodiarias!AF26/1000</f>
        <v>0</v>
      </c>
      <c r="F53" s="126">
        <f>Prodiarias!AP26/1000</f>
        <v>0</v>
      </c>
      <c r="G53" s="126" t="s">
        <v>65</v>
      </c>
      <c r="H53" s="126" t="s">
        <v>65</v>
      </c>
      <c r="I53" s="126">
        <f>Prodiarias!BE26</f>
        <v>0</v>
      </c>
      <c r="J53" s="126">
        <f t="shared" si="24"/>
        <v>0</v>
      </c>
      <c r="K53" s="129">
        <f t="shared" si="25"/>
        <v>0</v>
      </c>
      <c r="L53" s="139">
        <f t="shared" si="26"/>
        <v>0</v>
      </c>
      <c r="N53" s="125">
        <v>16</v>
      </c>
      <c r="O53" s="126">
        <f t="shared" si="19"/>
        <v>0</v>
      </c>
      <c r="P53" s="126">
        <f t="shared" si="20"/>
        <v>0</v>
      </c>
      <c r="Q53" s="126" t="s">
        <v>65</v>
      </c>
      <c r="R53" s="126">
        <f t="shared" si="13"/>
        <v>0</v>
      </c>
      <c r="S53" s="126">
        <f t="shared" si="14"/>
        <v>0</v>
      </c>
      <c r="T53" s="126" t="s">
        <v>65</v>
      </c>
      <c r="U53" s="126" t="s">
        <v>65</v>
      </c>
      <c r="V53" s="126">
        <f t="shared" si="15"/>
        <v>0</v>
      </c>
      <c r="W53" s="126">
        <f t="shared" si="16"/>
        <v>0</v>
      </c>
      <c r="X53" s="129">
        <f t="shared" si="21"/>
        <v>0</v>
      </c>
      <c r="Y53" s="139">
        <f t="shared" si="22"/>
        <v>0</v>
      </c>
    </row>
    <row r="54" spans="1:25" x14ac:dyDescent="0.2">
      <c r="A54" s="125">
        <v>17</v>
      </c>
      <c r="B54" s="126">
        <f>Prodiarias!E27/1000</f>
        <v>0</v>
      </c>
      <c r="C54" s="126">
        <f>Prodiarias!O27/1000</f>
        <v>0</v>
      </c>
      <c r="D54" s="126" t="s">
        <v>65</v>
      </c>
      <c r="E54" s="126">
        <f>Prodiarias!AF27/1000</f>
        <v>0</v>
      </c>
      <c r="F54" s="126">
        <f>Prodiarias!AP27/1000</f>
        <v>0</v>
      </c>
      <c r="G54" s="126" t="s">
        <v>65</v>
      </c>
      <c r="H54" s="126" t="s">
        <v>65</v>
      </c>
      <c r="I54" s="126">
        <f>Prodiarias!BE27</f>
        <v>0</v>
      </c>
      <c r="J54" s="126">
        <f t="shared" si="24"/>
        <v>0</v>
      </c>
      <c r="K54" s="129">
        <f t="shared" si="25"/>
        <v>0</v>
      </c>
      <c r="L54" s="139">
        <f t="shared" si="26"/>
        <v>0</v>
      </c>
      <c r="N54" s="125">
        <v>17</v>
      </c>
      <c r="O54" s="126">
        <f t="shared" ref="O54:O67" si="27">B54*0.8</f>
        <v>0</v>
      </c>
      <c r="P54" s="126">
        <f t="shared" si="20"/>
        <v>0</v>
      </c>
      <c r="Q54" s="126" t="s">
        <v>65</v>
      </c>
      <c r="R54" s="126">
        <f t="shared" si="13"/>
        <v>0</v>
      </c>
      <c r="S54" s="126">
        <f t="shared" si="14"/>
        <v>0</v>
      </c>
      <c r="T54" s="126" t="s">
        <v>65</v>
      </c>
      <c r="U54" s="126" t="s">
        <v>65</v>
      </c>
      <c r="V54" s="126">
        <f t="shared" si="15"/>
        <v>0</v>
      </c>
      <c r="W54" s="126">
        <f t="shared" si="16"/>
        <v>0</v>
      </c>
      <c r="X54" s="129">
        <f t="shared" si="21"/>
        <v>0</v>
      </c>
      <c r="Y54" s="139">
        <f t="shared" ref="Y54:Y67" si="28">W54/1000*6289</f>
        <v>0</v>
      </c>
    </row>
    <row r="55" spans="1:25" x14ac:dyDescent="0.2">
      <c r="A55" s="125">
        <v>18</v>
      </c>
      <c r="B55" s="126">
        <f>Prodiarias!E28/1000</f>
        <v>0</v>
      </c>
      <c r="C55" s="126">
        <f>Prodiarias!O28/1000</f>
        <v>0</v>
      </c>
      <c r="D55" s="126" t="s">
        <v>65</v>
      </c>
      <c r="E55" s="126">
        <f>Prodiarias!AF28/1000</f>
        <v>0</v>
      </c>
      <c r="F55" s="126">
        <f>Prodiarias!AP28/1000</f>
        <v>0</v>
      </c>
      <c r="G55" s="126" t="s">
        <v>65</v>
      </c>
      <c r="H55" s="126" t="s">
        <v>65</v>
      </c>
      <c r="I55" s="126">
        <f>Prodiarias!BE28</f>
        <v>0</v>
      </c>
      <c r="J55" s="126">
        <f t="shared" si="24"/>
        <v>0</v>
      </c>
      <c r="K55" s="129">
        <f t="shared" si="25"/>
        <v>0</v>
      </c>
      <c r="L55" s="139">
        <f t="shared" si="26"/>
        <v>0</v>
      </c>
      <c r="N55" s="125">
        <v>18</v>
      </c>
      <c r="O55" s="126">
        <f t="shared" si="27"/>
        <v>0</v>
      </c>
      <c r="P55" s="126">
        <f t="shared" si="20"/>
        <v>0</v>
      </c>
      <c r="Q55" s="126" t="s">
        <v>65</v>
      </c>
      <c r="R55" s="126">
        <f t="shared" si="13"/>
        <v>0</v>
      </c>
      <c r="S55" s="126">
        <f t="shared" si="14"/>
        <v>0</v>
      </c>
      <c r="T55" s="126" t="s">
        <v>65</v>
      </c>
      <c r="U55" s="126" t="s">
        <v>65</v>
      </c>
      <c r="V55" s="126">
        <f t="shared" si="15"/>
        <v>0</v>
      </c>
      <c r="W55" s="126">
        <f t="shared" si="16"/>
        <v>0</v>
      </c>
      <c r="X55" s="129">
        <f t="shared" si="21"/>
        <v>0</v>
      </c>
      <c r="Y55" s="139">
        <f t="shared" si="28"/>
        <v>0</v>
      </c>
    </row>
    <row r="56" spans="1:25" x14ac:dyDescent="0.2">
      <c r="A56" s="125">
        <v>19</v>
      </c>
      <c r="B56" s="126">
        <f>Prodiarias!E29/1000</f>
        <v>0</v>
      </c>
      <c r="C56" s="126">
        <f>Prodiarias!O29/1000</f>
        <v>0</v>
      </c>
      <c r="D56" s="126" t="s">
        <v>65</v>
      </c>
      <c r="E56" s="126">
        <f>Prodiarias!AF29/1000</f>
        <v>0</v>
      </c>
      <c r="F56" s="126">
        <f>Prodiarias!AP29/1000</f>
        <v>0</v>
      </c>
      <c r="G56" s="126" t="s">
        <v>65</v>
      </c>
      <c r="H56" s="126" t="s">
        <v>65</v>
      </c>
      <c r="I56" s="126">
        <f>Prodiarias!BE29</f>
        <v>0</v>
      </c>
      <c r="J56" s="126">
        <f t="shared" si="24"/>
        <v>0</v>
      </c>
      <c r="K56" s="129">
        <f t="shared" si="25"/>
        <v>0</v>
      </c>
      <c r="L56" s="139">
        <f t="shared" si="26"/>
        <v>0</v>
      </c>
      <c r="N56" s="125">
        <v>19</v>
      </c>
      <c r="O56" s="126">
        <f t="shared" si="27"/>
        <v>0</v>
      </c>
      <c r="P56" s="126">
        <f t="shared" si="20"/>
        <v>0</v>
      </c>
      <c r="Q56" s="126" t="s">
        <v>65</v>
      </c>
      <c r="R56" s="126">
        <f t="shared" si="13"/>
        <v>0</v>
      </c>
      <c r="S56" s="126">
        <f t="shared" si="14"/>
        <v>0</v>
      </c>
      <c r="T56" s="126" t="s">
        <v>65</v>
      </c>
      <c r="U56" s="126" t="s">
        <v>65</v>
      </c>
      <c r="V56" s="126">
        <f t="shared" si="15"/>
        <v>0</v>
      </c>
      <c r="W56" s="126">
        <f t="shared" si="16"/>
        <v>0</v>
      </c>
      <c r="X56" s="129">
        <f t="shared" si="21"/>
        <v>0</v>
      </c>
      <c r="Y56" s="139">
        <f t="shared" si="28"/>
        <v>0</v>
      </c>
    </row>
    <row r="57" spans="1:25" x14ac:dyDescent="0.2">
      <c r="A57" s="125">
        <v>20</v>
      </c>
      <c r="B57" s="126">
        <f>Prodiarias!E30/1000</f>
        <v>0</v>
      </c>
      <c r="C57" s="126">
        <f>Prodiarias!O30/1000</f>
        <v>0</v>
      </c>
      <c r="D57" s="126" t="s">
        <v>65</v>
      </c>
      <c r="E57" s="126">
        <f>Prodiarias!AF30/1000</f>
        <v>0</v>
      </c>
      <c r="F57" s="126">
        <f>Prodiarias!AP30/1000</f>
        <v>0</v>
      </c>
      <c r="G57" s="126" t="s">
        <v>65</v>
      </c>
      <c r="H57" s="126" t="s">
        <v>65</v>
      </c>
      <c r="I57" s="126">
        <f>Prodiarias!BE30</f>
        <v>0</v>
      </c>
      <c r="J57" s="126">
        <f t="shared" si="24"/>
        <v>0</v>
      </c>
      <c r="K57" s="129">
        <f t="shared" si="25"/>
        <v>0</v>
      </c>
      <c r="L57" s="139">
        <f t="shared" si="26"/>
        <v>0</v>
      </c>
      <c r="N57" s="125">
        <v>20</v>
      </c>
      <c r="O57" s="126">
        <f t="shared" si="27"/>
        <v>0</v>
      </c>
      <c r="P57" s="126">
        <f t="shared" si="20"/>
        <v>0</v>
      </c>
      <c r="Q57" s="126" t="s">
        <v>65</v>
      </c>
      <c r="R57" s="126">
        <f t="shared" si="13"/>
        <v>0</v>
      </c>
      <c r="S57" s="126">
        <f t="shared" si="14"/>
        <v>0</v>
      </c>
      <c r="T57" s="126" t="s">
        <v>65</v>
      </c>
      <c r="U57" s="126" t="s">
        <v>65</v>
      </c>
      <c r="V57" s="126">
        <f t="shared" si="15"/>
        <v>0</v>
      </c>
      <c r="W57" s="126">
        <f t="shared" si="16"/>
        <v>0</v>
      </c>
      <c r="X57" s="129">
        <f t="shared" si="21"/>
        <v>0</v>
      </c>
      <c r="Y57" s="139">
        <f t="shared" si="28"/>
        <v>0</v>
      </c>
    </row>
    <row r="58" spans="1:25" x14ac:dyDescent="0.2">
      <c r="A58" s="125">
        <v>21</v>
      </c>
      <c r="B58" s="126">
        <f>Prodiarias!E31/1000</f>
        <v>0</v>
      </c>
      <c r="C58" s="126">
        <f>Prodiarias!O31/1000</f>
        <v>0</v>
      </c>
      <c r="D58" s="126" t="s">
        <v>65</v>
      </c>
      <c r="E58" s="126">
        <f>Prodiarias!AF31/1000</f>
        <v>0</v>
      </c>
      <c r="F58" s="126">
        <f>Prodiarias!AP31/1000</f>
        <v>0</v>
      </c>
      <c r="G58" s="126" t="s">
        <v>65</v>
      </c>
      <c r="H58" s="126" t="s">
        <v>65</v>
      </c>
      <c r="I58" s="126">
        <f>Prodiarias!BE31</f>
        <v>0</v>
      </c>
      <c r="J58" s="126">
        <f t="shared" si="24"/>
        <v>0</v>
      </c>
      <c r="K58" s="129">
        <f t="shared" si="25"/>
        <v>0</v>
      </c>
      <c r="L58" s="139">
        <f t="shared" si="26"/>
        <v>0</v>
      </c>
      <c r="N58" s="125">
        <v>21</v>
      </c>
      <c r="O58" s="126">
        <f t="shared" si="27"/>
        <v>0</v>
      </c>
      <c r="P58" s="126">
        <f t="shared" si="20"/>
        <v>0</v>
      </c>
      <c r="Q58" s="126" t="s">
        <v>65</v>
      </c>
      <c r="R58" s="126">
        <f t="shared" si="13"/>
        <v>0</v>
      </c>
      <c r="S58" s="126">
        <f t="shared" si="14"/>
        <v>0</v>
      </c>
      <c r="T58" s="126" t="s">
        <v>65</v>
      </c>
      <c r="U58" s="126" t="s">
        <v>65</v>
      </c>
      <c r="V58" s="126">
        <f t="shared" si="15"/>
        <v>0</v>
      </c>
      <c r="W58" s="126">
        <f t="shared" si="16"/>
        <v>0</v>
      </c>
      <c r="X58" s="129">
        <f t="shared" si="21"/>
        <v>0</v>
      </c>
      <c r="Y58" s="139">
        <f t="shared" si="28"/>
        <v>0</v>
      </c>
    </row>
    <row r="59" spans="1:25" x14ac:dyDescent="0.2">
      <c r="A59" s="125">
        <v>22</v>
      </c>
      <c r="B59" s="126">
        <f>Prodiarias!E32/1000</f>
        <v>0</v>
      </c>
      <c r="C59" s="126">
        <f>Prodiarias!O32/1000</f>
        <v>0</v>
      </c>
      <c r="D59" s="126" t="s">
        <v>65</v>
      </c>
      <c r="E59" s="126">
        <f>Prodiarias!AF32/1000</f>
        <v>0</v>
      </c>
      <c r="F59" s="126">
        <f>Prodiarias!AP32/1000</f>
        <v>0</v>
      </c>
      <c r="G59" s="126" t="s">
        <v>65</v>
      </c>
      <c r="H59" s="126" t="s">
        <v>65</v>
      </c>
      <c r="I59" s="126">
        <f>Prodiarias!BE32</f>
        <v>0</v>
      </c>
      <c r="J59" s="126">
        <f t="shared" si="24"/>
        <v>0</v>
      </c>
      <c r="K59" s="129">
        <f t="shared" si="25"/>
        <v>0</v>
      </c>
      <c r="L59" s="139">
        <f t="shared" si="26"/>
        <v>0</v>
      </c>
      <c r="N59" s="125">
        <v>22</v>
      </c>
      <c r="O59" s="126">
        <f t="shared" si="27"/>
        <v>0</v>
      </c>
      <c r="P59" s="126">
        <f t="shared" si="20"/>
        <v>0</v>
      </c>
      <c r="Q59" s="126" t="s">
        <v>65</v>
      </c>
      <c r="R59" s="126">
        <f t="shared" si="13"/>
        <v>0</v>
      </c>
      <c r="S59" s="126">
        <f t="shared" si="14"/>
        <v>0</v>
      </c>
      <c r="T59" s="126" t="s">
        <v>65</v>
      </c>
      <c r="U59" s="126" t="s">
        <v>65</v>
      </c>
      <c r="V59" s="126">
        <f t="shared" si="15"/>
        <v>0</v>
      </c>
      <c r="W59" s="126">
        <f t="shared" si="16"/>
        <v>0</v>
      </c>
      <c r="X59" s="129">
        <f t="shared" si="21"/>
        <v>0</v>
      </c>
      <c r="Y59" s="139">
        <f t="shared" si="28"/>
        <v>0</v>
      </c>
    </row>
    <row r="60" spans="1:25" x14ac:dyDescent="0.2">
      <c r="A60" s="125">
        <v>23</v>
      </c>
      <c r="B60" s="126">
        <f>Prodiarias!E33/1000</f>
        <v>0</v>
      </c>
      <c r="C60" s="126">
        <f>Prodiarias!O33/1000</f>
        <v>0</v>
      </c>
      <c r="D60" s="126" t="s">
        <v>65</v>
      </c>
      <c r="E60" s="126">
        <f>Prodiarias!AF33/1000</f>
        <v>0</v>
      </c>
      <c r="F60" s="126">
        <f>Prodiarias!AP33/1000</f>
        <v>0</v>
      </c>
      <c r="G60" s="126" t="s">
        <v>65</v>
      </c>
      <c r="H60" s="126" t="s">
        <v>65</v>
      </c>
      <c r="I60" s="126">
        <f>Prodiarias!BE33</f>
        <v>0</v>
      </c>
      <c r="J60" s="126">
        <f t="shared" si="24"/>
        <v>0</v>
      </c>
      <c r="K60" s="129">
        <f t="shared" si="25"/>
        <v>0</v>
      </c>
      <c r="L60" s="139">
        <f t="shared" si="26"/>
        <v>0</v>
      </c>
      <c r="N60" s="125">
        <v>23</v>
      </c>
      <c r="O60" s="126">
        <f t="shared" si="27"/>
        <v>0</v>
      </c>
      <c r="P60" s="126">
        <f t="shared" si="20"/>
        <v>0</v>
      </c>
      <c r="Q60" s="126" t="s">
        <v>65</v>
      </c>
      <c r="R60" s="126">
        <f t="shared" si="13"/>
        <v>0</v>
      </c>
      <c r="S60" s="126">
        <f t="shared" si="14"/>
        <v>0</v>
      </c>
      <c r="T60" s="126" t="s">
        <v>65</v>
      </c>
      <c r="U60" s="126" t="s">
        <v>65</v>
      </c>
      <c r="V60" s="126">
        <f t="shared" si="15"/>
        <v>0</v>
      </c>
      <c r="W60" s="126">
        <f t="shared" si="16"/>
        <v>0</v>
      </c>
      <c r="X60" s="129">
        <f t="shared" si="21"/>
        <v>0</v>
      </c>
      <c r="Y60" s="139">
        <f t="shared" si="28"/>
        <v>0</v>
      </c>
    </row>
    <row r="61" spans="1:25" x14ac:dyDescent="0.2">
      <c r="A61" s="125">
        <v>24</v>
      </c>
      <c r="B61" s="126">
        <f>Prodiarias!E34/1000</f>
        <v>0</v>
      </c>
      <c r="C61" s="126">
        <f>Prodiarias!O34/1000</f>
        <v>0</v>
      </c>
      <c r="D61" s="126" t="s">
        <v>65</v>
      </c>
      <c r="E61" s="126">
        <f>Prodiarias!AF34/1000</f>
        <v>0</v>
      </c>
      <c r="F61" s="126">
        <f>Prodiarias!AP34/1000</f>
        <v>0</v>
      </c>
      <c r="G61" s="126" t="s">
        <v>65</v>
      </c>
      <c r="H61" s="126" t="s">
        <v>65</v>
      </c>
      <c r="I61" s="126">
        <f>Prodiarias!BE34</f>
        <v>0</v>
      </c>
      <c r="J61" s="126">
        <f t="shared" si="24"/>
        <v>0</v>
      </c>
      <c r="K61" s="129">
        <f t="shared" si="25"/>
        <v>0</v>
      </c>
      <c r="L61" s="139">
        <f t="shared" si="26"/>
        <v>0</v>
      </c>
      <c r="N61" s="125">
        <v>24</v>
      </c>
      <c r="O61" s="126">
        <f t="shared" si="27"/>
        <v>0</v>
      </c>
      <c r="P61" s="126">
        <f t="shared" si="20"/>
        <v>0</v>
      </c>
      <c r="Q61" s="126" t="s">
        <v>65</v>
      </c>
      <c r="R61" s="126">
        <f t="shared" si="13"/>
        <v>0</v>
      </c>
      <c r="S61" s="126">
        <f t="shared" si="14"/>
        <v>0</v>
      </c>
      <c r="T61" s="126" t="s">
        <v>65</v>
      </c>
      <c r="U61" s="126" t="s">
        <v>65</v>
      </c>
      <c r="V61" s="126">
        <f t="shared" si="15"/>
        <v>0</v>
      </c>
      <c r="W61" s="126">
        <f t="shared" si="16"/>
        <v>0</v>
      </c>
      <c r="X61" s="129">
        <f t="shared" si="21"/>
        <v>0</v>
      </c>
      <c r="Y61" s="139">
        <f t="shared" si="28"/>
        <v>0</v>
      </c>
    </row>
    <row r="62" spans="1:25" x14ac:dyDescent="0.2">
      <c r="A62" s="125">
        <v>25</v>
      </c>
      <c r="B62" s="126">
        <f>Prodiarias!E35/1000</f>
        <v>0</v>
      </c>
      <c r="C62" s="126">
        <f>Prodiarias!O35/1000</f>
        <v>0</v>
      </c>
      <c r="D62" s="126" t="s">
        <v>65</v>
      </c>
      <c r="E62" s="126">
        <f>Prodiarias!AF35/1000</f>
        <v>0</v>
      </c>
      <c r="F62" s="126">
        <f>Prodiarias!AP35/1000</f>
        <v>0</v>
      </c>
      <c r="G62" s="126" t="s">
        <v>65</v>
      </c>
      <c r="H62" s="126" t="s">
        <v>65</v>
      </c>
      <c r="I62" s="126">
        <f>Prodiarias!BE35</f>
        <v>0</v>
      </c>
      <c r="J62" s="126">
        <f t="shared" si="24"/>
        <v>0</v>
      </c>
      <c r="K62" s="129">
        <f t="shared" si="25"/>
        <v>0</v>
      </c>
      <c r="L62" s="139">
        <f t="shared" si="26"/>
        <v>0</v>
      </c>
      <c r="N62" s="125">
        <v>25</v>
      </c>
      <c r="O62" s="126">
        <f t="shared" si="27"/>
        <v>0</v>
      </c>
      <c r="P62" s="126">
        <f t="shared" si="20"/>
        <v>0</v>
      </c>
      <c r="Q62" s="126" t="s">
        <v>65</v>
      </c>
      <c r="R62" s="126">
        <f t="shared" si="13"/>
        <v>0</v>
      </c>
      <c r="S62" s="126">
        <f t="shared" si="14"/>
        <v>0</v>
      </c>
      <c r="T62" s="126" t="s">
        <v>65</v>
      </c>
      <c r="U62" s="126" t="s">
        <v>65</v>
      </c>
      <c r="V62" s="126">
        <f t="shared" si="15"/>
        <v>0</v>
      </c>
      <c r="W62" s="126">
        <f t="shared" si="16"/>
        <v>0</v>
      </c>
      <c r="X62" s="129">
        <f t="shared" si="21"/>
        <v>0</v>
      </c>
      <c r="Y62" s="139">
        <f t="shared" si="28"/>
        <v>0</v>
      </c>
    </row>
    <row r="63" spans="1:25" x14ac:dyDescent="0.2">
      <c r="A63" s="125">
        <v>26</v>
      </c>
      <c r="B63" s="126">
        <f>Prodiarias!E36/1000</f>
        <v>0</v>
      </c>
      <c r="C63" s="126">
        <f>Prodiarias!O36/1000</f>
        <v>0</v>
      </c>
      <c r="D63" s="126" t="s">
        <v>65</v>
      </c>
      <c r="E63" s="126">
        <f>Prodiarias!AF36/1000</f>
        <v>0</v>
      </c>
      <c r="F63" s="126">
        <f>Prodiarias!AP36/1000</f>
        <v>0</v>
      </c>
      <c r="G63" s="126" t="s">
        <v>65</v>
      </c>
      <c r="H63" s="126" t="s">
        <v>65</v>
      </c>
      <c r="I63" s="126">
        <f>Prodiarias!BE36</f>
        <v>0</v>
      </c>
      <c r="J63" s="126">
        <f t="shared" si="24"/>
        <v>0</v>
      </c>
      <c r="K63" s="129">
        <f t="shared" si="25"/>
        <v>0</v>
      </c>
      <c r="L63" s="139">
        <f t="shared" si="26"/>
        <v>0</v>
      </c>
      <c r="N63" s="125">
        <v>26</v>
      </c>
      <c r="O63" s="126">
        <f t="shared" si="27"/>
        <v>0</v>
      </c>
      <c r="P63" s="126">
        <f t="shared" si="20"/>
        <v>0</v>
      </c>
      <c r="Q63" s="126" t="s">
        <v>65</v>
      </c>
      <c r="R63" s="126">
        <f t="shared" si="13"/>
        <v>0</v>
      </c>
      <c r="S63" s="126">
        <f t="shared" si="14"/>
        <v>0</v>
      </c>
      <c r="T63" s="126" t="s">
        <v>65</v>
      </c>
      <c r="U63" s="126" t="s">
        <v>65</v>
      </c>
      <c r="V63" s="126">
        <f t="shared" si="15"/>
        <v>0</v>
      </c>
      <c r="W63" s="126">
        <f t="shared" si="16"/>
        <v>0</v>
      </c>
      <c r="X63" s="129">
        <f t="shared" si="21"/>
        <v>0</v>
      </c>
      <c r="Y63" s="139">
        <f t="shared" si="28"/>
        <v>0</v>
      </c>
    </row>
    <row r="64" spans="1:25" x14ac:dyDescent="0.2">
      <c r="A64" s="125">
        <v>27</v>
      </c>
      <c r="B64" s="126">
        <f>Prodiarias!E37/1000</f>
        <v>0</v>
      </c>
      <c r="C64" s="126">
        <f>Prodiarias!O37/1000</f>
        <v>0</v>
      </c>
      <c r="D64" s="126" t="s">
        <v>65</v>
      </c>
      <c r="E64" s="126">
        <f>Prodiarias!AF37/1000</f>
        <v>0</v>
      </c>
      <c r="F64" s="126">
        <f>Prodiarias!AP37/1000</f>
        <v>0</v>
      </c>
      <c r="G64" s="126" t="s">
        <v>65</v>
      </c>
      <c r="H64" s="126" t="s">
        <v>65</v>
      </c>
      <c r="I64" s="126">
        <f>Prodiarias!BE37</f>
        <v>0</v>
      </c>
      <c r="J64" s="126">
        <f t="shared" si="24"/>
        <v>0</v>
      </c>
      <c r="K64" s="129">
        <f t="shared" si="25"/>
        <v>0</v>
      </c>
      <c r="L64" s="139">
        <f t="shared" si="26"/>
        <v>0</v>
      </c>
      <c r="N64" s="125">
        <v>27</v>
      </c>
      <c r="O64" s="126">
        <f t="shared" si="27"/>
        <v>0</v>
      </c>
      <c r="P64" s="126">
        <f t="shared" si="20"/>
        <v>0</v>
      </c>
      <c r="Q64" s="126" t="s">
        <v>65</v>
      </c>
      <c r="R64" s="126">
        <f t="shared" si="13"/>
        <v>0</v>
      </c>
      <c r="S64" s="126">
        <f t="shared" si="14"/>
        <v>0</v>
      </c>
      <c r="T64" s="126" t="s">
        <v>65</v>
      </c>
      <c r="U64" s="126" t="s">
        <v>65</v>
      </c>
      <c r="V64" s="126">
        <f t="shared" si="15"/>
        <v>0</v>
      </c>
      <c r="W64" s="126">
        <f t="shared" si="16"/>
        <v>0</v>
      </c>
      <c r="X64" s="129">
        <f t="shared" si="21"/>
        <v>0</v>
      </c>
      <c r="Y64" s="139">
        <f t="shared" si="28"/>
        <v>0</v>
      </c>
    </row>
    <row r="65" spans="1:25" x14ac:dyDescent="0.2">
      <c r="A65" s="125">
        <v>28</v>
      </c>
      <c r="B65" s="126">
        <f>Prodiarias!E38/1000</f>
        <v>0</v>
      </c>
      <c r="C65" s="126">
        <f>Prodiarias!O38/1000</f>
        <v>0</v>
      </c>
      <c r="D65" s="126" t="s">
        <v>65</v>
      </c>
      <c r="E65" s="126">
        <f>Prodiarias!AF38/1000</f>
        <v>0</v>
      </c>
      <c r="F65" s="126">
        <f>Prodiarias!AP38/1000</f>
        <v>0</v>
      </c>
      <c r="G65" s="126" t="s">
        <v>65</v>
      </c>
      <c r="H65" s="126" t="s">
        <v>65</v>
      </c>
      <c r="I65" s="126">
        <f>Prodiarias!BE38</f>
        <v>0</v>
      </c>
      <c r="J65" s="126">
        <f t="shared" si="24"/>
        <v>0</v>
      </c>
      <c r="K65" s="129">
        <f t="shared" si="25"/>
        <v>0</v>
      </c>
      <c r="L65" s="139">
        <f t="shared" si="26"/>
        <v>0</v>
      </c>
      <c r="N65" s="125">
        <v>28</v>
      </c>
      <c r="O65" s="126">
        <f t="shared" si="27"/>
        <v>0</v>
      </c>
      <c r="P65" s="126">
        <f t="shared" si="20"/>
        <v>0</v>
      </c>
      <c r="Q65" s="126" t="s">
        <v>65</v>
      </c>
      <c r="R65" s="126">
        <f t="shared" si="13"/>
        <v>0</v>
      </c>
      <c r="S65" s="126">
        <f t="shared" si="14"/>
        <v>0</v>
      </c>
      <c r="T65" s="126" t="s">
        <v>65</v>
      </c>
      <c r="U65" s="126" t="s">
        <v>65</v>
      </c>
      <c r="V65" s="126">
        <f t="shared" si="15"/>
        <v>0</v>
      </c>
      <c r="W65" s="126">
        <f t="shared" si="16"/>
        <v>0</v>
      </c>
      <c r="X65" s="129">
        <f t="shared" si="21"/>
        <v>0</v>
      </c>
      <c r="Y65" s="139">
        <f t="shared" si="28"/>
        <v>0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22" t="s">
        <v>86</v>
      </c>
      <c r="F70" s="423"/>
      <c r="G70" s="423"/>
      <c r="H70" s="424"/>
      <c r="I70" s="155" t="str">
        <f>D1</f>
        <v>Septiembre 2021</v>
      </c>
      <c r="J70" s="156"/>
      <c r="Q70" s="422" t="s">
        <v>87</v>
      </c>
      <c r="R70" s="423"/>
      <c r="S70" s="423"/>
      <c r="T70" s="424"/>
      <c r="U70" s="155" t="str">
        <f>D1</f>
        <v>Septiembre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14861.585808999844</v>
      </c>
      <c r="G72" s="151">
        <f>L38</f>
        <v>5627.051304999999</v>
      </c>
      <c r="H72" s="153">
        <f>F72+G72</f>
        <v>20488.637113999845</v>
      </c>
      <c r="I72" s="152">
        <f>H72</f>
        <v>20488.637113999845</v>
      </c>
      <c r="J72" s="146">
        <f t="shared" ref="J72:J84" si="29">IF(F72=0,"",I72/E72)</f>
        <v>20488.637113999845</v>
      </c>
      <c r="Q72" s="126">
        <v>1</v>
      </c>
      <c r="R72" s="144">
        <f t="shared" ref="R72:R84" si="30">X3</f>
        <v>13417.588180352999</v>
      </c>
      <c r="S72" s="151">
        <f t="shared" ref="S72:S84" si="31">Y38</f>
        <v>3310.188167349806</v>
      </c>
      <c r="T72" s="153">
        <f t="shared" ref="T72:T84" si="32">R72+S72</f>
        <v>16727.776347702806</v>
      </c>
      <c r="U72" s="152">
        <f>T72</f>
        <v>16727.776347702806</v>
      </c>
      <c r="V72" s="146">
        <f t="shared" ref="V72:V84" si="33">IF(R72=0,"",U72/Q72)</f>
        <v>16727.776347702806</v>
      </c>
    </row>
    <row r="73" spans="1:25" ht="14.15" customHeight="1" x14ac:dyDescent="0.2">
      <c r="E73" s="126">
        <v>2</v>
      </c>
      <c r="F73" s="144">
        <f t="shared" ref="F73:F84" si="34">K4</f>
        <v>15434.681064143742</v>
      </c>
      <c r="G73" s="151">
        <f t="shared" ref="G73:G84" si="35">L39</f>
        <v>5557.3163574</v>
      </c>
      <c r="H73" s="153">
        <f t="shared" ref="H73:H84" si="36">F73+G73</f>
        <v>20991.997421543743</v>
      </c>
      <c r="I73" s="152">
        <f t="shared" ref="I73:I84" si="37">H73+I72</f>
        <v>41480.634535543591</v>
      </c>
      <c r="J73" s="146">
        <f t="shared" si="29"/>
        <v>20740.317267771796</v>
      </c>
      <c r="Q73" s="126">
        <v>2</v>
      </c>
      <c r="R73" s="144">
        <f t="shared" si="30"/>
        <v>13893.533129642234</v>
      </c>
      <c r="S73" s="151">
        <f t="shared" si="31"/>
        <v>3279.7396119280002</v>
      </c>
      <c r="T73" s="153">
        <f t="shared" si="32"/>
        <v>17173.272741570232</v>
      </c>
      <c r="U73" s="152">
        <f t="shared" ref="U73:U84" si="38">T73+U72</f>
        <v>33901.049089273038</v>
      </c>
      <c r="V73" s="146">
        <f t="shared" si="33"/>
        <v>16950.524544636519</v>
      </c>
    </row>
    <row r="74" spans="1:25" ht="14.15" customHeight="1" x14ac:dyDescent="0.2">
      <c r="E74" s="126">
        <v>3</v>
      </c>
      <c r="F74" s="144">
        <f t="shared" si="34"/>
        <v>15028.635157067896</v>
      </c>
      <c r="G74" s="151">
        <f t="shared" si="35"/>
        <v>5624.2086769999996</v>
      </c>
      <c r="H74" s="153">
        <f t="shared" si="36"/>
        <v>20652.843834067895</v>
      </c>
      <c r="I74" s="152">
        <f t="shared" si="37"/>
        <v>62133.47836961149</v>
      </c>
      <c r="J74" s="146">
        <f t="shared" si="29"/>
        <v>20711.159456537163</v>
      </c>
      <c r="Q74" s="126">
        <v>3</v>
      </c>
      <c r="R74" s="144">
        <f t="shared" si="30"/>
        <v>13566.719037786612</v>
      </c>
      <c r="S74" s="151">
        <f t="shared" si="31"/>
        <v>3320.0102195413033</v>
      </c>
      <c r="T74" s="153">
        <f t="shared" si="32"/>
        <v>16886.729257327916</v>
      </c>
      <c r="U74" s="152">
        <f t="shared" si="38"/>
        <v>50787.778346600957</v>
      </c>
      <c r="V74" s="146">
        <f t="shared" si="33"/>
        <v>16929.259448866986</v>
      </c>
    </row>
    <row r="75" spans="1:25" ht="14.15" customHeight="1" x14ac:dyDescent="0.2">
      <c r="E75" s="126">
        <v>4</v>
      </c>
      <c r="F75" s="144">
        <f t="shared" si="34"/>
        <v>15241.186595134366</v>
      </c>
      <c r="G75" s="151">
        <f t="shared" si="35"/>
        <v>5580.6604964999997</v>
      </c>
      <c r="H75" s="153">
        <f t="shared" si="36"/>
        <v>20821.847091634365</v>
      </c>
      <c r="I75" s="152">
        <f t="shared" si="37"/>
        <v>82955.325461245855</v>
      </c>
      <c r="J75" s="146">
        <f t="shared" si="29"/>
        <v>20738.831365311464</v>
      </c>
      <c r="Q75" s="126">
        <v>4</v>
      </c>
      <c r="R75" s="144">
        <f t="shared" si="30"/>
        <v>13737.530903711244</v>
      </c>
      <c r="S75" s="151">
        <f t="shared" si="31"/>
        <v>3286.3507458282002</v>
      </c>
      <c r="T75" s="153">
        <f t="shared" si="32"/>
        <v>17023.881649539442</v>
      </c>
      <c r="U75" s="152">
        <f t="shared" si="38"/>
        <v>67811.659996140399</v>
      </c>
      <c r="V75" s="146">
        <f t="shared" si="33"/>
        <v>16952.9149990351</v>
      </c>
    </row>
    <row r="76" spans="1:25" ht="14.15" customHeight="1" x14ac:dyDescent="0.2">
      <c r="E76" s="126">
        <v>5</v>
      </c>
      <c r="F76" s="144">
        <f t="shared" si="34"/>
        <v>14487.818592653843</v>
      </c>
      <c r="G76" s="151">
        <f t="shared" si="35"/>
        <v>5496.2759522999995</v>
      </c>
      <c r="H76" s="153">
        <f t="shared" si="36"/>
        <v>19984.094544953841</v>
      </c>
      <c r="I76" s="152">
        <f t="shared" si="37"/>
        <v>102939.4200061997</v>
      </c>
      <c r="J76" s="146">
        <f t="shared" si="29"/>
        <v>20587.884001239938</v>
      </c>
      <c r="Q76" s="126">
        <v>5</v>
      </c>
      <c r="R76" s="144">
        <f t="shared" si="30"/>
        <v>13115.125190421373</v>
      </c>
      <c r="S76" s="151">
        <f t="shared" si="31"/>
        <v>3213.8320849715869</v>
      </c>
      <c r="T76" s="153">
        <f t="shared" si="32"/>
        <v>16328.957275392961</v>
      </c>
      <c r="U76" s="152">
        <f t="shared" si="38"/>
        <v>84140.617271533352</v>
      </c>
      <c r="V76" s="146">
        <f t="shared" si="33"/>
        <v>16828.123454306671</v>
      </c>
    </row>
    <row r="77" spans="1:25" ht="14.15" customHeight="1" x14ac:dyDescent="0.2">
      <c r="E77" s="126">
        <v>6</v>
      </c>
      <c r="F77" s="144">
        <f t="shared" si="34"/>
        <v>0</v>
      </c>
      <c r="G77" s="151">
        <f t="shared" si="35"/>
        <v>0</v>
      </c>
      <c r="H77" s="153">
        <f t="shared" si="36"/>
        <v>0</v>
      </c>
      <c r="I77" s="152">
        <f t="shared" si="37"/>
        <v>102939.4200061997</v>
      </c>
      <c r="J77" s="146" t="str">
        <f t="shared" si="29"/>
        <v/>
      </c>
      <c r="Q77" s="126">
        <v>6</v>
      </c>
      <c r="R77" s="144">
        <f t="shared" si="30"/>
        <v>0</v>
      </c>
      <c r="S77" s="151">
        <f t="shared" si="31"/>
        <v>0</v>
      </c>
      <c r="T77" s="153">
        <f t="shared" si="32"/>
        <v>0</v>
      </c>
      <c r="U77" s="152">
        <f t="shared" si="38"/>
        <v>84140.617271533352</v>
      </c>
      <c r="V77" s="146" t="str">
        <f t="shared" si="33"/>
        <v/>
      </c>
    </row>
    <row r="78" spans="1:25" ht="14.15" customHeight="1" x14ac:dyDescent="0.2">
      <c r="E78" s="126">
        <v>7</v>
      </c>
      <c r="F78" s="144">
        <f t="shared" si="34"/>
        <v>0</v>
      </c>
      <c r="G78" s="151">
        <f t="shared" si="35"/>
        <v>0</v>
      </c>
      <c r="H78" s="153">
        <f t="shared" si="36"/>
        <v>0</v>
      </c>
      <c r="I78" s="152">
        <f t="shared" si="37"/>
        <v>102939.4200061997</v>
      </c>
      <c r="J78" s="146" t="str">
        <f t="shared" si="29"/>
        <v/>
      </c>
      <c r="Q78" s="126">
        <v>7</v>
      </c>
      <c r="R78" s="144">
        <f t="shared" si="30"/>
        <v>0</v>
      </c>
      <c r="S78" s="151">
        <f t="shared" si="31"/>
        <v>0</v>
      </c>
      <c r="T78" s="153">
        <f t="shared" si="32"/>
        <v>0</v>
      </c>
      <c r="U78" s="152">
        <f t="shared" si="38"/>
        <v>84140.617271533352</v>
      </c>
      <c r="V78" s="146" t="str">
        <f t="shared" si="33"/>
        <v/>
      </c>
    </row>
    <row r="79" spans="1:25" ht="14.15" customHeight="1" x14ac:dyDescent="0.2">
      <c r="E79" s="126">
        <v>8</v>
      </c>
      <c r="F79" s="144">
        <f t="shared" si="34"/>
        <v>0</v>
      </c>
      <c r="G79" s="151">
        <f t="shared" si="35"/>
        <v>0</v>
      </c>
      <c r="H79" s="153">
        <f t="shared" si="36"/>
        <v>0</v>
      </c>
      <c r="I79" s="152">
        <f t="shared" si="37"/>
        <v>102939.4200061997</v>
      </c>
      <c r="J79" s="146" t="str">
        <f t="shared" si="29"/>
        <v/>
      </c>
      <c r="Q79" s="126">
        <v>8</v>
      </c>
      <c r="R79" s="144">
        <f t="shared" si="30"/>
        <v>0</v>
      </c>
      <c r="S79" s="151">
        <f t="shared" si="31"/>
        <v>0</v>
      </c>
      <c r="T79" s="153">
        <f t="shared" si="32"/>
        <v>0</v>
      </c>
      <c r="U79" s="152">
        <f t="shared" si="38"/>
        <v>84140.617271533352</v>
      </c>
      <c r="V79" s="146" t="str">
        <f t="shared" si="33"/>
        <v/>
      </c>
    </row>
    <row r="80" spans="1:25" ht="14.15" customHeight="1" x14ac:dyDescent="0.2">
      <c r="E80" s="126">
        <v>9</v>
      </c>
      <c r="F80" s="144">
        <f t="shared" si="34"/>
        <v>0</v>
      </c>
      <c r="G80" s="151">
        <f t="shared" si="35"/>
        <v>0</v>
      </c>
      <c r="H80" s="153">
        <f t="shared" si="36"/>
        <v>0</v>
      </c>
      <c r="I80" s="152">
        <f t="shared" si="37"/>
        <v>102939.4200061997</v>
      </c>
      <c r="J80" s="146" t="str">
        <f t="shared" si="29"/>
        <v/>
      </c>
      <c r="Q80" s="126">
        <v>9</v>
      </c>
      <c r="R80" s="144">
        <f t="shared" si="30"/>
        <v>0</v>
      </c>
      <c r="S80" s="151">
        <f t="shared" si="31"/>
        <v>0</v>
      </c>
      <c r="T80" s="153">
        <f t="shared" si="32"/>
        <v>0</v>
      </c>
      <c r="U80" s="152">
        <f t="shared" si="38"/>
        <v>84140.617271533352</v>
      </c>
      <c r="V80" s="146" t="str">
        <f t="shared" si="33"/>
        <v/>
      </c>
    </row>
    <row r="81" spans="5:22" ht="14.15" customHeight="1" x14ac:dyDescent="0.2">
      <c r="E81" s="126">
        <v>10</v>
      </c>
      <c r="F81" s="144">
        <f t="shared" si="34"/>
        <v>0</v>
      </c>
      <c r="G81" s="151">
        <f t="shared" si="35"/>
        <v>0</v>
      </c>
      <c r="H81" s="153">
        <f t="shared" si="36"/>
        <v>0</v>
      </c>
      <c r="I81" s="152">
        <f t="shared" si="37"/>
        <v>102939.4200061997</v>
      </c>
      <c r="J81" s="146" t="str">
        <f t="shared" si="29"/>
        <v/>
      </c>
      <c r="Q81" s="126">
        <v>10</v>
      </c>
      <c r="R81" s="144">
        <f t="shared" si="30"/>
        <v>0</v>
      </c>
      <c r="S81" s="151">
        <f t="shared" si="31"/>
        <v>0</v>
      </c>
      <c r="T81" s="153">
        <f t="shared" si="32"/>
        <v>0</v>
      </c>
      <c r="U81" s="152">
        <f t="shared" si="38"/>
        <v>84140.617271533352</v>
      </c>
      <c r="V81" s="146" t="str">
        <f t="shared" si="33"/>
        <v/>
      </c>
    </row>
    <row r="82" spans="5:22" ht="14.15" customHeight="1" x14ac:dyDescent="0.2">
      <c r="E82" s="126">
        <v>11</v>
      </c>
      <c r="F82" s="144">
        <f t="shared" si="34"/>
        <v>0</v>
      </c>
      <c r="G82" s="151">
        <f t="shared" si="35"/>
        <v>0</v>
      </c>
      <c r="H82" s="153">
        <f t="shared" si="36"/>
        <v>0</v>
      </c>
      <c r="I82" s="152">
        <f t="shared" si="37"/>
        <v>102939.4200061997</v>
      </c>
      <c r="J82" s="146" t="str">
        <f t="shared" si="29"/>
        <v/>
      </c>
      <c r="Q82" s="126">
        <v>11</v>
      </c>
      <c r="R82" s="144">
        <f t="shared" si="30"/>
        <v>0</v>
      </c>
      <c r="S82" s="151">
        <f t="shared" si="31"/>
        <v>0</v>
      </c>
      <c r="T82" s="153">
        <f t="shared" si="32"/>
        <v>0</v>
      </c>
      <c r="U82" s="152">
        <f t="shared" si="38"/>
        <v>84140.617271533352</v>
      </c>
      <c r="V82" s="146" t="str">
        <f t="shared" si="33"/>
        <v/>
      </c>
    </row>
    <row r="83" spans="5:22" ht="14.15" customHeight="1" x14ac:dyDescent="0.2">
      <c r="E83" s="126">
        <v>12</v>
      </c>
      <c r="F83" s="144">
        <f t="shared" si="34"/>
        <v>0</v>
      </c>
      <c r="G83" s="151">
        <f t="shared" si="35"/>
        <v>0</v>
      </c>
      <c r="H83" s="153">
        <f t="shared" si="36"/>
        <v>0</v>
      </c>
      <c r="I83" s="152">
        <f t="shared" si="37"/>
        <v>102939.4200061997</v>
      </c>
      <c r="J83" s="146" t="str">
        <f t="shared" si="29"/>
        <v/>
      </c>
      <c r="Q83" s="126">
        <v>12</v>
      </c>
      <c r="R83" s="144">
        <f t="shared" si="30"/>
        <v>0</v>
      </c>
      <c r="S83" s="151">
        <f t="shared" si="31"/>
        <v>0</v>
      </c>
      <c r="T83" s="153">
        <f t="shared" si="32"/>
        <v>0</v>
      </c>
      <c r="U83" s="152">
        <f t="shared" si="38"/>
        <v>84140.617271533352</v>
      </c>
      <c r="V83" s="146" t="str">
        <f t="shared" si="33"/>
        <v/>
      </c>
    </row>
    <row r="84" spans="5:22" ht="14.15" customHeight="1" x14ac:dyDescent="0.2">
      <c r="E84" s="126">
        <v>13</v>
      </c>
      <c r="F84" s="144">
        <f t="shared" si="34"/>
        <v>0</v>
      </c>
      <c r="G84" s="151">
        <f t="shared" si="35"/>
        <v>0</v>
      </c>
      <c r="H84" s="153">
        <f t="shared" si="36"/>
        <v>0</v>
      </c>
      <c r="I84" s="152">
        <f t="shared" si="37"/>
        <v>102939.4200061997</v>
      </c>
      <c r="J84" s="146" t="str">
        <f t="shared" si="29"/>
        <v/>
      </c>
      <c r="Q84" s="126">
        <v>13</v>
      </c>
      <c r="R84" s="144">
        <f t="shared" si="30"/>
        <v>0</v>
      </c>
      <c r="S84" s="151">
        <f t="shared" si="31"/>
        <v>0</v>
      </c>
      <c r="T84" s="153">
        <f t="shared" si="32"/>
        <v>0</v>
      </c>
      <c r="U84" s="152">
        <f t="shared" si="38"/>
        <v>84140.617271533352</v>
      </c>
      <c r="V84" s="146" t="str">
        <f t="shared" si="33"/>
        <v/>
      </c>
    </row>
    <row r="85" spans="5:22" ht="14.15" customHeight="1" x14ac:dyDescent="0.2">
      <c r="E85" s="126">
        <v>14</v>
      </c>
      <c r="F85" s="144">
        <f t="shared" ref="F85:F102" si="39">K16</f>
        <v>0</v>
      </c>
      <c r="G85" s="151">
        <f t="shared" ref="G85:G102" si="40">L51</f>
        <v>0</v>
      </c>
      <c r="H85" s="153">
        <f t="shared" ref="H85:H102" si="41">F85+G85</f>
        <v>0</v>
      </c>
      <c r="I85" s="152">
        <f t="shared" ref="I85:I102" si="42">H85+I84</f>
        <v>102939.4200061997</v>
      </c>
      <c r="J85" s="146" t="str">
        <f t="shared" ref="J85:J102" si="43">IF(F85=0,"",I85/E85)</f>
        <v/>
      </c>
      <c r="Q85" s="126">
        <v>14</v>
      </c>
      <c r="R85" s="144">
        <f t="shared" ref="R85:R102" si="44">X16</f>
        <v>0</v>
      </c>
      <c r="S85" s="151">
        <f t="shared" ref="S85:S102" si="45">Y51</f>
        <v>0</v>
      </c>
      <c r="T85" s="153">
        <f t="shared" ref="T85:T102" si="46">R85+S85</f>
        <v>0</v>
      </c>
      <c r="U85" s="152">
        <f t="shared" ref="U85:U102" si="47">T85+U84</f>
        <v>84140.617271533352</v>
      </c>
      <c r="V85" s="146" t="str">
        <f t="shared" ref="V85:V102" si="48">IF(R85=0,"",U85/Q85)</f>
        <v/>
      </c>
    </row>
    <row r="86" spans="5:22" ht="14.15" customHeight="1" x14ac:dyDescent="0.2">
      <c r="E86" s="126">
        <v>15</v>
      </c>
      <c r="F86" s="144">
        <f t="shared" si="39"/>
        <v>0</v>
      </c>
      <c r="G86" s="151">
        <f t="shared" si="40"/>
        <v>0</v>
      </c>
      <c r="H86" s="153">
        <f t="shared" si="41"/>
        <v>0</v>
      </c>
      <c r="I86" s="152">
        <f t="shared" si="42"/>
        <v>102939.4200061997</v>
      </c>
      <c r="J86" s="146" t="str">
        <f t="shared" si="43"/>
        <v/>
      </c>
      <c r="Q86" s="126">
        <v>15</v>
      </c>
      <c r="R86" s="144">
        <f t="shared" si="44"/>
        <v>0</v>
      </c>
      <c r="S86" s="151">
        <f t="shared" si="45"/>
        <v>0</v>
      </c>
      <c r="T86" s="153">
        <f t="shared" si="46"/>
        <v>0</v>
      </c>
      <c r="U86" s="152">
        <f t="shared" si="47"/>
        <v>84140.617271533352</v>
      </c>
      <c r="V86" s="146" t="str">
        <f t="shared" si="48"/>
        <v/>
      </c>
    </row>
    <row r="87" spans="5:22" ht="14.15" customHeight="1" x14ac:dyDescent="0.2">
      <c r="E87" s="126">
        <v>16</v>
      </c>
      <c r="F87" s="144">
        <f t="shared" si="39"/>
        <v>0</v>
      </c>
      <c r="G87" s="151">
        <f t="shared" si="40"/>
        <v>0</v>
      </c>
      <c r="H87" s="153">
        <f t="shared" si="41"/>
        <v>0</v>
      </c>
      <c r="I87" s="152">
        <f t="shared" si="42"/>
        <v>102939.4200061997</v>
      </c>
      <c r="J87" s="146" t="str">
        <f t="shared" si="43"/>
        <v/>
      </c>
      <c r="Q87" s="126">
        <v>16</v>
      </c>
      <c r="R87" s="144">
        <f t="shared" si="44"/>
        <v>0</v>
      </c>
      <c r="S87" s="151">
        <f t="shared" si="45"/>
        <v>0</v>
      </c>
      <c r="T87" s="153">
        <f t="shared" si="46"/>
        <v>0</v>
      </c>
      <c r="U87" s="152">
        <f t="shared" si="47"/>
        <v>84140.617271533352</v>
      </c>
      <c r="V87" s="146" t="str">
        <f t="shared" si="48"/>
        <v/>
      </c>
    </row>
    <row r="88" spans="5:22" ht="14.15" customHeight="1" x14ac:dyDescent="0.2">
      <c r="E88" s="126">
        <v>17</v>
      </c>
      <c r="F88" s="144">
        <f t="shared" si="39"/>
        <v>0</v>
      </c>
      <c r="G88" s="151">
        <f t="shared" si="40"/>
        <v>0</v>
      </c>
      <c r="H88" s="153">
        <f t="shared" si="41"/>
        <v>0</v>
      </c>
      <c r="I88" s="152">
        <f t="shared" si="42"/>
        <v>102939.4200061997</v>
      </c>
      <c r="J88" s="146" t="str">
        <f t="shared" si="43"/>
        <v/>
      </c>
      <c r="Q88" s="126">
        <v>17</v>
      </c>
      <c r="R88" s="144">
        <f t="shared" si="44"/>
        <v>0</v>
      </c>
      <c r="S88" s="151">
        <f t="shared" si="45"/>
        <v>0</v>
      </c>
      <c r="T88" s="153">
        <f t="shared" si="46"/>
        <v>0</v>
      </c>
      <c r="U88" s="152">
        <f t="shared" si="47"/>
        <v>84140.617271533352</v>
      </c>
      <c r="V88" s="146" t="str">
        <f t="shared" si="48"/>
        <v/>
      </c>
    </row>
    <row r="89" spans="5:22" ht="14.15" customHeight="1" x14ac:dyDescent="0.2">
      <c r="E89" s="126">
        <v>18</v>
      </c>
      <c r="F89" s="144">
        <f t="shared" si="39"/>
        <v>0</v>
      </c>
      <c r="G89" s="151">
        <f t="shared" si="40"/>
        <v>0</v>
      </c>
      <c r="H89" s="153">
        <f t="shared" si="41"/>
        <v>0</v>
      </c>
      <c r="I89" s="152">
        <f t="shared" si="42"/>
        <v>102939.4200061997</v>
      </c>
      <c r="J89" s="146" t="str">
        <f t="shared" si="43"/>
        <v/>
      </c>
      <c r="Q89" s="126">
        <v>18</v>
      </c>
      <c r="R89" s="144">
        <f t="shared" si="44"/>
        <v>0</v>
      </c>
      <c r="S89" s="151">
        <f t="shared" si="45"/>
        <v>0</v>
      </c>
      <c r="T89" s="153">
        <f t="shared" si="46"/>
        <v>0</v>
      </c>
      <c r="U89" s="152">
        <f t="shared" si="47"/>
        <v>84140.617271533352</v>
      </c>
      <c r="V89" s="146" t="str">
        <f t="shared" si="48"/>
        <v/>
      </c>
    </row>
    <row r="90" spans="5:22" ht="14.15" customHeight="1" x14ac:dyDescent="0.2">
      <c r="E90" s="126">
        <v>19</v>
      </c>
      <c r="F90" s="144">
        <f t="shared" si="39"/>
        <v>0</v>
      </c>
      <c r="G90" s="151">
        <f t="shared" si="40"/>
        <v>0</v>
      </c>
      <c r="H90" s="153">
        <f t="shared" si="41"/>
        <v>0</v>
      </c>
      <c r="I90" s="152">
        <f t="shared" si="42"/>
        <v>102939.4200061997</v>
      </c>
      <c r="J90" s="146" t="str">
        <f t="shared" si="43"/>
        <v/>
      </c>
      <c r="Q90" s="126">
        <v>19</v>
      </c>
      <c r="R90" s="144">
        <f t="shared" si="44"/>
        <v>0</v>
      </c>
      <c r="S90" s="151">
        <f t="shared" si="45"/>
        <v>0</v>
      </c>
      <c r="T90" s="153">
        <f t="shared" si="46"/>
        <v>0</v>
      </c>
      <c r="U90" s="152">
        <f t="shared" si="47"/>
        <v>84140.617271533352</v>
      </c>
      <c r="V90" s="146" t="str">
        <f t="shared" si="48"/>
        <v/>
      </c>
    </row>
    <row r="91" spans="5:22" ht="14.15" customHeight="1" x14ac:dyDescent="0.2">
      <c r="E91" s="126">
        <v>20</v>
      </c>
      <c r="F91" s="144">
        <f t="shared" si="39"/>
        <v>0</v>
      </c>
      <c r="G91" s="151">
        <f t="shared" si="40"/>
        <v>0</v>
      </c>
      <c r="H91" s="153">
        <f t="shared" si="41"/>
        <v>0</v>
      </c>
      <c r="I91" s="152">
        <f t="shared" si="42"/>
        <v>102939.4200061997</v>
      </c>
      <c r="J91" s="146" t="str">
        <f t="shared" si="43"/>
        <v/>
      </c>
      <c r="Q91" s="126">
        <v>20</v>
      </c>
      <c r="R91" s="144">
        <f t="shared" si="44"/>
        <v>0</v>
      </c>
      <c r="S91" s="151">
        <f t="shared" si="45"/>
        <v>0</v>
      </c>
      <c r="T91" s="153">
        <f t="shared" si="46"/>
        <v>0</v>
      </c>
      <c r="U91" s="152">
        <f t="shared" si="47"/>
        <v>84140.617271533352</v>
      </c>
      <c r="V91" s="146" t="str">
        <f t="shared" si="48"/>
        <v/>
      </c>
    </row>
    <row r="92" spans="5:22" ht="14.15" customHeight="1" x14ac:dyDescent="0.2">
      <c r="E92" s="126">
        <v>21</v>
      </c>
      <c r="F92" s="144">
        <f>K23</f>
        <v>0</v>
      </c>
      <c r="G92" s="151">
        <f t="shared" si="40"/>
        <v>0</v>
      </c>
      <c r="H92" s="153">
        <f t="shared" si="41"/>
        <v>0</v>
      </c>
      <c r="I92" s="152">
        <f t="shared" si="42"/>
        <v>102939.4200061997</v>
      </c>
      <c r="J92" s="146" t="str">
        <f t="shared" si="43"/>
        <v/>
      </c>
      <c r="Q92" s="126">
        <v>21</v>
      </c>
      <c r="R92" s="144">
        <f t="shared" si="44"/>
        <v>0</v>
      </c>
      <c r="S92" s="151">
        <f t="shared" si="45"/>
        <v>0</v>
      </c>
      <c r="T92" s="153">
        <f t="shared" si="46"/>
        <v>0</v>
      </c>
      <c r="U92" s="152">
        <f t="shared" si="47"/>
        <v>84140.617271533352</v>
      </c>
      <c r="V92" s="146" t="str">
        <f t="shared" si="48"/>
        <v/>
      </c>
    </row>
    <row r="93" spans="5:22" ht="14.15" customHeight="1" x14ac:dyDescent="0.2">
      <c r="E93" s="126">
        <v>22</v>
      </c>
      <c r="F93" s="144">
        <f t="shared" si="39"/>
        <v>0</v>
      </c>
      <c r="G93" s="151">
        <f t="shared" si="40"/>
        <v>0</v>
      </c>
      <c r="H93" s="153">
        <f t="shared" si="41"/>
        <v>0</v>
      </c>
      <c r="I93" s="152">
        <f t="shared" si="42"/>
        <v>102939.4200061997</v>
      </c>
      <c r="J93" s="146" t="str">
        <f t="shared" si="43"/>
        <v/>
      </c>
      <c r="Q93" s="126">
        <v>22</v>
      </c>
      <c r="R93" s="144">
        <f t="shared" si="44"/>
        <v>0</v>
      </c>
      <c r="S93" s="151">
        <f t="shared" si="45"/>
        <v>0</v>
      </c>
      <c r="T93" s="153">
        <f t="shared" si="46"/>
        <v>0</v>
      </c>
      <c r="U93" s="152">
        <f t="shared" si="47"/>
        <v>84140.617271533352</v>
      </c>
      <c r="V93" s="146" t="str">
        <f t="shared" si="48"/>
        <v/>
      </c>
    </row>
    <row r="94" spans="5:22" ht="14.15" customHeight="1" x14ac:dyDescent="0.2">
      <c r="E94" s="126">
        <v>23</v>
      </c>
      <c r="F94" s="144">
        <f t="shared" si="39"/>
        <v>0</v>
      </c>
      <c r="G94" s="151">
        <f t="shared" si="40"/>
        <v>0</v>
      </c>
      <c r="H94" s="153">
        <f t="shared" si="41"/>
        <v>0</v>
      </c>
      <c r="I94" s="152">
        <f t="shared" si="42"/>
        <v>102939.4200061997</v>
      </c>
      <c r="J94" s="146" t="str">
        <f t="shared" si="43"/>
        <v/>
      </c>
      <c r="Q94" s="126">
        <v>23</v>
      </c>
      <c r="R94" s="144">
        <f t="shared" si="44"/>
        <v>0</v>
      </c>
      <c r="S94" s="151">
        <f t="shared" si="45"/>
        <v>0</v>
      </c>
      <c r="T94" s="153">
        <f t="shared" si="46"/>
        <v>0</v>
      </c>
      <c r="U94" s="152">
        <f t="shared" si="47"/>
        <v>84140.617271533352</v>
      </c>
      <c r="V94" s="146" t="str">
        <f t="shared" si="48"/>
        <v/>
      </c>
    </row>
    <row r="95" spans="5:22" ht="14.15" customHeight="1" x14ac:dyDescent="0.2">
      <c r="E95" s="126">
        <v>24</v>
      </c>
      <c r="F95" s="144">
        <f t="shared" si="39"/>
        <v>0</v>
      </c>
      <c r="G95" s="151">
        <f t="shared" si="40"/>
        <v>0</v>
      </c>
      <c r="H95" s="153">
        <f t="shared" si="41"/>
        <v>0</v>
      </c>
      <c r="I95" s="152">
        <f t="shared" si="42"/>
        <v>102939.4200061997</v>
      </c>
      <c r="J95" s="146" t="str">
        <f t="shared" si="43"/>
        <v/>
      </c>
      <c r="Q95" s="126">
        <v>24</v>
      </c>
      <c r="R95" s="144">
        <f t="shared" si="44"/>
        <v>0</v>
      </c>
      <c r="S95" s="151">
        <f t="shared" si="45"/>
        <v>0</v>
      </c>
      <c r="T95" s="153">
        <f t="shared" si="46"/>
        <v>0</v>
      </c>
      <c r="U95" s="152">
        <f t="shared" si="47"/>
        <v>84140.617271533352</v>
      </c>
      <c r="V95" s="146" t="str">
        <f t="shared" si="48"/>
        <v/>
      </c>
    </row>
    <row r="96" spans="5:22" ht="14.15" customHeight="1" x14ac:dyDescent="0.2">
      <c r="E96" s="126">
        <v>25</v>
      </c>
      <c r="F96" s="144">
        <f t="shared" si="39"/>
        <v>0</v>
      </c>
      <c r="G96" s="151">
        <f t="shared" si="40"/>
        <v>0</v>
      </c>
      <c r="H96" s="153">
        <f t="shared" si="41"/>
        <v>0</v>
      </c>
      <c r="I96" s="152">
        <f t="shared" si="42"/>
        <v>102939.4200061997</v>
      </c>
      <c r="J96" s="146" t="str">
        <f t="shared" si="43"/>
        <v/>
      </c>
      <c r="Q96" s="126">
        <v>25</v>
      </c>
      <c r="R96" s="144">
        <f t="shared" si="44"/>
        <v>0</v>
      </c>
      <c r="S96" s="151">
        <f t="shared" si="45"/>
        <v>0</v>
      </c>
      <c r="T96" s="153">
        <f t="shared" si="46"/>
        <v>0</v>
      </c>
      <c r="U96" s="152">
        <f t="shared" si="47"/>
        <v>84140.617271533352</v>
      </c>
      <c r="V96" s="146" t="str">
        <f t="shared" si="48"/>
        <v/>
      </c>
    </row>
    <row r="97" spans="5:22" ht="14.15" customHeight="1" x14ac:dyDescent="0.2">
      <c r="E97" s="126">
        <v>26</v>
      </c>
      <c r="F97" s="144">
        <f t="shared" si="39"/>
        <v>0</v>
      </c>
      <c r="G97" s="151">
        <f t="shared" si="40"/>
        <v>0</v>
      </c>
      <c r="H97" s="153">
        <f t="shared" si="41"/>
        <v>0</v>
      </c>
      <c r="I97" s="152">
        <f t="shared" si="42"/>
        <v>102939.4200061997</v>
      </c>
      <c r="J97" s="146" t="str">
        <f t="shared" si="43"/>
        <v/>
      </c>
      <c r="Q97" s="126">
        <v>26</v>
      </c>
      <c r="R97" s="144">
        <f t="shared" si="44"/>
        <v>0</v>
      </c>
      <c r="S97" s="151">
        <f t="shared" si="45"/>
        <v>0</v>
      </c>
      <c r="T97" s="153">
        <f t="shared" si="46"/>
        <v>0</v>
      </c>
      <c r="U97" s="152">
        <f t="shared" si="47"/>
        <v>84140.617271533352</v>
      </c>
      <c r="V97" s="146" t="str">
        <f t="shared" si="48"/>
        <v/>
      </c>
    </row>
    <row r="98" spans="5:22" ht="14.15" customHeight="1" x14ac:dyDescent="0.2">
      <c r="E98" s="126">
        <v>27</v>
      </c>
      <c r="F98" s="144">
        <f t="shared" si="39"/>
        <v>0</v>
      </c>
      <c r="G98" s="151">
        <f t="shared" si="40"/>
        <v>0</v>
      </c>
      <c r="H98" s="153">
        <f t="shared" si="41"/>
        <v>0</v>
      </c>
      <c r="I98" s="152">
        <f t="shared" si="42"/>
        <v>102939.4200061997</v>
      </c>
      <c r="J98" s="146" t="str">
        <f t="shared" si="43"/>
        <v/>
      </c>
      <c r="Q98" s="126">
        <v>27</v>
      </c>
      <c r="R98" s="144">
        <f t="shared" si="44"/>
        <v>0</v>
      </c>
      <c r="S98" s="151">
        <f t="shared" si="45"/>
        <v>0</v>
      </c>
      <c r="T98" s="153">
        <f t="shared" si="46"/>
        <v>0</v>
      </c>
      <c r="U98" s="152">
        <f t="shared" si="47"/>
        <v>84140.617271533352</v>
      </c>
      <c r="V98" s="146" t="str">
        <f t="shared" si="48"/>
        <v/>
      </c>
    </row>
    <row r="99" spans="5:22" ht="14.15" customHeight="1" x14ac:dyDescent="0.2">
      <c r="E99" s="126">
        <v>28</v>
      </c>
      <c r="F99" s="144">
        <f t="shared" si="39"/>
        <v>0</v>
      </c>
      <c r="G99" s="151">
        <f t="shared" si="40"/>
        <v>0</v>
      </c>
      <c r="H99" s="153">
        <f t="shared" si="41"/>
        <v>0</v>
      </c>
      <c r="I99" s="152">
        <f t="shared" si="42"/>
        <v>102939.4200061997</v>
      </c>
      <c r="J99" s="146" t="str">
        <f t="shared" si="43"/>
        <v/>
      </c>
      <c r="Q99" s="126">
        <v>28</v>
      </c>
      <c r="R99" s="144">
        <f t="shared" si="44"/>
        <v>0</v>
      </c>
      <c r="S99" s="151">
        <f t="shared" si="45"/>
        <v>0</v>
      </c>
      <c r="T99" s="153">
        <f t="shared" si="46"/>
        <v>0</v>
      </c>
      <c r="U99" s="152">
        <f t="shared" si="47"/>
        <v>84140.617271533352</v>
      </c>
      <c r="V99" s="146" t="str">
        <f t="shared" si="48"/>
        <v/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102939.4200061997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84140.617271533352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102939.4200061997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84140.617271533352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102939.4200061997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84140.617271533352</v>
      </c>
      <c r="V102" s="146" t="str">
        <f t="shared" si="48"/>
        <v/>
      </c>
    </row>
    <row r="103" spans="5:22" x14ac:dyDescent="0.2">
      <c r="F103" s="273">
        <f>AVERAGE(F72:F99)</f>
        <v>2680.4966863571317</v>
      </c>
      <c r="G103" s="273">
        <f>AVERAGE(G72:G99)</f>
        <v>995.9111710071428</v>
      </c>
      <c r="H103" s="273">
        <f>AVERAGE(H72:H99)</f>
        <v>3676.4078573642751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O23" sqref="O23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4" sqref="E14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115</v>
      </c>
      <c r="D9" s="225">
        <v>44440</v>
      </c>
      <c r="E9" s="233">
        <v>70.319999999999993</v>
      </c>
      <c r="F9" s="247">
        <v>8.2899999999999991</v>
      </c>
      <c r="G9" s="246">
        <v>4455.8100000000004</v>
      </c>
      <c r="H9" s="236">
        <v>2405.3200000000002</v>
      </c>
    </row>
    <row r="10" spans="3:11" ht="15.5" x14ac:dyDescent="0.35">
      <c r="C10" s="14" t="s">
        <v>116</v>
      </c>
      <c r="D10" s="225">
        <f>+D9+1</f>
        <v>44441</v>
      </c>
      <c r="E10" s="233">
        <v>77.709999999999994</v>
      </c>
      <c r="F10" s="247">
        <v>8.2720000000000002</v>
      </c>
      <c r="G10" s="246">
        <v>4450.33</v>
      </c>
      <c r="H10" s="236">
        <v>2404.21</v>
      </c>
      <c r="I10" s="251"/>
    </row>
    <row r="11" spans="3:11" ht="15.5" x14ac:dyDescent="0.35">
      <c r="C11" s="14" t="s">
        <v>110</v>
      </c>
      <c r="D11" s="225">
        <f t="shared" ref="D11:D39" si="0">+D10+1</f>
        <v>44442</v>
      </c>
      <c r="E11" s="233">
        <v>68.61</v>
      </c>
      <c r="F11" s="247">
        <v>8.25</v>
      </c>
      <c r="G11" s="246">
        <v>4448.12</v>
      </c>
      <c r="H11" s="236">
        <v>2401.1999999999998</v>
      </c>
    </row>
    <row r="12" spans="3:11" ht="15.5" x14ac:dyDescent="0.35">
      <c r="C12" s="14" t="s">
        <v>111</v>
      </c>
      <c r="D12" s="225">
        <f t="shared" si="0"/>
        <v>44443</v>
      </c>
      <c r="E12" s="233">
        <v>69.930000000000007</v>
      </c>
      <c r="F12" s="247">
        <v>8.2249999999999996</v>
      </c>
      <c r="G12" s="246">
        <v>4441.8900000000003</v>
      </c>
      <c r="H12" s="236">
        <v>2402.31</v>
      </c>
    </row>
    <row r="13" spans="3:11" ht="15.5" x14ac:dyDescent="0.35">
      <c r="C13" s="14" t="s">
        <v>112</v>
      </c>
      <c r="D13" s="225">
        <f t="shared" si="0"/>
        <v>44444</v>
      </c>
      <c r="E13" s="233">
        <v>72.95</v>
      </c>
      <c r="F13" s="247">
        <v>8.2390000000000008</v>
      </c>
      <c r="G13" s="246">
        <v>4317.84</v>
      </c>
      <c r="H13" s="274">
        <v>2404.27</v>
      </c>
      <c r="J13" s="14" t="s">
        <v>54</v>
      </c>
    </row>
    <row r="14" spans="3:11" ht="15.5" x14ac:dyDescent="0.35">
      <c r="C14" s="14" t="s">
        <v>113</v>
      </c>
      <c r="D14" s="225">
        <f t="shared" si="0"/>
        <v>44445</v>
      </c>
      <c r="E14" s="233"/>
      <c r="F14" s="247"/>
      <c r="G14" s="246"/>
      <c r="H14" s="236"/>
    </row>
    <row r="15" spans="3:11" ht="15.5" x14ac:dyDescent="0.35">
      <c r="C15" s="14" t="s">
        <v>114</v>
      </c>
      <c r="D15" s="225">
        <f t="shared" si="0"/>
        <v>44446</v>
      </c>
      <c r="E15" s="233"/>
      <c r="F15" s="247"/>
      <c r="G15" s="246"/>
      <c r="H15" s="236"/>
    </row>
    <row r="16" spans="3:11" ht="15.5" x14ac:dyDescent="0.35">
      <c r="C16" s="14" t="s">
        <v>115</v>
      </c>
      <c r="D16" s="225">
        <f t="shared" si="0"/>
        <v>44447</v>
      </c>
      <c r="E16" s="233"/>
      <c r="F16" s="247"/>
      <c r="G16" s="246"/>
      <c r="H16" s="236"/>
      <c r="K16" s="251"/>
    </row>
    <row r="17" spans="3:13" ht="15.5" x14ac:dyDescent="0.35">
      <c r="C17" s="14" t="s">
        <v>116</v>
      </c>
      <c r="D17" s="225">
        <f t="shared" si="0"/>
        <v>44448</v>
      </c>
      <c r="E17" s="233"/>
      <c r="F17" s="247"/>
      <c r="G17" s="246"/>
      <c r="H17" s="236"/>
      <c r="I17" s="251"/>
    </row>
    <row r="18" spans="3:13" ht="15.5" x14ac:dyDescent="0.35">
      <c r="C18" s="14" t="s">
        <v>110</v>
      </c>
      <c r="D18" s="225">
        <f t="shared" si="0"/>
        <v>44449</v>
      </c>
      <c r="E18" s="233"/>
      <c r="F18" s="247"/>
      <c r="G18" s="246"/>
      <c r="H18" s="236"/>
      <c r="I18" s="251"/>
      <c r="M18" s="251"/>
    </row>
    <row r="19" spans="3:13" ht="15.5" x14ac:dyDescent="0.35">
      <c r="C19" s="14" t="s">
        <v>111</v>
      </c>
      <c r="D19" s="225">
        <f t="shared" si="0"/>
        <v>44450</v>
      </c>
      <c r="E19" s="233"/>
      <c r="F19" s="247"/>
      <c r="G19" s="246"/>
      <c r="H19" s="236"/>
    </row>
    <row r="20" spans="3:13" ht="15.5" x14ac:dyDescent="0.35">
      <c r="C20" s="14" t="s">
        <v>112</v>
      </c>
      <c r="D20" s="225">
        <f t="shared" si="0"/>
        <v>44451</v>
      </c>
      <c r="E20" s="252"/>
      <c r="F20" s="247"/>
      <c r="G20" s="246"/>
      <c r="H20" s="236"/>
    </row>
    <row r="21" spans="3:13" ht="15.5" x14ac:dyDescent="0.35">
      <c r="C21" s="14" t="s">
        <v>113</v>
      </c>
      <c r="D21" s="225">
        <f t="shared" si="0"/>
        <v>44452</v>
      </c>
      <c r="E21" s="252"/>
      <c r="F21" s="247"/>
      <c r="G21" s="246"/>
      <c r="H21" s="236"/>
    </row>
    <row r="22" spans="3:13" ht="15.5" x14ac:dyDescent="0.35">
      <c r="C22" s="14" t="s">
        <v>114</v>
      </c>
      <c r="D22" s="225">
        <f t="shared" si="0"/>
        <v>44453</v>
      </c>
      <c r="E22" s="252"/>
      <c r="F22" s="247"/>
      <c r="G22" s="246"/>
      <c r="H22" s="236"/>
    </row>
    <row r="23" spans="3:13" ht="15.5" x14ac:dyDescent="0.35">
      <c r="C23" s="14" t="s">
        <v>115</v>
      </c>
      <c r="D23" s="225">
        <f t="shared" si="0"/>
        <v>44454</v>
      </c>
      <c r="E23" s="252"/>
      <c r="F23" s="247"/>
      <c r="G23" s="246"/>
      <c r="H23" s="236"/>
    </row>
    <row r="24" spans="3:13" ht="15.5" x14ac:dyDescent="0.35">
      <c r="C24" s="14" t="s">
        <v>116</v>
      </c>
      <c r="D24" s="225">
        <f t="shared" si="0"/>
        <v>44455</v>
      </c>
      <c r="E24" s="233"/>
      <c r="F24" s="247"/>
      <c r="G24" s="246"/>
      <c r="H24" s="236"/>
    </row>
    <row r="25" spans="3:13" ht="15.5" x14ac:dyDescent="0.35">
      <c r="C25" s="14" t="s">
        <v>110</v>
      </c>
      <c r="D25" s="225">
        <f t="shared" si="0"/>
        <v>44456</v>
      </c>
      <c r="E25" s="233"/>
      <c r="F25" s="247"/>
      <c r="G25" s="246"/>
      <c r="H25" s="236"/>
    </row>
    <row r="26" spans="3:13" ht="15.5" x14ac:dyDescent="0.35">
      <c r="C26" s="14" t="s">
        <v>111</v>
      </c>
      <c r="D26" s="225">
        <f t="shared" si="0"/>
        <v>44457</v>
      </c>
      <c r="E26" s="233"/>
      <c r="F26" s="247"/>
      <c r="G26" s="246"/>
      <c r="H26" s="236"/>
    </row>
    <row r="27" spans="3:13" ht="15.5" x14ac:dyDescent="0.35">
      <c r="C27" s="14" t="s">
        <v>112</v>
      </c>
      <c r="D27" s="225">
        <f t="shared" si="0"/>
        <v>44458</v>
      </c>
      <c r="E27" s="233"/>
      <c r="F27" s="247"/>
      <c r="G27" s="246"/>
      <c r="H27" s="236"/>
    </row>
    <row r="28" spans="3:13" ht="15.5" x14ac:dyDescent="0.35">
      <c r="C28" s="14" t="s">
        <v>113</v>
      </c>
      <c r="D28" s="225">
        <f t="shared" si="0"/>
        <v>44459</v>
      </c>
      <c r="E28" s="233"/>
      <c r="F28" s="247"/>
      <c r="G28" s="246"/>
      <c r="H28" s="236"/>
    </row>
    <row r="29" spans="3:13" ht="15.5" x14ac:dyDescent="0.35">
      <c r="C29" s="14" t="s">
        <v>114</v>
      </c>
      <c r="D29" s="225">
        <f t="shared" si="0"/>
        <v>44460</v>
      </c>
      <c r="E29" s="233"/>
      <c r="F29" s="247"/>
      <c r="G29" s="246"/>
      <c r="H29" s="236"/>
    </row>
    <row r="30" spans="3:13" ht="15.5" x14ac:dyDescent="0.35">
      <c r="C30" s="14" t="s">
        <v>115</v>
      </c>
      <c r="D30" s="225">
        <f t="shared" si="0"/>
        <v>44461</v>
      </c>
      <c r="E30" s="252"/>
      <c r="F30" s="247"/>
      <c r="G30" s="246"/>
      <c r="H30" s="236"/>
    </row>
    <row r="31" spans="3:13" ht="15.5" x14ac:dyDescent="0.35">
      <c r="C31" s="14" t="s">
        <v>116</v>
      </c>
      <c r="D31" s="225">
        <f t="shared" si="0"/>
        <v>44462</v>
      </c>
      <c r="E31" s="233"/>
      <c r="F31" s="247"/>
      <c r="G31" s="246"/>
      <c r="H31" s="236"/>
    </row>
    <row r="32" spans="3:13" ht="15.5" x14ac:dyDescent="0.35">
      <c r="C32" s="14" t="s">
        <v>110</v>
      </c>
      <c r="D32" s="225">
        <f t="shared" si="0"/>
        <v>44463</v>
      </c>
      <c r="E32" s="233"/>
      <c r="F32" s="247"/>
      <c r="G32" s="246"/>
      <c r="H32" s="236"/>
    </row>
    <row r="33" spans="3:8" ht="15.5" x14ac:dyDescent="0.35">
      <c r="C33" s="14" t="s">
        <v>111</v>
      </c>
      <c r="D33" s="225">
        <f t="shared" si="0"/>
        <v>44464</v>
      </c>
      <c r="E33" s="233"/>
      <c r="F33" s="247"/>
      <c r="G33" s="246"/>
      <c r="H33" s="236"/>
    </row>
    <row r="34" spans="3:8" ht="15.5" x14ac:dyDescent="0.35">
      <c r="C34" s="14" t="s">
        <v>112</v>
      </c>
      <c r="D34" s="225">
        <f t="shared" si="0"/>
        <v>44465</v>
      </c>
      <c r="E34" s="233"/>
      <c r="F34" s="247"/>
      <c r="G34" s="246"/>
      <c r="H34" s="236"/>
    </row>
    <row r="35" spans="3:8" ht="15.5" x14ac:dyDescent="0.35">
      <c r="C35" s="14" t="s">
        <v>113</v>
      </c>
      <c r="D35" s="225">
        <f t="shared" si="0"/>
        <v>44466</v>
      </c>
      <c r="E35" s="233"/>
      <c r="F35" s="247"/>
      <c r="G35" s="246"/>
      <c r="H35" s="236"/>
    </row>
    <row r="36" spans="3:8" ht="15.5" x14ac:dyDescent="0.35">
      <c r="C36" s="14" t="s">
        <v>114</v>
      </c>
      <c r="D36" s="225">
        <f t="shared" si="0"/>
        <v>44467</v>
      </c>
      <c r="E36" s="233"/>
      <c r="F36" s="247"/>
      <c r="G36" s="246"/>
      <c r="H36" s="246"/>
    </row>
    <row r="37" spans="3:8" ht="15.5" x14ac:dyDescent="0.35">
      <c r="C37" s="14" t="s">
        <v>115</v>
      </c>
      <c r="D37" s="225">
        <f t="shared" si="0"/>
        <v>44468</v>
      </c>
      <c r="E37" s="233"/>
      <c r="F37" s="247"/>
      <c r="G37" s="246"/>
      <c r="H37" s="236"/>
    </row>
    <row r="38" spans="3:8" ht="15.5" x14ac:dyDescent="0.35">
      <c r="C38" s="14" t="s">
        <v>116</v>
      </c>
      <c r="D38" s="225">
        <f t="shared" si="0"/>
        <v>44469</v>
      </c>
      <c r="E38" s="238"/>
      <c r="F38" s="247"/>
      <c r="G38" s="246"/>
      <c r="H38" s="236"/>
    </row>
    <row r="39" spans="3:8" ht="15.5" x14ac:dyDescent="0.35">
      <c r="C39" s="14" t="s">
        <v>110</v>
      </c>
      <c r="D39" s="225">
        <f t="shared" si="0"/>
        <v>44470</v>
      </c>
      <c r="E39" s="238"/>
      <c r="F39" s="247"/>
      <c r="G39" s="246"/>
      <c r="H39" s="236"/>
    </row>
    <row r="41" spans="3:8" ht="12.75" customHeight="1" x14ac:dyDescent="0.25"/>
    <row r="42" spans="3:8" ht="12.75" customHeight="1" x14ac:dyDescent="0.25"/>
  </sheetData>
  <phoneticPr fontId="10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GAS</vt:lpstr>
      <vt:lpstr>Grafico PETROLEO</vt:lpstr>
      <vt:lpstr>Prodiarias</vt:lpstr>
      <vt:lpstr>Prod. Total vs % PCR</vt:lpstr>
      <vt:lpstr>oil-MyS</vt:lpstr>
      <vt:lpstr>borrador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2021-08-25T16:50:03Z</cp:lastPrinted>
  <dcterms:created xsi:type="dcterms:W3CDTF">1998-07-21T11:45:52Z</dcterms:created>
  <dcterms:modified xsi:type="dcterms:W3CDTF">2021-09-06T19:13:53Z</dcterms:modified>
</cp:coreProperties>
</file>