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fernandez\Documents\Areas\Prodiarias\2021\01 - Ene\"/>
    </mc:Choice>
  </mc:AlternateContent>
  <xr:revisionPtr revIDLastSave="0" documentId="8_{9E31A898-0030-4063-A49C-37DCECC66E6C}" xr6:coauthVersionLast="46" xr6:coauthVersionMax="46" xr10:uidLastSave="{00000000-0000-0000-0000-000000000000}"/>
  <bookViews>
    <workbookView xWindow="-110" yWindow="-110" windowWidth="19420" windowHeight="10420" tabRatio="626" activeTab="2" xr2:uid="{00000000-000D-0000-FFFF-FFFF00000000}"/>
  </bookViews>
  <sheets>
    <sheet name="Grafico GAS" sheetId="5" r:id="rId1"/>
    <sheet name="Grafico PETROLEO" sheetId="10" r:id="rId2"/>
    <sheet name="Prodiarias" sheetId="1" r:id="rId3"/>
    <sheet name="Prod. Total vs % PCR" sheetId="12" r:id="rId4"/>
    <sheet name="oil-MyS" sheetId="7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41" i="1" l="1"/>
  <c r="BB41" i="1"/>
  <c r="AX41" i="1"/>
  <c r="AT41" i="1"/>
  <c r="AQ41" i="1"/>
  <c r="BE40" i="1"/>
  <c r="BB40" i="1"/>
  <c r="AX40" i="1"/>
  <c r="AT40" i="1"/>
  <c r="BG39" i="1"/>
  <c r="BE39" i="1"/>
  <c r="BF39" i="1" s="1"/>
  <c r="BB39" i="1"/>
  <c r="AX39" i="1"/>
  <c r="AZ39" i="1" s="1"/>
  <c r="AZ40" i="1" s="1"/>
  <c r="AY40" i="1" s="1"/>
  <c r="AV39" i="1"/>
  <c r="AT39" i="1"/>
  <c r="AR39" i="1"/>
  <c r="AR40" i="1" s="1"/>
  <c r="AR41" i="1" s="1"/>
  <c r="AQ39" i="1"/>
  <c r="AN41" i="1"/>
  <c r="AO40" i="1"/>
  <c r="AO41" i="1" s="1"/>
  <c r="AN40" i="1"/>
  <c r="AO39" i="1"/>
  <c r="AN39" i="1"/>
  <c r="AI41" i="1"/>
  <c r="AI40" i="1"/>
  <c r="AK39" i="1"/>
  <c r="AI39" i="1"/>
  <c r="AH39" i="1"/>
  <c r="AH40" i="1" s="1"/>
  <c r="AG40" i="1" s="1"/>
  <c r="AJ40" i="1" s="1"/>
  <c r="AG39" i="1"/>
  <c r="AJ39" i="1" s="1"/>
  <c r="AD41" i="1"/>
  <c r="R41" i="1"/>
  <c r="L41" i="1"/>
  <c r="K41" i="1"/>
  <c r="N41" i="1" s="1"/>
  <c r="J41" i="1"/>
  <c r="M41" i="1" s="1"/>
  <c r="C41" i="1"/>
  <c r="AE39" i="1"/>
  <c r="AD39" i="1" s="1"/>
  <c r="AE40" i="1"/>
  <c r="AE41" i="1" s="1"/>
  <c r="C39" i="1"/>
  <c r="D39" i="1"/>
  <c r="C40" i="1"/>
  <c r="D40" i="1"/>
  <c r="D41" i="1" s="1"/>
  <c r="G39" i="1"/>
  <c r="G40" i="1" s="1"/>
  <c r="Q39" i="1"/>
  <c r="P39" i="1" s="1"/>
  <c r="S39" i="1" s="1"/>
  <c r="R39" i="1"/>
  <c r="T39" i="1"/>
  <c r="Q40" i="1"/>
  <c r="T40" i="1" s="1"/>
  <c r="R40" i="1"/>
  <c r="J39" i="1"/>
  <c r="K39" i="1"/>
  <c r="L39" i="1"/>
  <c r="M39" i="1"/>
  <c r="N39" i="1"/>
  <c r="K40" i="1"/>
  <c r="J40" i="1" s="1"/>
  <c r="M40" i="1" s="1"/>
  <c r="L40" i="1"/>
  <c r="N40" i="1"/>
  <c r="AD40" i="1" l="1"/>
  <c r="AU39" i="1"/>
  <c r="BG40" i="1"/>
  <c r="F40" i="1"/>
  <c r="G41" i="1"/>
  <c r="F41" i="1" s="1"/>
  <c r="F39" i="1"/>
  <c r="AQ40" i="1"/>
  <c r="P40" i="1"/>
  <c r="S40" i="1" s="1"/>
  <c r="Q41" i="1"/>
  <c r="AZ41" i="1"/>
  <c r="AY41" i="1" s="1"/>
  <c r="BG41" i="1"/>
  <c r="BF41" i="1" s="1"/>
  <c r="AY39" i="1"/>
  <c r="BD39" i="1"/>
  <c r="BD40" i="1" s="1"/>
  <c r="BC40" i="1" s="1"/>
  <c r="AV40" i="1"/>
  <c r="AV41" i="1" s="1"/>
  <c r="AU41" i="1" s="1"/>
  <c r="BF40" i="1"/>
  <c r="AH41" i="1"/>
  <c r="AK40" i="1"/>
  <c r="AK41" i="1" l="1"/>
  <c r="AG41" i="1"/>
  <c r="AJ41" i="1" s="1"/>
  <c r="T41" i="1"/>
  <c r="P41" i="1"/>
  <c r="S41" i="1" s="1"/>
  <c r="BD41" i="1"/>
  <c r="BC41" i="1" s="1"/>
  <c r="AU40" i="1"/>
  <c r="BC39" i="1"/>
  <c r="AE38" i="1" l="1"/>
  <c r="AD38" i="1" s="1"/>
  <c r="W38" i="1"/>
  <c r="X38" i="1"/>
  <c r="X39" i="1" s="1"/>
  <c r="X40" i="1" l="1"/>
  <c r="W39" i="1"/>
  <c r="X41" i="1"/>
  <c r="W41" i="1" s="1"/>
  <c r="W40" i="1"/>
  <c r="AO38" i="1"/>
  <c r="AN38" i="1" s="1"/>
  <c r="D38" i="1"/>
  <c r="C38" i="1" s="1"/>
  <c r="AG38" i="1"/>
  <c r="AH38" i="1"/>
  <c r="AI38" i="1"/>
  <c r="AJ38" i="1"/>
  <c r="AK38" i="1"/>
  <c r="G38" i="1"/>
  <c r="F38" i="1" s="1"/>
  <c r="AR38" i="1"/>
  <c r="AQ38" i="1" s="1"/>
  <c r="AT38" i="1"/>
  <c r="AV38" i="1" s="1"/>
  <c r="AU38" i="1" s="1"/>
  <c r="AX38" i="1"/>
  <c r="AZ38" i="1" s="1"/>
  <c r="BB38" i="1"/>
  <c r="BC38" i="1" s="1"/>
  <c r="BD38" i="1"/>
  <c r="BE38" i="1"/>
  <c r="Q38" i="1"/>
  <c r="P38" i="1" s="1"/>
  <c r="S38" i="1" s="1"/>
  <c r="R38" i="1"/>
  <c r="T38" i="1"/>
  <c r="J38" i="1"/>
  <c r="K38" i="1"/>
  <c r="L38" i="1"/>
  <c r="M38" i="1"/>
  <c r="N38" i="1"/>
  <c r="AH37" i="1"/>
  <c r="AK37" i="1" s="1"/>
  <c r="AI37" i="1"/>
  <c r="AE37" i="1"/>
  <c r="AD37" i="1" s="1"/>
  <c r="W37" i="1"/>
  <c r="X37" i="1"/>
  <c r="P37" i="1"/>
  <c r="S37" i="1" s="1"/>
  <c r="Q37" i="1"/>
  <c r="R37" i="1"/>
  <c r="T37" i="1"/>
  <c r="J37" i="1"/>
  <c r="K37" i="1"/>
  <c r="L37" i="1"/>
  <c r="M37" i="1"/>
  <c r="N37" i="1"/>
  <c r="G37" i="1"/>
  <c r="F37" i="1" s="1"/>
  <c r="D37" i="1"/>
  <c r="C37" i="1" s="1"/>
  <c r="AQ37" i="1"/>
  <c r="AR37" i="1"/>
  <c r="AT37" i="1"/>
  <c r="AV37" i="1" s="1"/>
  <c r="AX37" i="1"/>
  <c r="AZ37" i="1"/>
  <c r="AY37" i="1" s="1"/>
  <c r="BB37" i="1"/>
  <c r="BC37" i="1" s="1"/>
  <c r="BD37" i="1"/>
  <c r="BE37" i="1"/>
  <c r="AN37" i="1"/>
  <c r="AO37" i="1"/>
  <c r="AD36" i="1"/>
  <c r="AE36" i="1"/>
  <c r="AO36" i="1"/>
  <c r="AN36" i="1" s="1"/>
  <c r="AG36" i="1"/>
  <c r="AJ36" i="1" s="1"/>
  <c r="AH36" i="1"/>
  <c r="AI36" i="1"/>
  <c r="AK36" i="1"/>
  <c r="AR36" i="1"/>
  <c r="AQ36" i="1" s="1"/>
  <c r="AT36" i="1"/>
  <c r="AV36" i="1" s="1"/>
  <c r="AX36" i="1"/>
  <c r="BB36" i="1"/>
  <c r="BD36" i="1" s="1"/>
  <c r="BC36" i="1" s="1"/>
  <c r="BE36" i="1"/>
  <c r="Q36" i="1"/>
  <c r="P36" i="1" s="1"/>
  <c r="S36" i="1" s="1"/>
  <c r="R36" i="1"/>
  <c r="T36" i="1"/>
  <c r="D36" i="1"/>
  <c r="C36" i="1" s="1"/>
  <c r="G36" i="1"/>
  <c r="F36" i="1" s="1"/>
  <c r="J36" i="1"/>
  <c r="M36" i="1" s="1"/>
  <c r="K36" i="1"/>
  <c r="L36" i="1"/>
  <c r="N36" i="1"/>
  <c r="AY38" i="1" l="1"/>
  <c r="BG38" i="1"/>
  <c r="BF38" i="1" s="1"/>
  <c r="AU37" i="1"/>
  <c r="AG37" i="1"/>
  <c r="AJ37" i="1" s="1"/>
  <c r="BG37" i="1"/>
  <c r="BF37" i="1" s="1"/>
  <c r="AU36" i="1"/>
  <c r="BG36" i="1"/>
  <c r="BF36" i="1" s="1"/>
  <c r="AZ36" i="1"/>
  <c r="AY36" i="1" s="1"/>
  <c r="AE35" i="1" l="1"/>
  <c r="AD35" i="1" s="1"/>
  <c r="AN35" i="1"/>
  <c r="AO35" i="1"/>
  <c r="AH35" i="1"/>
  <c r="AG35" i="1" s="1"/>
  <c r="AJ35" i="1" s="1"/>
  <c r="AI35" i="1"/>
  <c r="AK35" i="1"/>
  <c r="D35" i="1"/>
  <c r="C35" i="1" s="1"/>
  <c r="G35" i="1"/>
  <c r="F35" i="1" s="1"/>
  <c r="AQ35" i="1"/>
  <c r="AR35" i="1"/>
  <c r="AT35" i="1"/>
  <c r="AV35" i="1" s="1"/>
  <c r="AU35" i="1" s="1"/>
  <c r="AX35" i="1"/>
  <c r="AZ35" i="1" s="1"/>
  <c r="AY35" i="1" s="1"/>
  <c r="BB35" i="1"/>
  <c r="BE35" i="1"/>
  <c r="BG35" i="1" s="1"/>
  <c r="BF35" i="1" s="1"/>
  <c r="P35" i="1"/>
  <c r="S35" i="1" s="1"/>
  <c r="Q35" i="1"/>
  <c r="R35" i="1"/>
  <c r="T35" i="1"/>
  <c r="J35" i="1"/>
  <c r="K35" i="1"/>
  <c r="L35" i="1"/>
  <c r="M35" i="1"/>
  <c r="N35" i="1"/>
  <c r="K34" i="1"/>
  <c r="J34" i="1" s="1"/>
  <c r="M34" i="1" s="1"/>
  <c r="L34" i="1"/>
  <c r="N34" i="1"/>
  <c r="BD35" i="1" l="1"/>
  <c r="BC35" i="1" s="1"/>
  <c r="C34" i="1"/>
  <c r="AQ32" i="1"/>
  <c r="AR32" i="1"/>
  <c r="AT32" i="1"/>
  <c r="AV32" i="1" s="1"/>
  <c r="AX32" i="1"/>
  <c r="AZ32" i="1"/>
  <c r="AY32" i="1" s="1"/>
  <c r="BB32" i="1"/>
  <c r="BC32" i="1" s="1"/>
  <c r="BD32" i="1"/>
  <c r="BE32" i="1"/>
  <c r="AQ33" i="1"/>
  <c r="AR33" i="1"/>
  <c r="AR34" i="1" s="1"/>
  <c r="AT33" i="1"/>
  <c r="AX33" i="1"/>
  <c r="BB33" i="1"/>
  <c r="BD33" i="1" s="1"/>
  <c r="BE33" i="1"/>
  <c r="AQ34" i="1"/>
  <c r="AT34" i="1"/>
  <c r="AX34" i="1"/>
  <c r="BB34" i="1"/>
  <c r="BE34" i="1"/>
  <c r="AN32" i="1"/>
  <c r="AO32" i="1"/>
  <c r="AO33" i="1" s="1"/>
  <c r="AO34" i="1" s="1"/>
  <c r="AN33" i="1"/>
  <c r="AN34" i="1"/>
  <c r="AG32" i="1"/>
  <c r="AH32" i="1"/>
  <c r="AI32" i="1"/>
  <c r="AJ32" i="1"/>
  <c r="AK32" i="1"/>
  <c r="AH33" i="1"/>
  <c r="AK33" i="1" s="1"/>
  <c r="AI33" i="1"/>
  <c r="AI34" i="1"/>
  <c r="AE32" i="1"/>
  <c r="AE33" i="1" s="1"/>
  <c r="AE34" i="1" s="1"/>
  <c r="AD33" i="1"/>
  <c r="AD34" i="1"/>
  <c r="X32" i="1"/>
  <c r="W32" i="1" s="1"/>
  <c r="W33" i="1"/>
  <c r="X33" i="1"/>
  <c r="X34" i="1" s="1"/>
  <c r="X35" i="1" s="1"/>
  <c r="W34" i="1"/>
  <c r="Q32" i="1"/>
  <c r="P32" i="1" s="1"/>
  <c r="S32" i="1" s="1"/>
  <c r="R32" i="1"/>
  <c r="Q33" i="1"/>
  <c r="T33" i="1" s="1"/>
  <c r="R33" i="1"/>
  <c r="Q34" i="1"/>
  <c r="T34" i="1" s="1"/>
  <c r="R34" i="1"/>
  <c r="K32" i="1"/>
  <c r="N32" i="1" s="1"/>
  <c r="L32" i="1"/>
  <c r="L33" i="1"/>
  <c r="G32" i="1"/>
  <c r="F32" i="1" s="1"/>
  <c r="C32" i="1"/>
  <c r="D32" i="1"/>
  <c r="C33" i="1"/>
  <c r="D33" i="1"/>
  <c r="D34" i="1" s="1"/>
  <c r="W35" i="1" l="1"/>
  <c r="X36" i="1"/>
  <c r="W36" i="1" s="1"/>
  <c r="AH34" i="1"/>
  <c r="AG33" i="1"/>
  <c r="AJ33" i="1" s="1"/>
  <c r="P34" i="1"/>
  <c r="S34" i="1" s="1"/>
  <c r="G33" i="1"/>
  <c r="P33" i="1"/>
  <c r="S33" i="1" s="1"/>
  <c r="T32" i="1"/>
  <c r="J32" i="1"/>
  <c r="M32" i="1" s="1"/>
  <c r="AD32" i="1"/>
  <c r="AV33" i="1"/>
  <c r="AV34" i="1" s="1"/>
  <c r="AU34" i="1" s="1"/>
  <c r="AU32" i="1"/>
  <c r="BC33" i="1"/>
  <c r="BD34" i="1"/>
  <c r="BC34" i="1" s="1"/>
  <c r="AZ33" i="1"/>
  <c r="AZ34" i="1" s="1"/>
  <c r="AY34" i="1" s="1"/>
  <c r="BG32" i="1"/>
  <c r="BG33" i="1" s="1"/>
  <c r="BF33" i="1" s="1"/>
  <c r="K33" i="1"/>
  <c r="AK34" i="1" l="1"/>
  <c r="AG34" i="1"/>
  <c r="AJ34" i="1" s="1"/>
  <c r="BG34" i="1"/>
  <c r="BF34" i="1" s="1"/>
  <c r="G34" i="1"/>
  <c r="F34" i="1" s="1"/>
  <c r="F33" i="1"/>
  <c r="N33" i="1"/>
  <c r="J33" i="1"/>
  <c r="M33" i="1" s="1"/>
  <c r="AY33" i="1"/>
  <c r="BF32" i="1"/>
  <c r="AU33" i="1"/>
  <c r="W31" i="1" l="1"/>
  <c r="X31" i="1"/>
  <c r="C31" i="1"/>
  <c r="D31" i="1"/>
  <c r="AO31" i="1"/>
  <c r="AN31" i="1" s="1"/>
  <c r="AD31" i="1"/>
  <c r="AE31" i="1"/>
  <c r="AH31" i="1" l="1"/>
  <c r="AG31" i="1" s="1"/>
  <c r="AJ31" i="1" s="1"/>
  <c r="AI31" i="1"/>
  <c r="AK31" i="1"/>
  <c r="G31" i="1"/>
  <c r="F31" i="1" s="1"/>
  <c r="AR31" i="1"/>
  <c r="AQ31" i="1" s="1"/>
  <c r="AT31" i="1"/>
  <c r="AV31" i="1" s="1"/>
  <c r="AU31" i="1" s="1"/>
  <c r="AX31" i="1"/>
  <c r="AZ31" i="1" s="1"/>
  <c r="AY31" i="1" s="1"/>
  <c r="BB31" i="1"/>
  <c r="BD31" i="1" s="1"/>
  <c r="BC31" i="1" s="1"/>
  <c r="BE31" i="1"/>
  <c r="P31" i="1"/>
  <c r="S31" i="1" s="1"/>
  <c r="Q31" i="1"/>
  <c r="R31" i="1"/>
  <c r="T31" i="1"/>
  <c r="J31" i="1"/>
  <c r="M31" i="1" s="1"/>
  <c r="K31" i="1"/>
  <c r="L31" i="1"/>
  <c r="N31" i="1"/>
  <c r="BG31" i="1" l="1"/>
  <c r="BF31" i="1" s="1"/>
  <c r="AR30" i="1" l="1"/>
  <c r="AQ30" i="1" s="1"/>
  <c r="AT30" i="1"/>
  <c r="AV30" i="1" s="1"/>
  <c r="AX30" i="1"/>
  <c r="BB30" i="1"/>
  <c r="BD30" i="1" s="1"/>
  <c r="BC30" i="1" s="1"/>
  <c r="BE30" i="1"/>
  <c r="AO30" i="1"/>
  <c r="AN30" i="1" s="1"/>
  <c r="AG30" i="1"/>
  <c r="AJ30" i="1" s="1"/>
  <c r="AH30" i="1"/>
  <c r="AK30" i="1" s="1"/>
  <c r="AI30" i="1"/>
  <c r="AD30" i="1"/>
  <c r="AE30" i="1"/>
  <c r="W30" i="1"/>
  <c r="X30" i="1"/>
  <c r="Q30" i="1"/>
  <c r="P30" i="1" s="1"/>
  <c r="S30" i="1" s="1"/>
  <c r="R30" i="1"/>
  <c r="K30" i="1"/>
  <c r="N30" i="1" s="1"/>
  <c r="L30" i="1"/>
  <c r="F30" i="1"/>
  <c r="G30" i="1"/>
  <c r="C30" i="1"/>
  <c r="D30" i="1"/>
  <c r="AG28" i="1"/>
  <c r="AJ28" i="1" s="1"/>
  <c r="AH28" i="1"/>
  <c r="AI28" i="1"/>
  <c r="AK28" i="1"/>
  <c r="T30" i="1" l="1"/>
  <c r="J30" i="1"/>
  <c r="M30" i="1" s="1"/>
  <c r="AZ30" i="1"/>
  <c r="AY30" i="1" s="1"/>
  <c r="AU30" i="1"/>
  <c r="BG30" i="1"/>
  <c r="BF30" i="1" s="1"/>
  <c r="AD29" i="1" l="1"/>
  <c r="AE29" i="1"/>
  <c r="W29" i="1"/>
  <c r="X29" i="1"/>
  <c r="D29" i="1" l="1"/>
  <c r="C29" i="1" s="1"/>
  <c r="AO29" i="1"/>
  <c r="AN29" i="1" s="1"/>
  <c r="AH29" i="1"/>
  <c r="AK29" i="1" s="1"/>
  <c r="AI29" i="1"/>
  <c r="AG29" i="1" l="1"/>
  <c r="AJ29" i="1" s="1"/>
  <c r="F29" i="1"/>
  <c r="G29" i="1"/>
  <c r="AQ29" i="1"/>
  <c r="AR29" i="1"/>
  <c r="AT29" i="1"/>
  <c r="AV29" i="1" s="1"/>
  <c r="AU29" i="1" s="1"/>
  <c r="AX29" i="1"/>
  <c r="AZ29" i="1"/>
  <c r="AY29" i="1" s="1"/>
  <c r="BB29" i="1"/>
  <c r="BE29" i="1"/>
  <c r="P29" i="1"/>
  <c r="Q29" i="1"/>
  <c r="R29" i="1"/>
  <c r="S29" i="1"/>
  <c r="T29" i="1"/>
  <c r="J29" i="1"/>
  <c r="M29" i="1" s="1"/>
  <c r="K29" i="1"/>
  <c r="L29" i="1"/>
  <c r="N29" i="1"/>
  <c r="BD29" i="1" l="1"/>
  <c r="BC29" i="1" s="1"/>
  <c r="BF29" i="1"/>
  <c r="BG29" i="1"/>
  <c r="W28" i="1" l="1"/>
  <c r="X28" i="1"/>
  <c r="D28" i="1"/>
  <c r="C28" i="1" s="1"/>
  <c r="AN28" i="1"/>
  <c r="AO28" i="1"/>
  <c r="AD28" i="1"/>
  <c r="AE28" i="1"/>
  <c r="G28" i="1"/>
  <c r="F28" i="1" s="1"/>
  <c r="AQ28" i="1"/>
  <c r="AR28" i="1"/>
  <c r="AT28" i="1"/>
  <c r="AX28" i="1"/>
  <c r="AZ28" i="1" s="1"/>
  <c r="AY28" i="1" s="1"/>
  <c r="BB28" i="1"/>
  <c r="BE28" i="1"/>
  <c r="J28" i="1"/>
  <c r="M28" i="1" s="1"/>
  <c r="K28" i="1"/>
  <c r="L28" i="1"/>
  <c r="N28" i="1"/>
  <c r="P28" i="1"/>
  <c r="S28" i="1" s="1"/>
  <c r="Q28" i="1"/>
  <c r="T28" i="1" s="1"/>
  <c r="R28" i="1"/>
  <c r="AV28" i="1" l="1"/>
  <c r="AU28" i="1" s="1"/>
  <c r="BD28" i="1"/>
  <c r="BC28" i="1" s="1"/>
  <c r="BG28" i="1"/>
  <c r="BF28" i="1" s="1"/>
  <c r="D27" i="1" l="1"/>
  <c r="C27" i="1" s="1"/>
  <c r="F27" i="1"/>
  <c r="G27" i="1"/>
  <c r="K27" i="1"/>
  <c r="J27" i="1" s="1"/>
  <c r="M27" i="1" s="1"/>
  <c r="L27" i="1"/>
  <c r="Q27" i="1"/>
  <c r="P27" i="1" s="1"/>
  <c r="S27" i="1" s="1"/>
  <c r="R27" i="1"/>
  <c r="AD27" i="1"/>
  <c r="AE27" i="1"/>
  <c r="AG27" i="1"/>
  <c r="AJ27" i="1" s="1"/>
  <c r="AH27" i="1"/>
  <c r="AK27" i="1" s="1"/>
  <c r="AI27" i="1"/>
  <c r="AQ27" i="1"/>
  <c r="AR27" i="1"/>
  <c r="AT27" i="1"/>
  <c r="AV27" i="1" s="1"/>
  <c r="AU27" i="1" s="1"/>
  <c r="AX27" i="1"/>
  <c r="AZ27" i="1" s="1"/>
  <c r="BB27" i="1"/>
  <c r="BD27" i="1" s="1"/>
  <c r="BC27" i="1" s="1"/>
  <c r="BE27" i="1"/>
  <c r="AO27" i="1"/>
  <c r="AN27" i="1" s="1"/>
  <c r="AQ26" i="1"/>
  <c r="AR26" i="1"/>
  <c r="AT26" i="1"/>
  <c r="AV26" i="1" s="1"/>
  <c r="AX26" i="1"/>
  <c r="BB26" i="1"/>
  <c r="BD26" i="1" s="1"/>
  <c r="BC26" i="1" s="1"/>
  <c r="BE26" i="1"/>
  <c r="BG26" i="1" s="1"/>
  <c r="BF26" i="1" s="1"/>
  <c r="AN26" i="1"/>
  <c r="AO26" i="1"/>
  <c r="AH26" i="1"/>
  <c r="AK26" i="1" s="1"/>
  <c r="AI26" i="1"/>
  <c r="AE26" i="1"/>
  <c r="AD26" i="1" s="1"/>
  <c r="Q26" i="1"/>
  <c r="P26" i="1" s="1"/>
  <c r="S26" i="1" s="1"/>
  <c r="R26" i="1"/>
  <c r="J26" i="1"/>
  <c r="M26" i="1" s="1"/>
  <c r="K26" i="1"/>
  <c r="N26" i="1" s="1"/>
  <c r="L26" i="1"/>
  <c r="F26" i="1"/>
  <c r="G26" i="1"/>
  <c r="C26" i="1"/>
  <c r="D26" i="1"/>
  <c r="AY27" i="1" l="1"/>
  <c r="BG27" i="1"/>
  <c r="BF27" i="1" s="1"/>
  <c r="T27" i="1"/>
  <c r="N27" i="1"/>
  <c r="T26" i="1"/>
  <c r="AG26" i="1"/>
  <c r="AJ26" i="1" s="1"/>
  <c r="AZ26" i="1"/>
  <c r="AY26" i="1" s="1"/>
  <c r="AU26" i="1"/>
  <c r="D25" i="1" l="1"/>
  <c r="C25" i="1" s="1"/>
  <c r="F25" i="1"/>
  <c r="G25" i="1"/>
  <c r="K25" i="1"/>
  <c r="J25" i="1" s="1"/>
  <c r="M25" i="1" s="1"/>
  <c r="L25" i="1"/>
  <c r="N25" i="1"/>
  <c r="P25" i="1"/>
  <c r="S25" i="1" s="1"/>
  <c r="Q25" i="1"/>
  <c r="T25" i="1" s="1"/>
  <c r="R25" i="1"/>
  <c r="X25" i="1"/>
  <c r="X26" i="1" s="1"/>
  <c r="AD25" i="1"/>
  <c r="AE25" i="1"/>
  <c r="AO25" i="1"/>
  <c r="AN25" i="1" s="1"/>
  <c r="AR25" i="1"/>
  <c r="AQ25" i="1" s="1"/>
  <c r="AT25" i="1"/>
  <c r="AX25" i="1"/>
  <c r="BB25" i="1"/>
  <c r="BD25" i="1" s="1"/>
  <c r="BC25" i="1" s="1"/>
  <c r="BE25" i="1"/>
  <c r="BG25" i="1" s="1"/>
  <c r="AG25" i="1"/>
  <c r="AH25" i="1"/>
  <c r="AI25" i="1"/>
  <c r="AJ25" i="1"/>
  <c r="AK25" i="1"/>
  <c r="X27" i="1" l="1"/>
  <c r="W27" i="1" s="1"/>
  <c r="W26" i="1"/>
  <c r="W25" i="1"/>
  <c r="AV25" i="1"/>
  <c r="AU25" i="1" s="1"/>
  <c r="BF25" i="1"/>
  <c r="AZ25" i="1"/>
  <c r="AY25" i="1" s="1"/>
  <c r="AQ24" i="1" l="1"/>
  <c r="AR24" i="1"/>
  <c r="AT24" i="1"/>
  <c r="AV24" i="1" s="1"/>
  <c r="AX24" i="1"/>
  <c r="AZ24" i="1" s="1"/>
  <c r="AY24" i="1" s="1"/>
  <c r="BB24" i="1"/>
  <c r="BD24" i="1" s="1"/>
  <c r="BC24" i="1" s="1"/>
  <c r="BE24" i="1"/>
  <c r="BG24" i="1" s="1"/>
  <c r="BF24" i="1" s="1"/>
  <c r="AN24" i="1"/>
  <c r="AO24" i="1"/>
  <c r="AH24" i="1"/>
  <c r="AK24" i="1" s="1"/>
  <c r="AI24" i="1"/>
  <c r="AE24" i="1"/>
  <c r="AD24" i="1" s="1"/>
  <c r="X24" i="1"/>
  <c r="W24" i="1" s="1"/>
  <c r="Q24" i="1"/>
  <c r="P24" i="1" s="1"/>
  <c r="S24" i="1" s="1"/>
  <c r="R24" i="1"/>
  <c r="G24" i="1"/>
  <c r="F24" i="1" s="1"/>
  <c r="C24" i="1"/>
  <c r="D24" i="1"/>
  <c r="J24" i="1"/>
  <c r="K24" i="1"/>
  <c r="L24" i="1"/>
  <c r="M24" i="1"/>
  <c r="N24" i="1"/>
  <c r="AG24" i="1" l="1"/>
  <c r="AJ24" i="1" s="1"/>
  <c r="T24" i="1"/>
  <c r="AU24" i="1"/>
  <c r="AG23" i="1" l="1"/>
  <c r="AH23" i="1"/>
  <c r="AI23" i="1"/>
  <c r="AJ23" i="1"/>
  <c r="AK23" i="1"/>
  <c r="AD23" i="1"/>
  <c r="AE23" i="1"/>
  <c r="D23" i="1"/>
  <c r="C23" i="1" s="1"/>
  <c r="G23" i="1"/>
  <c r="F23" i="1" s="1"/>
  <c r="AN23" i="1"/>
  <c r="AO23" i="1"/>
  <c r="AR23" i="1"/>
  <c r="AQ23" i="1" s="1"/>
  <c r="AT23" i="1"/>
  <c r="AX23" i="1"/>
  <c r="AY23" i="1" s="1"/>
  <c r="AZ23" i="1"/>
  <c r="BB23" i="1"/>
  <c r="BD23" i="1" s="1"/>
  <c r="BC23" i="1" s="1"/>
  <c r="BE23" i="1"/>
  <c r="P23" i="1"/>
  <c r="S23" i="1" s="1"/>
  <c r="Q23" i="1"/>
  <c r="R23" i="1"/>
  <c r="T23" i="1"/>
  <c r="J23" i="1"/>
  <c r="M23" i="1" s="1"/>
  <c r="K23" i="1"/>
  <c r="N23" i="1" s="1"/>
  <c r="L23" i="1"/>
  <c r="AV23" i="1" l="1"/>
  <c r="AU23" i="1" s="1"/>
  <c r="BG23" i="1"/>
  <c r="BF23" i="1" s="1"/>
  <c r="X22" i="1" l="1"/>
  <c r="X23" i="1" s="1"/>
  <c r="W23" i="1" s="1"/>
  <c r="AD22" i="1"/>
  <c r="AE22" i="1"/>
  <c r="AH22" i="1"/>
  <c r="AG22" i="1" s="1"/>
  <c r="AJ22" i="1" s="1"/>
  <c r="AI22" i="1"/>
  <c r="AN22" i="1"/>
  <c r="AO22" i="1"/>
  <c r="AR22" i="1"/>
  <c r="AQ22" i="1" s="1"/>
  <c r="AT22" i="1"/>
  <c r="AX22" i="1"/>
  <c r="BB22" i="1"/>
  <c r="BD22" i="1" s="1"/>
  <c r="BC22" i="1" s="1"/>
  <c r="BE22" i="1"/>
  <c r="D22" i="1"/>
  <c r="C22" i="1" s="1"/>
  <c r="F22" i="1"/>
  <c r="G22" i="1"/>
  <c r="Q22" i="1"/>
  <c r="P22" i="1" s="1"/>
  <c r="S22" i="1" s="1"/>
  <c r="R22" i="1"/>
  <c r="J22" i="1"/>
  <c r="M22" i="1" s="1"/>
  <c r="K22" i="1"/>
  <c r="L22" i="1"/>
  <c r="N22" i="1"/>
  <c r="W22" i="1" l="1"/>
  <c r="AV22" i="1"/>
  <c r="AU22" i="1" s="1"/>
  <c r="AK22" i="1"/>
  <c r="AZ22" i="1"/>
  <c r="AY22" i="1" s="1"/>
  <c r="BG22" i="1"/>
  <c r="BF22" i="1" s="1"/>
  <c r="T22" i="1"/>
  <c r="C21" i="1" l="1"/>
  <c r="D21" i="1"/>
  <c r="AO21" i="1"/>
  <c r="AN21" i="1" s="1"/>
  <c r="W21" i="1"/>
  <c r="X21" i="1"/>
  <c r="AD21" i="1"/>
  <c r="AE21" i="1"/>
  <c r="AH21" i="1"/>
  <c r="AG21" i="1" s="1"/>
  <c r="AJ21" i="1" s="1"/>
  <c r="AI21" i="1"/>
  <c r="G21" i="1"/>
  <c r="F21" i="1" s="1"/>
  <c r="AQ21" i="1"/>
  <c r="AR21" i="1"/>
  <c r="AT21" i="1"/>
  <c r="AV21" i="1" s="1"/>
  <c r="AU21" i="1" s="1"/>
  <c r="AX21" i="1"/>
  <c r="AZ21" i="1" s="1"/>
  <c r="AY21" i="1" s="1"/>
  <c r="BB21" i="1"/>
  <c r="BE21" i="1"/>
  <c r="BG21" i="1" s="1"/>
  <c r="BF21" i="1" s="1"/>
  <c r="Q21" i="1"/>
  <c r="P21" i="1" s="1"/>
  <c r="S21" i="1" s="1"/>
  <c r="R21" i="1"/>
  <c r="T21" i="1"/>
  <c r="J21" i="1"/>
  <c r="M21" i="1" s="1"/>
  <c r="K21" i="1"/>
  <c r="L21" i="1"/>
  <c r="N21" i="1"/>
  <c r="AK21" i="1" l="1"/>
  <c r="BD21" i="1"/>
  <c r="BC21" i="1" s="1"/>
  <c r="AR19" i="1" l="1"/>
  <c r="AQ19" i="1" s="1"/>
  <c r="AT19" i="1"/>
  <c r="AV19" i="1" s="1"/>
  <c r="AX19" i="1"/>
  <c r="AZ19" i="1" s="1"/>
  <c r="AY19" i="1" s="1"/>
  <c r="BB19" i="1"/>
  <c r="BE19" i="1"/>
  <c r="AT20" i="1"/>
  <c r="AX20" i="1"/>
  <c r="BB20" i="1"/>
  <c r="BE20" i="1"/>
  <c r="AN18" i="1"/>
  <c r="AO18" i="1"/>
  <c r="AN19" i="1"/>
  <c r="AO19" i="1"/>
  <c r="AO20" i="1" s="1"/>
  <c r="AN20" i="1"/>
  <c r="AH18" i="1"/>
  <c r="AG18" i="1" s="1"/>
  <c r="AJ18" i="1" s="1"/>
  <c r="AI18" i="1"/>
  <c r="AK18" i="1"/>
  <c r="AG19" i="1"/>
  <c r="AJ19" i="1" s="1"/>
  <c r="AH19" i="1"/>
  <c r="AI19" i="1"/>
  <c r="AK19" i="1"/>
  <c r="AG20" i="1"/>
  <c r="AJ20" i="1" s="1"/>
  <c r="AH20" i="1"/>
  <c r="AK20" i="1" s="1"/>
  <c r="AI20" i="1"/>
  <c r="W18" i="1"/>
  <c r="X18" i="1"/>
  <c r="X19" i="1"/>
  <c r="X20" i="1" s="1"/>
  <c r="W20" i="1"/>
  <c r="Q19" i="1"/>
  <c r="Q20" i="1" s="1"/>
  <c r="T20" i="1" s="1"/>
  <c r="R19" i="1"/>
  <c r="R20" i="1"/>
  <c r="J19" i="1"/>
  <c r="M19" i="1" s="1"/>
  <c r="K19" i="1"/>
  <c r="L19" i="1"/>
  <c r="N19" i="1"/>
  <c r="J20" i="1"/>
  <c r="M20" i="1" s="1"/>
  <c r="K20" i="1"/>
  <c r="N20" i="1" s="1"/>
  <c r="L20" i="1"/>
  <c r="G19" i="1"/>
  <c r="F19" i="1" s="1"/>
  <c r="F20" i="1"/>
  <c r="G20" i="1"/>
  <c r="D18" i="1"/>
  <c r="C18" i="1" s="1"/>
  <c r="AE18" i="1"/>
  <c r="AD18" i="1" s="1"/>
  <c r="AD19" i="1"/>
  <c r="AE19" i="1"/>
  <c r="AE20" i="1" s="1"/>
  <c r="AD20" i="1"/>
  <c r="G18" i="1"/>
  <c r="F18" i="1" s="1"/>
  <c r="AQ18" i="1"/>
  <c r="AR18" i="1"/>
  <c r="AT18" i="1"/>
  <c r="AX18" i="1"/>
  <c r="AY18" i="1" s="1"/>
  <c r="AZ18" i="1"/>
  <c r="BB18" i="1"/>
  <c r="BE18" i="1"/>
  <c r="P18" i="1"/>
  <c r="Q18" i="1"/>
  <c r="R18" i="1"/>
  <c r="S18" i="1"/>
  <c r="T18" i="1"/>
  <c r="J18" i="1"/>
  <c r="K18" i="1"/>
  <c r="L18" i="1"/>
  <c r="M18" i="1"/>
  <c r="N18" i="1"/>
  <c r="W19" i="1" l="1"/>
  <c r="AR20" i="1"/>
  <c r="AQ20" i="1" s="1"/>
  <c r="P20" i="1"/>
  <c r="S20" i="1" s="1"/>
  <c r="AU19" i="1"/>
  <c r="AV20" i="1"/>
  <c r="AU20" i="1" s="1"/>
  <c r="T19" i="1"/>
  <c r="P19" i="1"/>
  <c r="S19" i="1" s="1"/>
  <c r="D19" i="1"/>
  <c r="AZ20" i="1"/>
  <c r="AY20" i="1" s="1"/>
  <c r="BG19" i="1"/>
  <c r="BG20" i="1" s="1"/>
  <c r="BF20" i="1" s="1"/>
  <c r="AV18" i="1"/>
  <c r="AU18" i="1" s="1"/>
  <c r="BD18" i="1"/>
  <c r="BG18" i="1"/>
  <c r="BF18" i="1" s="1"/>
  <c r="D20" i="1" l="1"/>
  <c r="C20" i="1" s="1"/>
  <c r="C19" i="1"/>
  <c r="BC18" i="1"/>
  <c r="BD19" i="1"/>
  <c r="BF19" i="1"/>
  <c r="AI17" i="1"/>
  <c r="AJ17" i="1"/>
  <c r="AK17" i="1"/>
  <c r="AI13" i="1"/>
  <c r="AJ13" i="1"/>
  <c r="AK13" i="1"/>
  <c r="AI14" i="1"/>
  <c r="AJ14" i="1"/>
  <c r="AK14" i="1"/>
  <c r="AI15" i="1"/>
  <c r="AJ15" i="1"/>
  <c r="AK15" i="1"/>
  <c r="AK16" i="1"/>
  <c r="AJ16" i="1"/>
  <c r="BD20" i="1" l="1"/>
  <c r="BC20" i="1" s="1"/>
  <c r="BC19" i="1"/>
  <c r="AN17" i="1"/>
  <c r="AO17" i="1"/>
  <c r="AG17" i="1"/>
  <c r="AH17" i="1"/>
  <c r="AD17" i="1"/>
  <c r="AE17" i="1"/>
  <c r="AQ17" i="1"/>
  <c r="AR17" i="1"/>
  <c r="AT17" i="1"/>
  <c r="AV17" i="1"/>
  <c r="AU17" i="1" s="1"/>
  <c r="AX17" i="1"/>
  <c r="BB17" i="1"/>
  <c r="BE17" i="1"/>
  <c r="BG17" i="1" s="1"/>
  <c r="BF17" i="1" s="1"/>
  <c r="W17" i="1"/>
  <c r="X17" i="1"/>
  <c r="Q17" i="1"/>
  <c r="P17" i="1" s="1"/>
  <c r="S17" i="1" s="1"/>
  <c r="R17" i="1"/>
  <c r="D17" i="1"/>
  <c r="C17" i="1" s="1"/>
  <c r="F17" i="1"/>
  <c r="G17" i="1"/>
  <c r="K17" i="1"/>
  <c r="J17" i="1" s="1"/>
  <c r="M17" i="1" s="1"/>
  <c r="L17" i="1"/>
  <c r="BD17" i="1" l="1"/>
  <c r="BC17" i="1" s="1"/>
  <c r="T17" i="1"/>
  <c r="N17" i="1"/>
  <c r="AI16" i="1"/>
  <c r="AQ16" i="1" l="1"/>
  <c r="AR16" i="1"/>
  <c r="AT16" i="1"/>
  <c r="AV16" i="1" s="1"/>
  <c r="AU16" i="1" s="1"/>
  <c r="AX16" i="1"/>
  <c r="AZ16" i="1" s="1"/>
  <c r="BB16" i="1"/>
  <c r="BC16" i="1" s="1"/>
  <c r="BD16" i="1"/>
  <c r="BE16" i="1"/>
  <c r="AN16" i="1"/>
  <c r="AO16" i="1"/>
  <c r="AH16" i="1"/>
  <c r="AD16" i="1"/>
  <c r="AE16" i="1"/>
  <c r="X16" i="1"/>
  <c r="W16" i="1" s="1"/>
  <c r="Q16" i="1"/>
  <c r="P16" i="1" s="1"/>
  <c r="S16" i="1" s="1"/>
  <c r="R16" i="1"/>
  <c r="J16" i="1"/>
  <c r="M16" i="1" s="1"/>
  <c r="K16" i="1"/>
  <c r="L16" i="1"/>
  <c r="N16" i="1"/>
  <c r="G16" i="1"/>
  <c r="F16" i="1" s="1"/>
  <c r="C16" i="1"/>
  <c r="D16" i="1"/>
  <c r="AY16" i="1" l="1"/>
  <c r="AZ17" i="1"/>
  <c r="AY17" i="1" s="1"/>
  <c r="AG16" i="1"/>
  <c r="T16" i="1"/>
  <c r="BG16" i="1"/>
  <c r="BF16" i="1" s="1"/>
  <c r="AQ15" i="1"/>
  <c r="AR15" i="1"/>
  <c r="AT15" i="1"/>
  <c r="AV15" i="1" s="1"/>
  <c r="AX15" i="1"/>
  <c r="BB15" i="1"/>
  <c r="BE15" i="1"/>
  <c r="AO15" i="1"/>
  <c r="AN15" i="1" s="1"/>
  <c r="AG15" i="1"/>
  <c r="AH15" i="1"/>
  <c r="AD15" i="1"/>
  <c r="AE15" i="1"/>
  <c r="W15" i="1"/>
  <c r="X15" i="1"/>
  <c r="F15" i="1"/>
  <c r="G15" i="1"/>
  <c r="C15" i="1"/>
  <c r="D15" i="1"/>
  <c r="Q15" i="1"/>
  <c r="P15" i="1" s="1"/>
  <c r="S15" i="1" s="1"/>
  <c r="R15" i="1"/>
  <c r="T15" i="1"/>
  <c r="J15" i="1"/>
  <c r="M15" i="1" s="1"/>
  <c r="K15" i="1"/>
  <c r="L15" i="1"/>
  <c r="N15" i="1"/>
  <c r="BD15" i="1" l="1"/>
  <c r="BC15" i="1" s="1"/>
  <c r="BG15" i="1"/>
  <c r="BF15" i="1" s="1"/>
  <c r="AZ15" i="1"/>
  <c r="AY15" i="1" s="1"/>
  <c r="AU15" i="1"/>
  <c r="AQ14" i="1"/>
  <c r="AR14" i="1"/>
  <c r="AT14" i="1"/>
  <c r="AV14" i="1" s="1"/>
  <c r="AX14" i="1"/>
  <c r="AZ14" i="1" s="1"/>
  <c r="BB14" i="1"/>
  <c r="BD14" i="1" s="1"/>
  <c r="BC14" i="1" s="1"/>
  <c r="BE14" i="1"/>
  <c r="BG14" i="1" s="1"/>
  <c r="AN14" i="1"/>
  <c r="AO14" i="1"/>
  <c r="AG14" i="1"/>
  <c r="AH14" i="1"/>
  <c r="AD14" i="1"/>
  <c r="AE14" i="1"/>
  <c r="W14" i="1"/>
  <c r="X14" i="1"/>
  <c r="Q14" i="1"/>
  <c r="P14" i="1" s="1"/>
  <c r="S14" i="1" s="1"/>
  <c r="R14" i="1"/>
  <c r="K14" i="1"/>
  <c r="J14" i="1" s="1"/>
  <c r="M14" i="1" s="1"/>
  <c r="L14" i="1"/>
  <c r="F14" i="1"/>
  <c r="G14" i="1"/>
  <c r="C14" i="1"/>
  <c r="D14" i="1"/>
  <c r="BF14" i="1" l="1"/>
  <c r="T14" i="1"/>
  <c r="AY14" i="1"/>
  <c r="AU14" i="1"/>
  <c r="N14" i="1"/>
  <c r="D13" i="1"/>
  <c r="C13" i="1" s="1"/>
  <c r="G13" i="1"/>
  <c r="F13" i="1" s="1"/>
  <c r="K13" i="1"/>
  <c r="N13" i="1" s="1"/>
  <c r="L13" i="1"/>
  <c r="Q13" i="1"/>
  <c r="P13" i="1" s="1"/>
  <c r="S13" i="1" s="1"/>
  <c r="R13" i="1"/>
  <c r="AE13" i="1"/>
  <c r="AD13" i="1" s="1"/>
  <c r="AH13" i="1"/>
  <c r="AG13" i="1" s="1"/>
  <c r="AN13" i="1"/>
  <c r="AO13" i="1"/>
  <c r="AR13" i="1"/>
  <c r="AQ13" i="1" s="1"/>
  <c r="AT13" i="1"/>
  <c r="AV13" i="1" s="1"/>
  <c r="AU13" i="1" s="1"/>
  <c r="AX13" i="1"/>
  <c r="BB13" i="1"/>
  <c r="BE13" i="1"/>
  <c r="BG13" i="1" s="1"/>
  <c r="BF13" i="1" s="1"/>
  <c r="T13" i="1" l="1"/>
  <c r="J13" i="1"/>
  <c r="M13" i="1" s="1"/>
  <c r="BD13" i="1"/>
  <c r="BC13" i="1" s="1"/>
  <c r="K11" i="1" l="1"/>
  <c r="J11" i="1" s="1"/>
  <c r="M11" i="1" s="1"/>
  <c r="L11" i="1"/>
  <c r="L12" i="1"/>
  <c r="K12" i="1" l="1"/>
  <c r="N11" i="1"/>
  <c r="N12" i="1" l="1"/>
  <c r="J12" i="1"/>
  <c r="M12" i="1" s="1"/>
  <c r="R12" i="1"/>
  <c r="AT12" i="1"/>
  <c r="AX12" i="1"/>
  <c r="BB12" i="1"/>
  <c r="BE12" i="1"/>
  <c r="AI12" i="1" l="1"/>
  <c r="D10" i="13" l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Q11" i="1" l="1"/>
  <c r="Q12" i="1" s="1"/>
  <c r="R11" i="1"/>
  <c r="X11" i="1"/>
  <c r="X12" i="1" s="1"/>
  <c r="X13" i="1" s="1"/>
  <c r="W13" i="1" s="1"/>
  <c r="AB11" i="1"/>
  <c r="AE11" i="1"/>
  <c r="AE12" i="1" s="1"/>
  <c r="AH11" i="1"/>
  <c r="W12" i="1" l="1"/>
  <c r="AD12" i="1"/>
  <c r="W11" i="1"/>
  <c r="AG11" i="1"/>
  <c r="AH12" i="1"/>
  <c r="AD11" i="1"/>
  <c r="T11" i="1"/>
  <c r="P11" i="1"/>
  <c r="S11" i="1" s="1"/>
  <c r="P12" i="1" l="1"/>
  <c r="S12" i="1" s="1"/>
  <c r="T12" i="1"/>
  <c r="AK12" i="1"/>
  <c r="AG12" i="1"/>
  <c r="AJ12" i="1" s="1"/>
  <c r="I7" i="12" l="1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AX11" i="1" l="1"/>
  <c r="AT11" i="1"/>
  <c r="F9" i="12" l="1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I7" i="1" l="1"/>
  <c r="BB11" i="1" l="1"/>
  <c r="B5" i="12" l="1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AI11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G11" i="1"/>
  <c r="G12" i="1" s="1"/>
  <c r="AO11" i="1"/>
  <c r="AO12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I3" i="12"/>
  <c r="V3" i="12" s="1"/>
  <c r="AV11" i="1"/>
  <c r="AV12" i="1" s="1"/>
  <c r="C12" i="1" l="1"/>
  <c r="AQ12" i="1"/>
  <c r="AN12" i="1"/>
  <c r="F12" i="1"/>
  <c r="BC12" i="1"/>
  <c r="AU12" i="1"/>
  <c r="AJ11" i="1"/>
  <c r="AQ11" i="1"/>
  <c r="F11" i="1"/>
  <c r="AU11" i="1"/>
  <c r="AN11" i="1"/>
  <c r="AK11" i="1"/>
  <c r="Z7" i="1"/>
  <c r="AM7" i="1"/>
  <c r="BB7" i="1" s="1"/>
  <c r="C11" i="1"/>
  <c r="H3" i="12"/>
  <c r="U3" i="12" s="1"/>
  <c r="AZ11" i="1"/>
  <c r="AZ12" i="1" s="1"/>
  <c r="AZ13" i="1" s="1"/>
  <c r="AY13" i="1" s="1"/>
  <c r="F82" i="12"/>
  <c r="BC11" i="1"/>
  <c r="BW42" i="1"/>
  <c r="BG11" i="1"/>
  <c r="BG12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BF12" i="1" l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H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K38" i="12" l="1"/>
  <c r="H72" i="12"/>
  <c r="I72" i="12" s="1"/>
  <c r="J72" i="12" s="1"/>
  <c r="U73" i="12"/>
  <c r="U74" i="12" s="1"/>
  <c r="V72" i="12"/>
  <c r="I73" i="12" l="1"/>
  <c r="J73" i="12" s="1"/>
  <c r="V73" i="12"/>
  <c r="V74" i="12"/>
  <c r="U75" i="12"/>
  <c r="I74" i="12" l="1"/>
  <c r="I75" i="12" s="1"/>
  <c r="V75" i="12"/>
  <c r="U76" i="12"/>
  <c r="J74" i="12" l="1"/>
  <c r="U77" i="12"/>
  <c r="V76" i="12"/>
  <c r="J75" i="12"/>
  <c r="I76" i="12"/>
  <c r="I77" i="12" l="1"/>
  <c r="J76" i="12"/>
  <c r="U78" i="12"/>
  <c r="V77" i="12"/>
  <c r="I78" i="12" l="1"/>
  <c r="J77" i="12"/>
  <c r="U79" i="12"/>
  <c r="V78" i="12"/>
  <c r="U80" i="12" l="1"/>
  <c r="V79" i="12"/>
  <c r="I79" i="12"/>
  <c r="J78" i="12"/>
  <c r="I80" i="12" l="1"/>
  <c r="J79" i="12"/>
  <c r="U81" i="12"/>
  <c r="V80" i="12"/>
  <c r="U82" i="12" l="1"/>
  <c r="V81" i="12"/>
  <c r="I81" i="12"/>
  <c r="J80" i="12"/>
  <c r="I82" i="12" l="1"/>
  <c r="J81" i="12"/>
  <c r="U83" i="12"/>
  <c r="V82" i="12"/>
  <c r="I83" i="12" l="1"/>
  <c r="J82" i="12"/>
  <c r="U84" i="12"/>
  <c r="U85" i="12" s="1"/>
  <c r="V83" i="12"/>
  <c r="U86" i="12" l="1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H90" i="12" s="1"/>
  <c r="I90" i="12" s="1"/>
  <c r="J90" i="12" s="1"/>
  <c r="K56" i="12"/>
  <c r="U92" i="12" l="1"/>
  <c r="V91" i="12"/>
  <c r="I91" i="12"/>
  <c r="U93" i="12" l="1"/>
  <c r="V92" i="12"/>
  <c r="I92" i="12"/>
  <c r="J91" i="12"/>
  <c r="U94" i="12" l="1"/>
  <c r="V93" i="12"/>
  <c r="I93" i="12"/>
  <c r="J92" i="12"/>
  <c r="U95" i="12" l="1"/>
  <c r="V94" i="12"/>
  <c r="I94" i="12"/>
  <c r="J93" i="12"/>
  <c r="U96" i="12" l="1"/>
  <c r="V95" i="12"/>
  <c r="I95" i="12"/>
  <c r="J94" i="12"/>
  <c r="U97" i="12" l="1"/>
  <c r="V96" i="12"/>
  <c r="I96" i="12"/>
  <c r="J95" i="12"/>
  <c r="U98" i="12" l="1"/>
  <c r="V97" i="12"/>
  <c r="I97" i="12"/>
  <c r="J96" i="12"/>
  <c r="U99" i="12" l="1"/>
  <c r="V98" i="12"/>
  <c r="I98" i="12"/>
  <c r="J97" i="12"/>
  <c r="U100" i="12" l="1"/>
  <c r="V99" i="12"/>
  <c r="I99" i="12"/>
  <c r="J98" i="12"/>
  <c r="U101" i="12" l="1"/>
  <c r="V100" i="12"/>
  <c r="I100" i="12"/>
  <c r="J99" i="12"/>
  <c r="U102" i="12" l="1"/>
  <c r="V102" i="12" s="1"/>
  <c r="V101" i="12"/>
  <c r="I101" i="12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<sst xmlns="http://schemas.openxmlformats.org/spreadsheetml/2006/main" count="626" uniqueCount="125">
  <si>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</si>
  <si>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</si>
  <si>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</si>
  <si>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</si>
  <si>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</si>
  <si>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</si>
  <si>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</si>
  <si>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</si>
  <si>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</si>
  <si>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</si>
  <si>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</si>
  <si>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</si>
  <si>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</si>
  <si>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</si>
  <si>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</si>
  <si>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</si>
  <si>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</si>
  <si>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</si>
  <si>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</si>
  <si>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</si>
  <si>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</si>
  <si>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</si>
  <si>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</si>
  <si>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</si>
  <si>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</si>
  <si>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</si>
  <si>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</si>
  <si>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</si>
  <si>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</si>
  <si>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</si>
  <si>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</si>
  <si>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</si>
  <si>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</si>
  <si>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</si>
  <si>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</si>
  <si>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</si>
  <si>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</si>
  <si>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</si>
  <si>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</si>
  <si>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</si>
  <si>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</si>
  <si>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</si>
  <si>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</si>
  <si>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</si>
  <si>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</si>
  <si>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</si>
  <si>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</si>
  <si>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</si>
  <si>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</si>
  <si>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</si>
  <si>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</si>
  <si>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</si>
  <si>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</si>
  <si>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</si>
  <si>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</si>
  <si>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</si>
  <si>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</si>
  <si>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</si>
  <si>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</si>
  <si>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</si>
  <si>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</si>
  <si>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</si>
  <si>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</si>
  <si>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</si>
  <si>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</si>
  <si>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</si>
  <si>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</si>
  <si>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</si>
  <si>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</si>
  <si>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</si>
  <si>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</si>
  <si>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</si>
  <si>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</si>
  <si>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</si>
  <si>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</si>
  <si>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</si>
  <si>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</si>
  <si>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</si>
  <si>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</si>
  <si>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</si>
  <si>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</si>
  <si>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</si>
  <si>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</si>
  <si>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</si>
  <si>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</si>
  <si>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</si>
  <si>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</si>
  <si>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</si>
  <si>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</si>
  <si>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</si>
  <si>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</si>
  <si>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</si>
  <si>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</si>
  <si>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</si>
  <si>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</si>
  <si>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</si>
  <si>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</si>
  <si>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</si>
  <si>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</si>
  <si>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</si>
  <si>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</si>
  <si>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</si>
  <si>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</si>
  <si>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</si>
  <si>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</si>
  <si>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</si>
  <si>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</si>
  <si>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</si>
  <si>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</si>
  <si>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</si>
  <si>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</si>
  <si>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</si>
  <si>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</si>
  <si>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</si>
  <si>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</si>
  <si>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</si>
  <si>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</si>
  <si>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ENERO 2021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</si>
  <si>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</si>
  <si>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</si>
  <si>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</si>
  <si>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</si>
  <si>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diaria. PCR (18,32%)</t>
  </si>
  <si>
    <t>prom . PCR (18,32%)</t>
  </si>
  <si>
    <t>Acum. PCR (18,32%)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</si>
</sst>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272">
    <xf numFmtId="0" fontId="0" fillId="0" borderId="0"/>
    <xf numFmtId="165" fontId="94" fillId="0" borderId="0" applyFont="0" applyFill="0" applyBorder="0" applyAlignment="0" applyProtection="0"/>
    <xf numFmtId="0" fontId="107" fillId="0" borderId="0"/>
    <xf numFmtId="0" fontId="102" fillId="0" borderId="0"/>
    <xf numFmtId="0" fontId="113" fillId="0" borderId="0"/>
    <xf numFmtId="0" fontId="94" fillId="0" borderId="0"/>
    <xf numFmtId="0" fontId="93" fillId="0" borderId="0"/>
    <xf numFmtId="0" fontId="94" fillId="0" borderId="0" applyProtection="0">
      <protection locked="0"/>
    </xf>
    <xf numFmtId="9" fontId="94" fillId="0" borderId="0" applyFont="0" applyFill="0" applyBorder="0" applyAlignment="0" applyProtection="0"/>
    <xf numFmtId="0" fontId="132" fillId="38" borderId="0" applyNumberFormat="0" applyBorder="0" applyAlignment="0" applyProtection="0"/>
    <xf numFmtId="0" fontId="132" fillId="38" borderId="0" applyNumberFormat="0" applyBorder="0" applyAlignment="0" applyProtection="0"/>
    <xf numFmtId="0" fontId="132" fillId="39" borderId="0" applyNumberFormat="0" applyBorder="0" applyAlignment="0" applyProtection="0"/>
    <xf numFmtId="0" fontId="132" fillId="39" borderId="0" applyNumberFormat="0" applyBorder="0" applyAlignment="0" applyProtection="0"/>
    <xf numFmtId="0" fontId="132" fillId="40" borderId="0" applyNumberFormat="0" applyBorder="0" applyAlignment="0" applyProtection="0"/>
    <xf numFmtId="0" fontId="132" fillId="40" borderId="0" applyNumberFormat="0" applyBorder="0" applyAlignment="0" applyProtection="0"/>
    <xf numFmtId="0" fontId="132" fillId="41" borderId="0" applyNumberFormat="0" applyBorder="0" applyAlignment="0" applyProtection="0"/>
    <xf numFmtId="0" fontId="132" fillId="41" borderId="0" applyNumberFormat="0" applyBorder="0" applyAlignment="0" applyProtection="0"/>
    <xf numFmtId="0" fontId="132" fillId="42" borderId="0" applyNumberFormat="0" applyBorder="0" applyAlignment="0" applyProtection="0"/>
    <xf numFmtId="0" fontId="132" fillId="42" borderId="0" applyNumberFormat="0" applyBorder="0" applyAlignment="0" applyProtection="0"/>
    <xf numFmtId="0" fontId="132" fillId="43" borderId="0" applyNumberFormat="0" applyBorder="0" applyAlignment="0" applyProtection="0"/>
    <xf numFmtId="0" fontId="132" fillId="43" borderId="0" applyNumberFormat="0" applyBorder="0" applyAlignment="0" applyProtection="0"/>
    <xf numFmtId="0" fontId="132" fillId="44" borderId="0" applyNumberFormat="0" applyBorder="0" applyAlignment="0" applyProtection="0"/>
    <xf numFmtId="0" fontId="132" fillId="44" borderId="0" applyNumberFormat="0" applyBorder="0" applyAlignment="0" applyProtection="0"/>
    <xf numFmtId="0" fontId="132" fillId="45" borderId="0" applyNumberFormat="0" applyBorder="0" applyAlignment="0" applyProtection="0"/>
    <xf numFmtId="0" fontId="132" fillId="45" borderId="0" applyNumberFormat="0" applyBorder="0" applyAlignment="0" applyProtection="0"/>
    <xf numFmtId="0" fontId="132" fillId="46" borderId="0" applyNumberFormat="0" applyBorder="0" applyAlignment="0" applyProtection="0"/>
    <xf numFmtId="0" fontId="132" fillId="46" borderId="0" applyNumberFormat="0" applyBorder="0" applyAlignment="0" applyProtection="0"/>
    <xf numFmtId="0" fontId="132" fillId="41" borderId="0" applyNumberFormat="0" applyBorder="0" applyAlignment="0" applyProtection="0"/>
    <xf numFmtId="0" fontId="132" fillId="41" borderId="0" applyNumberFormat="0" applyBorder="0" applyAlignment="0" applyProtection="0"/>
    <xf numFmtId="0" fontId="132" fillId="44" borderId="0" applyNumberFormat="0" applyBorder="0" applyAlignment="0" applyProtection="0"/>
    <xf numFmtId="0" fontId="132" fillId="44" borderId="0" applyNumberFormat="0" applyBorder="0" applyAlignment="0" applyProtection="0"/>
    <xf numFmtId="0" fontId="132" fillId="47" borderId="0" applyNumberFormat="0" applyBorder="0" applyAlignment="0" applyProtection="0"/>
    <xf numFmtId="0" fontId="132" fillId="47" borderId="0" applyNumberFormat="0" applyBorder="0" applyAlignment="0" applyProtection="0"/>
    <xf numFmtId="0" fontId="133" fillId="48" borderId="0" applyNumberFormat="0" applyBorder="0" applyAlignment="0" applyProtection="0"/>
    <xf numFmtId="0" fontId="133" fillId="45" borderId="0" applyNumberFormat="0" applyBorder="0" applyAlignment="0" applyProtection="0"/>
    <xf numFmtId="0" fontId="133" fillId="46" borderId="0" applyNumberFormat="0" applyBorder="0" applyAlignment="0" applyProtection="0"/>
    <xf numFmtId="0" fontId="133" fillId="49" borderId="0" applyNumberFormat="0" applyBorder="0" applyAlignment="0" applyProtection="0"/>
    <xf numFmtId="0" fontId="133" fillId="50" borderId="0" applyNumberFormat="0" applyBorder="0" applyAlignment="0" applyProtection="0"/>
    <xf numFmtId="0" fontId="133" fillId="51" borderId="0" applyNumberFormat="0" applyBorder="0" applyAlignment="0" applyProtection="0"/>
    <xf numFmtId="0" fontId="134" fillId="40" borderId="0" applyNumberFormat="0" applyBorder="0" applyAlignment="0" applyProtection="0"/>
    <xf numFmtId="0" fontId="135" fillId="52" borderId="53" applyNumberFormat="0" applyAlignment="0" applyProtection="0"/>
    <xf numFmtId="0" fontId="136" fillId="53" borderId="54" applyNumberFormat="0" applyAlignment="0" applyProtection="0"/>
    <xf numFmtId="0" fontId="137" fillId="0" borderId="55" applyNumberFormat="0" applyFill="0" applyAlignment="0" applyProtection="0"/>
    <xf numFmtId="167" fontId="138" fillId="0" borderId="0">
      <protection locked="0"/>
    </xf>
    <xf numFmtId="168" fontId="138" fillId="0" borderId="0">
      <protection locked="0"/>
    </xf>
    <xf numFmtId="169" fontId="138" fillId="0" borderId="0">
      <protection locked="0"/>
    </xf>
    <xf numFmtId="0" fontId="139" fillId="0" borderId="0" applyNumberFormat="0" applyFill="0" applyBorder="0" applyAlignment="0" applyProtection="0"/>
    <xf numFmtId="0" fontId="133" fillId="54" borderId="0" applyNumberFormat="0" applyBorder="0" applyAlignment="0" applyProtection="0"/>
    <xf numFmtId="0" fontId="133" fillId="55" borderId="0" applyNumberFormat="0" applyBorder="0" applyAlignment="0" applyProtection="0"/>
    <xf numFmtId="0" fontId="133" fillId="56" borderId="0" applyNumberFormat="0" applyBorder="0" applyAlignment="0" applyProtection="0"/>
    <xf numFmtId="0" fontId="133" fillId="49" borderId="0" applyNumberFormat="0" applyBorder="0" applyAlignment="0" applyProtection="0"/>
    <xf numFmtId="0" fontId="133" fillId="50" borderId="0" applyNumberFormat="0" applyBorder="0" applyAlignment="0" applyProtection="0"/>
    <xf numFmtId="0" fontId="133" fillId="57" borderId="0" applyNumberFormat="0" applyBorder="0" applyAlignment="0" applyProtection="0"/>
    <xf numFmtId="0" fontId="140" fillId="43" borderId="53" applyNumberFormat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69" fontId="138" fillId="0" borderId="0">
      <protection locked="0"/>
    </xf>
    <xf numFmtId="169" fontId="138" fillId="0" borderId="0">
      <protection locked="0"/>
    </xf>
    <xf numFmtId="169" fontId="141" fillId="0" borderId="0">
      <protection locked="0"/>
    </xf>
    <xf numFmtId="169" fontId="138" fillId="0" borderId="0">
      <protection locked="0"/>
    </xf>
    <xf numFmtId="169" fontId="138" fillId="0" borderId="0">
      <protection locked="0"/>
    </xf>
    <xf numFmtId="169" fontId="138" fillId="0" borderId="0">
      <protection locked="0"/>
    </xf>
    <xf numFmtId="169" fontId="141" fillId="0" borderId="0">
      <protection locked="0"/>
    </xf>
    <xf numFmtId="171" fontId="138" fillId="0" borderId="0">
      <protection locked="0"/>
    </xf>
    <xf numFmtId="169" fontId="142" fillId="0" borderId="0">
      <protection locked="0"/>
    </xf>
    <xf numFmtId="169" fontId="142" fillId="0" borderId="0">
      <protection locked="0"/>
    </xf>
    <xf numFmtId="0" fontId="143" fillId="39" borderId="0" applyNumberFormat="0" applyBorder="0" applyAlignment="0" applyProtection="0"/>
    <xf numFmtId="172" fontId="94" fillId="0" borderId="0" applyFont="0" applyFill="0" applyBorder="0" applyAlignment="0" applyProtection="0"/>
    <xf numFmtId="0" fontId="144" fillId="58" borderId="0" applyNumberFormat="0" applyBorder="0" applyAlignment="0" applyProtection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94" fillId="0" borderId="0"/>
    <xf numFmtId="0" fontId="94" fillId="0" borderId="0"/>
    <xf numFmtId="0" fontId="94" fillId="0" borderId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4" fillId="0" borderId="0"/>
    <xf numFmtId="0" fontId="94" fillId="0" borderId="0"/>
    <xf numFmtId="0" fontId="94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31" fillId="3" borderId="0" applyBorder="0"/>
    <xf numFmtId="0" fontId="94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173" fontId="138" fillId="0" borderId="0">
      <protection locked="0"/>
    </xf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0" fontId="145" fillId="52" borderId="57" applyNumberFormat="0" applyAlignment="0" applyProtection="0"/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8" fillId="0" borderId="58" applyNumberFormat="0" applyFill="0" applyAlignment="0" applyProtection="0"/>
    <xf numFmtId="0" fontId="149" fillId="0" borderId="59" applyNumberFormat="0" applyFill="0" applyAlignment="0" applyProtection="0"/>
    <xf numFmtId="0" fontId="139" fillId="0" borderId="60" applyNumberFormat="0" applyFill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61" applyNumberFormat="0" applyFill="0" applyAlignment="0" applyProtection="0"/>
    <xf numFmtId="0" fontId="152" fillId="0" borderId="0"/>
    <xf numFmtId="0" fontId="9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2" fillId="0" borderId="0"/>
    <xf numFmtId="0" fontId="10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02" fillId="0" borderId="0"/>
    <xf numFmtId="0" fontId="102" fillId="0" borderId="0"/>
    <xf numFmtId="0" fontId="10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35" fillId="52" borderId="53" applyNumberFormat="0" applyAlignment="0" applyProtection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35" fillId="52" borderId="53" applyNumberFormat="0" applyAlignment="0" applyProtection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35" fillId="52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0" fontId="140" fillId="43" borderId="53" applyNumberFormat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170" fontId="94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31" fillId="3" borderId="0" applyBorder="0"/>
    <xf numFmtId="0" fontId="131" fillId="3" borderId="0" applyBorder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94" fillId="0" borderId="0"/>
    <xf numFmtId="0" fontId="132" fillId="0" borderId="0"/>
    <xf numFmtId="0" fontId="132" fillId="0" borderId="0"/>
    <xf numFmtId="0" fontId="13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131" fillId="3" borderId="0" applyBorder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94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0" fontId="132" fillId="59" borderId="56" applyNumberFormat="0" applyFont="0" applyAlignment="0" applyProtection="0"/>
    <xf numFmtId="9" fontId="94" fillId="0" borderId="0" applyFont="0" applyFill="0" applyBorder="0" applyAlignment="0" applyProtection="0"/>
    <xf numFmtId="0" fontId="139" fillId="0" borderId="62" applyNumberFormat="0" applyFill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45" fillId="52" borderId="57" applyNumberFormat="0" applyAlignment="0" applyProtection="0"/>
    <xf numFmtId="0" fontId="139" fillId="0" borderId="60" applyNumberFormat="0" applyFill="0" applyAlignment="0" applyProtection="0"/>
    <xf numFmtId="0" fontId="139" fillId="0" borderId="60" applyNumberFormat="0" applyFill="0" applyAlignment="0" applyProtection="0"/>
    <xf numFmtId="0" fontId="139" fillId="0" borderId="60" applyNumberFormat="0" applyFill="0" applyAlignment="0" applyProtection="0"/>
    <xf numFmtId="0" fontId="139" fillId="0" borderId="60" applyNumberFormat="0" applyFill="0" applyAlignment="0" applyProtection="0"/>
    <xf numFmtId="0" fontId="139" fillId="0" borderId="60" applyNumberFormat="0" applyFill="0" applyAlignment="0" applyProtection="0"/>
    <xf numFmtId="0" fontId="139" fillId="0" borderId="60" applyNumberFormat="0" applyFill="0" applyAlignment="0" applyProtection="0"/>
    <xf numFmtId="0" fontId="139" fillId="0" borderId="60" applyNumberFormat="0" applyFill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51" fillId="0" borderId="61" applyNumberFormat="0" applyFill="0" applyAlignment="0" applyProtection="0"/>
    <xf numFmtId="0" fontId="113" fillId="0" borderId="0"/>
    <xf numFmtId="0" fontId="113" fillId="0" borderId="0"/>
    <xf numFmtId="0" fontId="113" fillId="0" borderId="0"/>
    <xf numFmtId="0" fontId="113" fillId="0" borderId="0"/>
    <xf numFmtId="0" fontId="102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02" fillId="0" borderId="0"/>
    <xf numFmtId="0" fontId="89" fillId="0" borderId="0"/>
    <xf numFmtId="0" fontId="113" fillId="0" borderId="0"/>
    <xf numFmtId="0" fontId="113" fillId="0" borderId="0"/>
    <xf numFmtId="0" fontId="102" fillId="0" borderId="0"/>
    <xf numFmtId="0" fontId="140" fillId="43" borderId="63" applyNumberFormat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35" fillId="52" borderId="63" applyNumberFormat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94" fillId="59" borderId="64" applyNumberFormat="0" applyFont="0" applyAlignment="0" applyProtection="0"/>
    <xf numFmtId="0" fontId="132" fillId="59" borderId="64" applyNumberFormat="0" applyFont="0" applyAlignment="0" applyProtection="0"/>
    <xf numFmtId="0" fontId="132" fillId="59" borderId="64" applyNumberFormat="0" applyFont="0" applyAlignment="0" applyProtection="0"/>
    <xf numFmtId="0" fontId="145" fillId="52" borderId="65" applyNumberFormat="0" applyAlignment="0" applyProtection="0"/>
    <xf numFmtId="0" fontId="139" fillId="0" borderId="66" applyNumberFormat="0" applyFill="0" applyAlignment="0" applyProtection="0"/>
    <xf numFmtId="0" fontId="151" fillId="0" borderId="67" applyNumberFormat="0" applyFill="0" applyAlignment="0" applyProtection="0"/>
    <xf numFmtId="0" fontId="88" fillId="0" borderId="0"/>
    <xf numFmtId="0" fontId="154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3" fillId="0" borderId="0"/>
    <xf numFmtId="0" fontId="155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15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71" fillId="0" borderId="0"/>
    <xf numFmtId="0" fontId="71" fillId="0" borderId="0"/>
    <xf numFmtId="0" fontId="70" fillId="0" borderId="0"/>
    <xf numFmtId="0" fontId="69" fillId="0" borderId="0"/>
    <xf numFmtId="0" fontId="68" fillId="0" borderId="0"/>
    <xf numFmtId="0" fontId="67" fillId="0" borderId="0"/>
    <xf numFmtId="0" fontId="67" fillId="0" borderId="0"/>
    <xf numFmtId="0" fontId="158" fillId="0" borderId="0"/>
    <xf numFmtId="0" fontId="66" fillId="0" borderId="0"/>
    <xf numFmtId="0" fontId="158" fillId="0" borderId="0"/>
    <xf numFmtId="0" fontId="158" fillId="0" borderId="0"/>
    <xf numFmtId="0" fontId="158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164" fontId="94" fillId="0" borderId="0" applyFont="0" applyFill="0" applyBorder="0" applyAlignment="0" applyProtection="0"/>
    <xf numFmtId="0" fontId="158" fillId="0" borderId="0"/>
    <xf numFmtId="0" fontId="64" fillId="0" borderId="0"/>
    <xf numFmtId="0" fontId="158" fillId="0" borderId="0"/>
    <xf numFmtId="0" fontId="158" fillId="0" borderId="0"/>
    <xf numFmtId="0" fontId="158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58" fillId="0" borderId="0"/>
    <xf numFmtId="0" fontId="158" fillId="0" borderId="0"/>
    <xf numFmtId="0" fontId="158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61" fillId="0" borderId="0"/>
    <xf numFmtId="0" fontId="159" fillId="0" borderId="0"/>
    <xf numFmtId="0" fontId="60" fillId="0" borderId="0"/>
    <xf numFmtId="0" fontId="159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74" fontId="94" fillId="0" borderId="0" applyFont="0" applyFill="0" applyBorder="0" applyAlignment="0" applyProtection="0"/>
    <xf numFmtId="0" fontId="94" fillId="0" borderId="0" applyProtection="0">
      <protection locked="0"/>
    </xf>
    <xf numFmtId="0" fontId="56" fillId="0" borderId="0"/>
    <xf numFmtId="0" fontId="55" fillId="0" borderId="0"/>
    <xf numFmtId="0" fontId="55" fillId="0" borderId="0"/>
    <xf numFmtId="0" fontId="55" fillId="0" borderId="0"/>
    <xf numFmtId="0" fontId="162" fillId="0" borderId="0"/>
    <xf numFmtId="0" fontId="55" fillId="0" borderId="0"/>
    <xf numFmtId="0" fontId="162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163" fillId="0" borderId="0"/>
    <xf numFmtId="0" fontId="54" fillId="0" borderId="0"/>
    <xf numFmtId="0" fontId="163" fillId="0" borderId="0"/>
    <xf numFmtId="0" fontId="163" fillId="0" borderId="0"/>
    <xf numFmtId="0" fontId="163" fillId="0" borderId="0"/>
    <xf numFmtId="0" fontId="16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66" fillId="0" borderId="0"/>
    <xf numFmtId="0" fontId="166" fillId="0" borderId="0"/>
    <xf numFmtId="0" fontId="166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9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4" fontId="94" fillId="0" borderId="0" applyFont="0" applyFill="0" applyBorder="0" applyAlignment="0" applyProtection="0"/>
    <xf numFmtId="0" fontId="41" fillId="0" borderId="0"/>
    <xf numFmtId="175" fontId="94" fillId="0" borderId="0" applyFont="0" applyFill="0" applyBorder="0" applyAlignment="0" applyProtection="0"/>
    <xf numFmtId="176" fontId="94" fillId="0" borderId="0" applyFont="0" applyFill="0" applyBorder="0" applyAlignment="0" applyProtection="0"/>
    <xf numFmtId="0" fontId="41" fillId="0" borderId="0"/>
    <xf numFmtId="0" fontId="40" fillId="0" borderId="0"/>
    <xf numFmtId="0" fontId="40" fillId="0" borderId="0"/>
    <xf numFmtId="0" fontId="40" fillId="0" borderId="0"/>
    <xf numFmtId="0" fontId="166" fillId="0" borderId="0"/>
    <xf numFmtId="0" fontId="40" fillId="0" borderId="0"/>
    <xf numFmtId="0" fontId="166" fillId="0" borderId="0"/>
    <xf numFmtId="0" fontId="166" fillId="0" borderId="0"/>
    <xf numFmtId="0" fontId="16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68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68" fillId="0" borderId="0"/>
    <xf numFmtId="0" fontId="33" fillId="0" borderId="0"/>
    <xf numFmtId="0" fontId="168" fillId="0" borderId="0"/>
    <xf numFmtId="0" fontId="168" fillId="0" borderId="0"/>
    <xf numFmtId="0" fontId="16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169" fillId="0" borderId="0"/>
    <xf numFmtId="0" fontId="169" fillId="0" borderId="0"/>
    <xf numFmtId="0" fontId="16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25" fillId="0" borderId="0"/>
    <xf numFmtId="0" fontId="169" fillId="0" borderId="0"/>
    <xf numFmtId="0" fontId="25" fillId="0" borderId="0"/>
    <xf numFmtId="0" fontId="25" fillId="0" borderId="0"/>
    <xf numFmtId="0" fontId="25" fillId="0" borderId="0"/>
    <xf numFmtId="0" fontId="169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4" fillId="0" borderId="0"/>
    <xf numFmtId="164" fontId="94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4" fontId="94" fillId="0" borderId="0" applyFont="0" applyFill="0" applyBorder="0" applyAlignment="0" applyProtection="0"/>
    <xf numFmtId="0" fontId="21" fillId="0" borderId="0"/>
    <xf numFmtId="0" fontId="21" fillId="0" borderId="0"/>
    <xf numFmtId="0" fontId="20" fillId="0" borderId="0"/>
    <xf numFmtId="0" fontId="20" fillId="0" borderId="0"/>
    <xf numFmtId="179" fontId="94" fillId="0" borderId="0" applyFont="0" applyFill="0" applyBorder="0" applyAlignment="0" applyProtection="0"/>
    <xf numFmtId="179" fontId="94" fillId="0" borderId="0" applyFont="0" applyFill="0" applyBorder="0" applyAlignment="0" applyProtection="0"/>
    <xf numFmtId="179" fontId="94" fillId="0" borderId="0" applyFont="0" applyFill="0" applyBorder="0" applyAlignment="0" applyProtection="0"/>
    <xf numFmtId="178" fontId="171" fillId="0" borderId="0" applyFont="0" applyFill="0" applyBorder="0" applyAlignment="0" applyProtection="0"/>
    <xf numFmtId="0" fontId="20" fillId="0" borderId="0"/>
    <xf numFmtId="0" fontId="94" fillId="0" borderId="0" applyProtection="0">
      <protection locked="0"/>
    </xf>
    <xf numFmtId="0" fontId="94" fillId="0" borderId="0" applyProtection="0">
      <protection locked="0"/>
    </xf>
    <xf numFmtId="0" fontId="172" fillId="0" borderId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94" fillId="0" borderId="0" applyProtection="0">
      <protection locked="0"/>
    </xf>
    <xf numFmtId="0" fontId="94" fillId="0" borderId="0" applyProtection="0">
      <protection locked="0"/>
    </xf>
    <xf numFmtId="179" fontId="94" fillId="0" borderId="0" applyFont="0" applyFill="0" applyBorder="0" applyAlignment="0" applyProtection="0">
      <protection locked="0"/>
    </xf>
    <xf numFmtId="0" fontId="94" fillId="0" borderId="0" applyProtection="0">
      <protection locked="0"/>
    </xf>
    <xf numFmtId="0" fontId="94" fillId="0" borderId="0" applyProtection="0">
      <protection locked="0"/>
    </xf>
    <xf numFmtId="0" fontId="94" fillId="0" borderId="0"/>
    <xf numFmtId="164" fontId="20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132" fillId="0" borderId="0"/>
    <xf numFmtId="178" fontId="171" fillId="0" borderId="0" applyFont="0" applyFill="0" applyBorder="0" applyAlignment="0" applyProtection="0"/>
    <xf numFmtId="178" fontId="171" fillId="0" borderId="0" applyFont="0" applyFill="0" applyBorder="0" applyAlignment="0" applyProtection="0"/>
    <xf numFmtId="178" fontId="17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94" fillId="0" borderId="0" applyProtection="0">
      <protection locked="0"/>
    </xf>
    <xf numFmtId="0" fontId="94" fillId="0" borderId="0"/>
    <xf numFmtId="0" fontId="19" fillId="0" borderId="0"/>
    <xf numFmtId="176" fontId="94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94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6" fillId="0" borderId="0"/>
    <xf numFmtId="164" fontId="94" fillId="0" borderId="0" applyFont="0" applyFill="0" applyBorder="0" applyAlignment="0" applyProtection="0"/>
    <xf numFmtId="0" fontId="15" fillId="0" borderId="0"/>
    <xf numFmtId="164" fontId="131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94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77" fillId="0" borderId="0"/>
    <xf numFmtId="0" fontId="10" fillId="0" borderId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7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6">
    <xf numFmtId="0" fontId="0" fillId="0" borderId="0" xfId="0"/>
    <xf numFmtId="0" fontId="96" fillId="0" borderId="0" xfId="0" applyFont="1"/>
    <xf numFmtId="0" fontId="97" fillId="2" borderId="0" xfId="0" applyFont="1" applyFill="1"/>
    <xf numFmtId="0" fontId="96" fillId="0" borderId="0" xfId="0" applyFont="1" applyAlignment="1">
      <alignment vertical="center"/>
    </xf>
    <xf numFmtId="0" fontId="98" fillId="0" borderId="0" xfId="0" applyFont="1"/>
    <xf numFmtId="166" fontId="95" fillId="0" borderId="1" xfId="1" applyNumberFormat="1" applyFont="1" applyBorder="1" applyAlignment="1">
      <alignment horizontal="center"/>
    </xf>
    <xf numFmtId="0" fontId="97" fillId="0" borderId="1" xfId="0" applyFont="1" applyBorder="1" applyAlignment="1">
      <alignment horizontal="center"/>
    </xf>
    <xf numFmtId="165" fontId="97" fillId="0" borderId="0" xfId="1" applyFont="1"/>
    <xf numFmtId="1" fontId="99" fillId="0" borderId="0" xfId="0" applyNumberFormat="1" applyFont="1" applyAlignment="1">
      <alignment horizontal="center"/>
    </xf>
    <xf numFmtId="0" fontId="97" fillId="4" borderId="2" xfId="0" applyFont="1" applyFill="1" applyBorder="1" applyAlignment="1">
      <alignment horizontal="center"/>
    </xf>
    <xf numFmtId="1" fontId="97" fillId="0" borderId="2" xfId="0" applyNumberFormat="1" applyFont="1" applyBorder="1" applyAlignment="1">
      <alignment horizontal="center"/>
    </xf>
    <xf numFmtId="0" fontId="97" fillId="0" borderId="3" xfId="0" applyFont="1" applyBorder="1" applyAlignment="1">
      <alignment horizontal="center"/>
    </xf>
    <xf numFmtId="0" fontId="97" fillId="4" borderId="4" xfId="0" applyFont="1" applyFill="1" applyBorder="1" applyAlignment="1">
      <alignment horizontal="center"/>
    </xf>
    <xf numFmtId="0" fontId="97" fillId="0" borderId="2" xfId="0" applyFont="1" applyBorder="1" applyAlignment="1">
      <alignment horizontal="center"/>
    </xf>
    <xf numFmtId="0" fontId="94" fillId="0" borderId="0" xfId="0" applyFont="1"/>
    <xf numFmtId="165" fontId="97" fillId="5" borderId="0" xfId="1" applyFont="1" applyFill="1"/>
    <xf numFmtId="0" fontId="103" fillId="2" borderId="5" xfId="0" applyFont="1" applyFill="1" applyBorder="1" applyAlignment="1">
      <alignment vertical="center"/>
    </xf>
    <xf numFmtId="0" fontId="105" fillId="2" borderId="6" xfId="0" applyFont="1" applyFill="1" applyBorder="1"/>
    <xf numFmtId="0" fontId="97" fillId="0" borderId="0" xfId="0" applyFont="1"/>
    <xf numFmtId="0" fontId="97" fillId="3" borderId="0" xfId="0" applyFont="1" applyFill="1"/>
    <xf numFmtId="164" fontId="97" fillId="0" borderId="0" xfId="0" applyNumberFormat="1" applyFont="1"/>
    <xf numFmtId="166" fontId="106" fillId="6" borderId="7" xfId="1" applyNumberFormat="1" applyFont="1" applyFill="1" applyBorder="1"/>
    <xf numFmtId="166" fontId="97" fillId="0" borderId="2" xfId="1" applyNumberFormat="1" applyFont="1" applyBorder="1" applyAlignment="1">
      <alignment horizontal="center"/>
    </xf>
    <xf numFmtId="0" fontId="97" fillId="4" borderId="0" xfId="0" applyFont="1" applyFill="1"/>
    <xf numFmtId="1" fontId="100" fillId="8" borderId="6" xfId="0" applyNumberFormat="1" applyFont="1" applyFill="1" applyBorder="1" applyAlignment="1">
      <alignment horizontal="center"/>
    </xf>
    <xf numFmtId="0" fontId="109" fillId="2" borderId="0" xfId="0" applyFont="1" applyFill="1"/>
    <xf numFmtId="0" fontId="101" fillId="0" borderId="9" xfId="0" applyFont="1" applyBorder="1"/>
    <xf numFmtId="0" fontId="101" fillId="4" borderId="0" xfId="0" applyFont="1" applyFill="1"/>
    <xf numFmtId="1" fontId="101" fillId="0" borderId="0" xfId="0" applyNumberFormat="1" applyFont="1"/>
    <xf numFmtId="0" fontId="101" fillId="0" borderId="0" xfId="0" applyFont="1"/>
    <xf numFmtId="1" fontId="97" fillId="0" borderId="0" xfId="0" applyNumberFormat="1" applyFont="1"/>
    <xf numFmtId="0" fontId="97" fillId="0" borderId="6" xfId="0" applyFont="1" applyBorder="1"/>
    <xf numFmtId="0" fontId="109" fillId="0" borderId="0" xfId="0" applyFont="1"/>
    <xf numFmtId="166" fontId="109" fillId="0" borderId="0" xfId="1" applyNumberFormat="1" applyFont="1"/>
    <xf numFmtId="0" fontId="103" fillId="2" borderId="0" xfId="0" applyFont="1" applyFill="1" applyAlignment="1">
      <alignment vertical="center"/>
    </xf>
    <xf numFmtId="1" fontId="114" fillId="4" borderId="9" xfId="0" applyNumberFormat="1" applyFont="1" applyFill="1" applyBorder="1" applyAlignment="1">
      <alignment horizontal="center" vertical="center"/>
    </xf>
    <xf numFmtId="1" fontId="115" fillId="4" borderId="9" xfId="0" applyNumberFormat="1" applyFont="1" applyFill="1" applyBorder="1" applyAlignment="1">
      <alignment horizontal="center" vertical="center"/>
    </xf>
    <xf numFmtId="0" fontId="108" fillId="0" borderId="9" xfId="0" applyFont="1" applyBorder="1"/>
    <xf numFmtId="0" fontId="97" fillId="0" borderId="11" xfId="0" applyFont="1" applyBorder="1"/>
    <xf numFmtId="0" fontId="97" fillId="2" borderId="5" xfId="0" applyFont="1" applyFill="1" applyBorder="1"/>
    <xf numFmtId="0" fontId="97" fillId="0" borderId="4" xfId="0" applyFont="1" applyBorder="1"/>
    <xf numFmtId="0" fontId="97" fillId="0" borderId="13" xfId="0" applyFont="1" applyBorder="1"/>
    <xf numFmtId="1" fontId="97" fillId="11" borderId="14" xfId="0" applyNumberFormat="1" applyFont="1" applyFill="1" applyBorder="1" applyAlignment="1">
      <alignment horizontal="center"/>
    </xf>
    <xf numFmtId="1" fontId="97" fillId="11" borderId="15" xfId="0" applyNumberFormat="1" applyFont="1" applyFill="1" applyBorder="1" applyAlignment="1">
      <alignment horizontal="center"/>
    </xf>
    <xf numFmtId="1" fontId="97" fillId="11" borderId="10" xfId="0" applyNumberFormat="1" applyFont="1" applyFill="1" applyBorder="1" applyAlignment="1">
      <alignment horizontal="center"/>
    </xf>
    <xf numFmtId="1" fontId="97" fillId="0" borderId="14" xfId="0" applyNumberFormat="1" applyFont="1" applyBorder="1" applyAlignment="1">
      <alignment horizontal="center"/>
    </xf>
    <xf numFmtId="0" fontId="118" fillId="0" borderId="16" xfId="0" applyFont="1" applyBorder="1" applyAlignment="1">
      <alignment horizontal="center"/>
    </xf>
    <xf numFmtId="1" fontId="97" fillId="4" borderId="2" xfId="0" applyNumberFormat="1" applyFont="1" applyFill="1" applyBorder="1" applyAlignment="1">
      <alignment horizontal="center"/>
    </xf>
    <xf numFmtId="166" fontId="97" fillId="4" borderId="3" xfId="1" applyNumberFormat="1" applyFont="1" applyFill="1" applyBorder="1" applyAlignment="1">
      <alignment horizontal="center"/>
    </xf>
    <xf numFmtId="3" fontId="97" fillId="4" borderId="4" xfId="0" applyNumberFormat="1" applyFont="1" applyFill="1" applyBorder="1" applyAlignment="1">
      <alignment horizontal="center"/>
    </xf>
    <xf numFmtId="3" fontId="97" fillId="3" borderId="2" xfId="0" applyNumberFormat="1" applyFont="1" applyFill="1" applyBorder="1" applyAlignment="1">
      <alignment horizontal="center"/>
    </xf>
    <xf numFmtId="3" fontId="97" fillId="4" borderId="20" xfId="0" applyNumberFormat="1" applyFont="1" applyFill="1" applyBorder="1" applyAlignment="1">
      <alignment horizontal="center"/>
    </xf>
    <xf numFmtId="2" fontId="97" fillId="0" borderId="2" xfId="1" applyNumberFormat="1" applyFont="1" applyBorder="1" applyAlignment="1">
      <alignment horizontal="center"/>
    </xf>
    <xf numFmtId="2" fontId="97" fillId="0" borderId="0" xfId="1" applyNumberFormat="1" applyFont="1" applyAlignment="1">
      <alignment horizontal="center"/>
    </xf>
    <xf numFmtId="2" fontId="97" fillId="0" borderId="2" xfId="0" applyNumberFormat="1" applyFont="1" applyBorder="1" applyAlignment="1">
      <alignment horizontal="center"/>
    </xf>
    <xf numFmtId="166" fontId="97" fillId="0" borderId="0" xfId="1" applyNumberFormat="1" applyFont="1"/>
    <xf numFmtId="0" fontId="102" fillId="0" borderId="0" xfId="0" applyFont="1"/>
    <xf numFmtId="0" fontId="105" fillId="2" borderId="0" xfId="0" applyFont="1" applyFill="1"/>
    <xf numFmtId="0" fontId="105" fillId="0" borderId="0" xfId="0" applyFont="1"/>
    <xf numFmtId="165" fontId="95" fillId="5" borderId="0" xfId="1" applyFont="1" applyFill="1"/>
    <xf numFmtId="0" fontId="95" fillId="0" borderId="0" xfId="0" applyFont="1"/>
    <xf numFmtId="0" fontId="102" fillId="0" borderId="22" xfId="0" applyFont="1" applyBorder="1"/>
    <xf numFmtId="0" fontId="102" fillId="2" borderId="23" xfId="0" applyFont="1" applyFill="1" applyBorder="1"/>
    <xf numFmtId="165" fontId="102" fillId="0" borderId="0" xfId="1" applyFont="1"/>
    <xf numFmtId="0" fontId="109" fillId="0" borderId="21" xfId="0" applyFont="1" applyBorder="1"/>
    <xf numFmtId="0" fontId="111" fillId="0" borderId="9" xfId="0" applyFont="1" applyBorder="1"/>
    <xf numFmtId="0" fontId="111" fillId="0" borderId="0" xfId="0" applyFont="1"/>
    <xf numFmtId="0" fontId="111" fillId="0" borderId="23" xfId="0" applyFont="1" applyBorder="1"/>
    <xf numFmtId="0" fontId="111" fillId="0" borderId="24" xfId="0" applyFont="1" applyBorder="1"/>
    <xf numFmtId="0" fontId="112" fillId="3" borderId="1" xfId="0" applyFont="1" applyFill="1" applyBorder="1" applyAlignment="1">
      <alignment horizontal="center" vertical="center"/>
    </xf>
    <xf numFmtId="0" fontId="95" fillId="3" borderId="1" xfId="0" applyFont="1" applyFill="1" applyBorder="1" applyAlignment="1">
      <alignment horizontal="center" vertical="center"/>
    </xf>
    <xf numFmtId="0" fontId="97" fillId="14" borderId="19" xfId="0" applyFont="1" applyFill="1" applyBorder="1" applyAlignment="1">
      <alignment horizontal="center"/>
    </xf>
    <xf numFmtId="0" fontId="97" fillId="6" borderId="17" xfId="0" applyFont="1" applyFill="1" applyBorder="1" applyAlignment="1">
      <alignment horizontal="center"/>
    </xf>
    <xf numFmtId="0" fontId="95" fillId="0" borderId="17" xfId="0" applyFont="1" applyBorder="1" applyAlignment="1">
      <alignment horizontal="center"/>
    </xf>
    <xf numFmtId="0" fontId="95" fillId="0" borderId="0" xfId="0" applyFont="1" applyAlignment="1">
      <alignment horizontal="center"/>
    </xf>
    <xf numFmtId="0" fontId="112" fillId="0" borderId="1" xfId="0" applyFont="1" applyBorder="1" applyAlignment="1">
      <alignment horizontal="center"/>
    </xf>
    <xf numFmtId="0" fontId="97" fillId="14" borderId="8" xfId="0" applyFont="1" applyFill="1" applyBorder="1" applyAlignment="1">
      <alignment horizontal="center"/>
    </xf>
    <xf numFmtId="0" fontId="97" fillId="6" borderId="8" xfId="0" applyFont="1" applyFill="1" applyBorder="1" applyAlignment="1">
      <alignment horizontal="center"/>
    </xf>
    <xf numFmtId="0" fontId="97" fillId="0" borderId="8" xfId="0" applyFont="1" applyBorder="1" applyAlignment="1">
      <alignment horizontal="center"/>
    </xf>
    <xf numFmtId="0" fontId="97" fillId="0" borderId="14" xfId="0" applyFont="1" applyBorder="1" applyAlignment="1">
      <alignment horizontal="center"/>
    </xf>
    <xf numFmtId="0" fontId="97" fillId="0" borderId="0" xfId="0" applyFont="1" applyAlignment="1">
      <alignment horizontal="center"/>
    </xf>
    <xf numFmtId="166" fontId="97" fillId="0" borderId="25" xfId="1" applyNumberFormat="1" applyFont="1" applyBorder="1" applyAlignment="1">
      <alignment horizontal="center"/>
    </xf>
    <xf numFmtId="3" fontId="115" fillId="4" borderId="7" xfId="1" applyNumberFormat="1" applyFont="1" applyFill="1" applyBorder="1" applyAlignment="1">
      <alignment horizontal="right"/>
    </xf>
    <xf numFmtId="166" fontId="97" fillId="0" borderId="7" xfId="1" applyNumberFormat="1" applyFont="1" applyBorder="1" applyAlignment="1">
      <alignment horizontal="center"/>
    </xf>
    <xf numFmtId="166" fontId="123" fillId="0" borderId="7" xfId="1" applyNumberFormat="1" applyFont="1" applyBorder="1" applyAlignment="1">
      <alignment horizontal="center"/>
    </xf>
    <xf numFmtId="0" fontId="97" fillId="0" borderId="27" xfId="0" applyFont="1" applyBorder="1"/>
    <xf numFmtId="0" fontId="97" fillId="0" borderId="28" xfId="0" applyFont="1" applyBorder="1"/>
    <xf numFmtId="3" fontId="97" fillId="0" borderId="28" xfId="0" applyNumberFormat="1" applyFont="1" applyBorder="1"/>
    <xf numFmtId="0" fontId="95" fillId="0" borderId="29" xfId="0" applyFont="1" applyBorder="1"/>
    <xf numFmtId="0" fontId="124" fillId="0" borderId="28" xfId="0" applyFont="1" applyBorder="1"/>
    <xf numFmtId="164" fontId="94" fillId="0" borderId="0" xfId="0" applyNumberFormat="1" applyFont="1"/>
    <xf numFmtId="166" fontId="106" fillId="6" borderId="30" xfId="0" applyNumberFormat="1" applyFont="1" applyFill="1" applyBorder="1" applyAlignment="1">
      <alignment horizontal="right"/>
    </xf>
    <xf numFmtId="166" fontId="122" fillId="0" borderId="7" xfId="1" applyNumberFormat="1" applyFont="1" applyBorder="1" applyAlignment="1">
      <alignment horizontal="right"/>
    </xf>
    <xf numFmtId="166" fontId="106" fillId="6" borderId="30" xfId="0" applyNumberFormat="1" applyFont="1" applyFill="1" applyBorder="1"/>
    <xf numFmtId="0" fontId="97" fillId="4" borderId="0" xfId="0" applyFont="1" applyFill="1" applyAlignment="1">
      <alignment horizontal="center"/>
    </xf>
    <xf numFmtId="0" fontId="95" fillId="4" borderId="0" xfId="0" applyFont="1" applyFill="1" applyAlignment="1">
      <alignment horizontal="center"/>
    </xf>
    <xf numFmtId="166" fontId="97" fillId="4" borderId="0" xfId="1" applyNumberFormat="1" applyFont="1" applyFill="1" applyAlignment="1">
      <alignment horizontal="center"/>
    </xf>
    <xf numFmtId="166" fontId="106" fillId="4" borderId="0" xfId="1" applyNumberFormat="1" applyFont="1" applyFill="1"/>
    <xf numFmtId="1" fontId="122" fillId="4" borderId="0" xfId="0" applyNumberFormat="1" applyFont="1" applyFill="1" applyAlignment="1">
      <alignment horizontal="center"/>
    </xf>
    <xf numFmtId="1" fontId="122" fillId="4" borderId="0" xfId="1" applyNumberFormat="1" applyFont="1" applyFill="1" applyAlignment="1">
      <alignment horizontal="center"/>
    </xf>
    <xf numFmtId="0" fontId="97" fillId="4" borderId="28" xfId="0" applyFont="1" applyFill="1" applyBorder="1"/>
    <xf numFmtId="166" fontId="106" fillId="4" borderId="28" xfId="0" applyNumberFormat="1" applyFont="1" applyFill="1" applyBorder="1"/>
    <xf numFmtId="165" fontId="126" fillId="0" borderId="0" xfId="1" applyFont="1"/>
    <xf numFmtId="0" fontId="127" fillId="16" borderId="14" xfId="0" applyFont="1" applyFill="1" applyBorder="1" applyAlignment="1">
      <alignment horizontal="center"/>
    </xf>
    <xf numFmtId="0" fontId="127" fillId="17" borderId="17" xfId="0" applyFont="1" applyFill="1" applyBorder="1" applyAlignment="1">
      <alignment horizontal="center"/>
    </xf>
    <xf numFmtId="0" fontId="97" fillId="18" borderId="17" xfId="0" applyFont="1" applyFill="1" applyBorder="1" applyAlignment="1">
      <alignment horizontal="center"/>
    </xf>
    <xf numFmtId="0" fontId="97" fillId="18" borderId="8" xfId="0" applyFont="1" applyFill="1" applyBorder="1" applyAlignment="1">
      <alignment horizontal="center"/>
    </xf>
    <xf numFmtId="166" fontId="106" fillId="18" borderId="7" xfId="1" applyNumberFormat="1" applyFont="1" applyFill="1" applyBorder="1"/>
    <xf numFmtId="166" fontId="106" fillId="18" borderId="30" xfId="0" applyNumberFormat="1" applyFont="1" applyFill="1" applyBorder="1"/>
    <xf numFmtId="166" fontId="106" fillId="18" borderId="7" xfId="1" applyNumberFormat="1" applyFont="1" applyFill="1" applyBorder="1" applyAlignment="1">
      <alignment horizontal="center"/>
    </xf>
    <xf numFmtId="166" fontId="97" fillId="11" borderId="14" xfId="1" applyNumberFormat="1" applyFont="1" applyFill="1" applyBorder="1" applyAlignment="1">
      <alignment horizontal="center"/>
    </xf>
    <xf numFmtId="0" fontId="128" fillId="10" borderId="14" xfId="0" applyFont="1" applyFill="1" applyBorder="1" applyAlignment="1">
      <alignment horizontal="center"/>
    </xf>
    <xf numFmtId="0" fontId="112" fillId="20" borderId="20" xfId="0" applyFont="1" applyFill="1" applyBorder="1" applyAlignment="1">
      <alignment horizontal="center" vertical="center"/>
    </xf>
    <xf numFmtId="0" fontId="125" fillId="21" borderId="20" xfId="0" applyFont="1" applyFill="1" applyBorder="1" applyAlignment="1">
      <alignment horizontal="center" vertical="center"/>
    </xf>
    <xf numFmtId="0" fontId="125" fillId="22" borderId="20" xfId="0" applyFont="1" applyFill="1" applyBorder="1" applyAlignment="1">
      <alignment horizontal="center" vertical="center"/>
    </xf>
    <xf numFmtId="0" fontId="119" fillId="23" borderId="4" xfId="0" applyFont="1" applyFill="1" applyBorder="1" applyAlignment="1">
      <alignment horizontal="center"/>
    </xf>
    <xf numFmtId="0" fontId="120" fillId="23" borderId="9" xfId="0" applyFont="1" applyFill="1" applyBorder="1"/>
    <xf numFmtId="0" fontId="97" fillId="2" borderId="28" xfId="0" applyFont="1" applyFill="1" applyBorder="1"/>
    <xf numFmtId="2" fontId="97" fillId="0" borderId="28" xfId="1" applyNumberFormat="1" applyFont="1" applyBorder="1" applyAlignment="1">
      <alignment horizontal="center"/>
    </xf>
    <xf numFmtId="2" fontId="97" fillId="0" borderId="31" xfId="0" applyNumberFormat="1" applyFont="1" applyBorder="1" applyAlignment="1">
      <alignment horizontal="center"/>
    </xf>
    <xf numFmtId="2" fontId="97" fillId="0" borderId="31" xfId="1" applyNumberFormat="1" applyFont="1" applyBorder="1" applyAlignment="1">
      <alignment horizontal="center"/>
    </xf>
    <xf numFmtId="10" fontId="129" fillId="24" borderId="17" xfId="0" applyNumberFormat="1" applyFont="1" applyFill="1" applyBorder="1" applyAlignment="1">
      <alignment horizontal="center" vertical="center" wrapText="1"/>
    </xf>
    <xf numFmtId="0" fontId="97" fillId="0" borderId="36" xfId="0" applyFont="1" applyBorder="1" applyAlignment="1">
      <alignment horizontal="center" vertical="center"/>
    </xf>
    <xf numFmtId="0" fontId="97" fillId="0" borderId="37" xfId="0" applyFont="1" applyBorder="1" applyAlignment="1">
      <alignment horizontal="center" vertical="center" wrapText="1"/>
    </xf>
    <xf numFmtId="0" fontId="97" fillId="0" borderId="38" xfId="0" applyFont="1" applyBorder="1" applyAlignment="1">
      <alignment horizontal="center" vertical="center" wrapText="1"/>
    </xf>
    <xf numFmtId="1" fontId="97" fillId="0" borderId="16" xfId="0" applyNumberFormat="1" applyFont="1" applyBorder="1" applyAlignment="1">
      <alignment horizontal="center" vertical="center" wrapText="1"/>
    </xf>
    <xf numFmtId="1" fontId="97" fillId="0" borderId="7" xfId="0" applyNumberFormat="1" applyFont="1" applyBorder="1" applyAlignment="1">
      <alignment horizontal="center" vertical="center" wrapText="1"/>
    </xf>
    <xf numFmtId="1" fontId="97" fillId="0" borderId="39" xfId="0" applyNumberFormat="1" applyFont="1" applyBorder="1" applyAlignment="1">
      <alignment horizontal="center" vertical="center" wrapText="1"/>
    </xf>
    <xf numFmtId="1" fontId="97" fillId="0" borderId="26" xfId="0" applyNumberFormat="1" applyFont="1" applyBorder="1" applyAlignment="1">
      <alignment horizontal="center" vertical="center" wrapText="1"/>
    </xf>
    <xf numFmtId="2" fontId="97" fillId="0" borderId="7" xfId="0" applyNumberFormat="1" applyFont="1" applyBorder="1" applyAlignment="1">
      <alignment horizontal="center" vertical="center" wrapText="1"/>
    </xf>
    <xf numFmtId="1" fontId="97" fillId="0" borderId="35" xfId="0" applyNumberFormat="1" applyFont="1" applyBorder="1" applyAlignment="1">
      <alignment horizontal="center" vertical="center" wrapText="1"/>
    </xf>
    <xf numFmtId="1" fontId="97" fillId="0" borderId="31" xfId="0" applyNumberFormat="1" applyFont="1" applyBorder="1" applyAlignment="1">
      <alignment horizontal="center" vertical="center" wrapText="1"/>
    </xf>
    <xf numFmtId="1" fontId="97" fillId="0" borderId="32" xfId="0" applyNumberFormat="1" applyFont="1" applyBorder="1" applyAlignment="1">
      <alignment horizontal="center" vertical="center" wrapText="1"/>
    </xf>
    <xf numFmtId="1" fontId="97" fillId="0" borderId="33" xfId="0" applyNumberFormat="1" applyFont="1" applyBorder="1" applyAlignment="1">
      <alignment horizontal="center" vertical="center" wrapText="1"/>
    </xf>
    <xf numFmtId="1" fontId="97" fillId="0" borderId="11" xfId="0" applyNumberFormat="1" applyFont="1" applyBorder="1" applyAlignment="1">
      <alignment horizontal="center" vertical="center" wrapText="1"/>
    </xf>
    <xf numFmtId="1" fontId="97" fillId="0" borderId="4" xfId="0" applyNumberFormat="1" applyFont="1" applyBorder="1" applyAlignment="1">
      <alignment horizontal="center" vertical="center" wrapText="1"/>
    </xf>
    <xf numFmtId="2" fontId="97" fillId="0" borderId="31" xfId="0" applyNumberFormat="1" applyFont="1" applyBorder="1" applyAlignment="1">
      <alignment horizontal="center" vertical="center" wrapText="1"/>
    </xf>
    <xf numFmtId="165" fontId="97" fillId="0" borderId="32" xfId="1" applyFont="1" applyBorder="1" applyAlignment="1">
      <alignment horizontal="center" vertical="center" wrapText="1"/>
    </xf>
    <xf numFmtId="165" fontId="97" fillId="0" borderId="39" xfId="1" applyFont="1" applyBorder="1" applyAlignment="1">
      <alignment horizontal="center" vertical="center" wrapText="1"/>
    </xf>
    <xf numFmtId="165" fontId="97" fillId="0" borderId="39" xfId="1" applyFont="1" applyBorder="1" applyAlignment="1">
      <alignment horizontal="center" vertical="center"/>
    </xf>
    <xf numFmtId="165" fontId="97" fillId="0" borderId="32" xfId="1" applyFont="1" applyBorder="1" applyAlignment="1">
      <alignment horizontal="center" vertical="center"/>
    </xf>
    <xf numFmtId="0" fontId="97" fillId="25" borderId="37" xfId="0" applyFont="1" applyFill="1" applyBorder="1" applyAlignment="1">
      <alignment horizontal="center" vertical="center" wrapText="1"/>
    </xf>
    <xf numFmtId="0" fontId="97" fillId="25" borderId="38" xfId="0" applyFont="1" applyFill="1" applyBorder="1" applyAlignment="1">
      <alignment horizontal="center" vertical="center" wrapText="1"/>
    </xf>
    <xf numFmtId="0" fontId="97" fillId="25" borderId="41" xfId="0" applyFont="1" applyFill="1" applyBorder="1" applyAlignment="1">
      <alignment horizontal="center" vertical="center" wrapText="1"/>
    </xf>
    <xf numFmtId="166" fontId="97" fillId="0" borderId="7" xfId="1" applyNumberFormat="1" applyFont="1" applyBorder="1" applyAlignment="1">
      <alignment horizontal="center" vertical="center" wrapText="1"/>
    </xf>
    <xf numFmtId="0" fontId="97" fillId="0" borderId="14" xfId="0" applyFont="1" applyBorder="1" applyAlignment="1">
      <alignment horizontal="center" vertical="center" wrapText="1"/>
    </xf>
    <xf numFmtId="166" fontId="97" fillId="0" borderId="7" xfId="1" applyNumberFormat="1" applyFont="1" applyBorder="1" applyAlignment="1">
      <alignment horizontal="center" vertical="center"/>
    </xf>
    <xf numFmtId="1" fontId="97" fillId="0" borderId="14" xfId="0" applyNumberFormat="1" applyFont="1" applyBorder="1" applyAlignment="1">
      <alignment horizontal="center" vertical="center" wrapText="1"/>
    </xf>
    <xf numFmtId="0" fontId="97" fillId="0" borderId="14" xfId="0" applyFont="1" applyBorder="1" applyAlignment="1">
      <alignment horizontal="center" vertical="center"/>
    </xf>
    <xf numFmtId="0" fontId="97" fillId="0" borderId="8" xfId="0" applyFont="1" applyBorder="1" applyAlignment="1">
      <alignment horizontal="center" vertical="center" wrapText="1"/>
    </xf>
    <xf numFmtId="0" fontId="97" fillId="0" borderId="10" xfId="0" applyFont="1" applyBorder="1" applyAlignment="1">
      <alignment horizontal="center" vertical="center" wrapText="1"/>
    </xf>
    <xf numFmtId="166" fontId="97" fillId="0" borderId="25" xfId="1" applyNumberFormat="1" applyFont="1" applyBorder="1" applyAlignment="1">
      <alignment horizontal="center" vertical="center"/>
    </xf>
    <xf numFmtId="166" fontId="97" fillId="0" borderId="26" xfId="1" applyNumberFormat="1" applyFont="1" applyBorder="1" applyAlignment="1">
      <alignment horizontal="center" vertical="center"/>
    </xf>
    <xf numFmtId="166" fontId="97" fillId="26" borderId="7" xfId="1" applyNumberFormat="1" applyFont="1" applyFill="1" applyBorder="1" applyAlignment="1">
      <alignment horizontal="center" vertical="center"/>
    </xf>
    <xf numFmtId="0" fontId="97" fillId="27" borderId="7" xfId="0" applyFont="1" applyFill="1" applyBorder="1" applyAlignment="1">
      <alignment horizontal="center" vertical="center" wrapText="1"/>
    </xf>
    <xf numFmtId="17" fontId="94" fillId="27" borderId="25" xfId="0" quotePrefix="1" applyNumberFormat="1" applyFont="1" applyFill="1" applyBorder="1"/>
    <xf numFmtId="0" fontId="94" fillId="27" borderId="26" xfId="0" applyFont="1" applyFill="1" applyBorder="1"/>
    <xf numFmtId="1" fontId="97" fillId="4" borderId="0" xfId="0" applyNumberFormat="1" applyFont="1" applyFill="1"/>
    <xf numFmtId="164" fontId="110" fillId="4" borderId="0" xfId="0" applyNumberFormat="1" applyFont="1" applyFill="1"/>
    <xf numFmtId="0" fontId="94" fillId="4" borderId="0" xfId="0" applyFont="1" applyFill="1"/>
    <xf numFmtId="164" fontId="97" fillId="4" borderId="0" xfId="0" applyNumberFormat="1" applyFont="1" applyFill="1"/>
    <xf numFmtId="164" fontId="94" fillId="4" borderId="0" xfId="0" applyNumberFormat="1" applyFont="1" applyFill="1"/>
    <xf numFmtId="166" fontId="97" fillId="4" borderId="0" xfId="1" applyNumberFormat="1" applyFont="1" applyFill="1"/>
    <xf numFmtId="3" fontId="97" fillId="4" borderId="2" xfId="0" applyNumberFormat="1" applyFont="1" applyFill="1" applyBorder="1" applyAlignment="1">
      <alignment horizontal="center"/>
    </xf>
    <xf numFmtId="0" fontId="156" fillId="0" borderId="0" xfId="53341" applyFont="1"/>
    <xf numFmtId="17" fontId="94" fillId="60" borderId="34" xfId="0" applyNumberFormat="1" applyFont="1" applyFill="1" applyBorder="1" applyAlignment="1">
      <alignment horizontal="center" vertical="center" wrapText="1"/>
    </xf>
    <xf numFmtId="0" fontId="94" fillId="60" borderId="28" xfId="0" applyFont="1" applyFill="1" applyBorder="1" applyAlignment="1">
      <alignment horizontal="center" vertical="center" wrapText="1"/>
    </xf>
    <xf numFmtId="17" fontId="94" fillId="60" borderId="68" xfId="0" quotePrefix="1" applyNumberFormat="1" applyFont="1" applyFill="1" applyBorder="1" applyAlignment="1">
      <alignment horizontal="center" vertical="center"/>
    </xf>
    <xf numFmtId="0" fontId="124" fillId="2" borderId="2" xfId="0" applyFont="1" applyFill="1" applyBorder="1"/>
    <xf numFmtId="0" fontId="124" fillId="2" borderId="28" xfId="0" applyFont="1" applyFill="1" applyBorder="1"/>
    <xf numFmtId="2" fontId="124" fillId="0" borderId="28" xfId="1" applyNumberFormat="1" applyFont="1" applyBorder="1" applyAlignment="1">
      <alignment horizontal="center"/>
    </xf>
    <xf numFmtId="2" fontId="124" fillId="0" borderId="31" xfId="0" applyNumberFormat="1" applyFont="1" applyBorder="1" applyAlignment="1">
      <alignment horizontal="center"/>
    </xf>
    <xf numFmtId="2" fontId="124" fillId="0" borderId="31" xfId="1" applyNumberFormat="1" applyFont="1" applyBorder="1" applyAlignment="1">
      <alignment horizontal="center"/>
    </xf>
    <xf numFmtId="3" fontId="97" fillId="61" borderId="2" xfId="0" applyNumberFormat="1" applyFont="1" applyFill="1" applyBorder="1" applyAlignment="1">
      <alignment horizontal="center"/>
    </xf>
    <xf numFmtId="0" fontId="95" fillId="2" borderId="0" xfId="0" applyFont="1" applyFill="1"/>
    <xf numFmtId="0" fontId="160" fillId="2" borderId="0" xfId="0" applyFont="1" applyFill="1" applyAlignment="1">
      <alignment vertical="center"/>
    </xf>
    <xf numFmtId="1" fontId="101" fillId="8" borderId="6" xfId="0" applyNumberFormat="1" applyFont="1" applyFill="1" applyBorder="1" applyAlignment="1">
      <alignment horizontal="center"/>
    </xf>
    <xf numFmtId="1" fontId="97" fillId="4" borderId="31" xfId="0" applyNumberFormat="1" applyFont="1" applyFill="1" applyBorder="1" applyAlignment="1">
      <alignment horizontal="center"/>
    </xf>
    <xf numFmtId="3" fontId="97" fillId="4" borderId="31" xfId="0" applyNumberFormat="1" applyFont="1" applyFill="1" applyBorder="1" applyAlignment="1">
      <alignment horizontal="center"/>
    </xf>
    <xf numFmtId="3" fontId="97" fillId="4" borderId="35" xfId="0" applyNumberFormat="1" applyFont="1" applyFill="1" applyBorder="1" applyAlignment="1">
      <alignment horizontal="center"/>
    </xf>
    <xf numFmtId="3" fontId="97" fillId="3" borderId="31" xfId="0" applyNumberFormat="1" applyFont="1" applyFill="1" applyBorder="1" applyAlignment="1">
      <alignment horizontal="center"/>
    </xf>
    <xf numFmtId="3" fontId="97" fillId="61" borderId="31" xfId="0" applyNumberFormat="1" applyFont="1" applyFill="1" applyBorder="1" applyAlignment="1">
      <alignment horizontal="center"/>
    </xf>
    <xf numFmtId="166" fontId="97" fillId="4" borderId="32" xfId="1" applyNumberFormat="1" applyFont="1" applyFill="1" applyBorder="1" applyAlignment="1">
      <alignment horizontal="center"/>
    </xf>
    <xf numFmtId="3" fontId="97" fillId="4" borderId="34" xfId="0" applyNumberFormat="1" applyFont="1" applyFill="1" applyBorder="1" applyAlignment="1">
      <alignment horizontal="center"/>
    </xf>
    <xf numFmtId="3" fontId="97" fillId="4" borderId="32" xfId="0" applyNumberFormat="1" applyFont="1" applyFill="1" applyBorder="1" applyAlignment="1">
      <alignment horizontal="center"/>
    </xf>
    <xf numFmtId="0" fontId="112" fillId="4" borderId="0" xfId="0" applyFont="1" applyFill="1" applyAlignment="1">
      <alignment horizontal="center" vertical="center"/>
    </xf>
    <xf numFmtId="0" fontId="112" fillId="12" borderId="21" xfId="0" applyFont="1" applyFill="1" applyBorder="1" applyAlignment="1">
      <alignment horizontal="center" vertical="center"/>
    </xf>
    <xf numFmtId="0" fontId="112" fillId="13" borderId="20" xfId="0" applyFont="1" applyFill="1" applyBorder="1" applyAlignment="1">
      <alignment horizontal="center" vertical="center"/>
    </xf>
    <xf numFmtId="0" fontId="125" fillId="15" borderId="20" xfId="0" applyFont="1" applyFill="1" applyBorder="1" applyAlignment="1">
      <alignment horizontal="center" vertical="center"/>
    </xf>
    <xf numFmtId="0" fontId="119" fillId="23" borderId="69" xfId="0" applyFont="1" applyFill="1" applyBorder="1" applyAlignment="1">
      <alignment horizontal="center"/>
    </xf>
    <xf numFmtId="0" fontId="95" fillId="0" borderId="23" xfId="0" applyFont="1" applyBorder="1"/>
    <xf numFmtId="0" fontId="95" fillId="0" borderId="0" xfId="0" applyFont="1" applyBorder="1"/>
    <xf numFmtId="0" fontId="125" fillId="15" borderId="0" xfId="0" applyFont="1" applyFill="1" applyBorder="1" applyAlignment="1">
      <alignment horizontal="center" vertical="center"/>
    </xf>
    <xf numFmtId="0" fontId="112" fillId="20" borderId="0" xfId="0" applyFont="1" applyFill="1" applyBorder="1" applyAlignment="1">
      <alignment horizontal="center" vertical="center"/>
    </xf>
    <xf numFmtId="0" fontId="112" fillId="20" borderId="1" xfId="0" applyFont="1" applyFill="1" applyBorder="1" applyAlignment="1">
      <alignment horizontal="center" vertical="center"/>
    </xf>
    <xf numFmtId="0" fontId="95" fillId="0" borderId="0" xfId="0" applyFont="1" applyBorder="1" applyAlignment="1">
      <alignment horizontal="center"/>
    </xf>
    <xf numFmtId="0" fontId="95" fillId="0" borderId="18" xfId="0" applyFont="1" applyBorder="1" applyAlignment="1">
      <alignment horizontal="center"/>
    </xf>
    <xf numFmtId="0" fontId="97" fillId="0" borderId="0" xfId="0" applyFont="1" applyBorder="1" applyAlignment="1">
      <alignment horizontal="center"/>
    </xf>
    <xf numFmtId="0" fontId="97" fillId="0" borderId="15" xfId="0" applyFont="1" applyBorder="1" applyAlignment="1">
      <alignment horizontal="center"/>
    </xf>
    <xf numFmtId="0" fontId="121" fillId="23" borderId="16" xfId="0" applyFont="1" applyFill="1" applyBorder="1"/>
    <xf numFmtId="1" fontId="122" fillId="0" borderId="39" xfId="0" applyNumberFormat="1" applyFont="1" applyBorder="1" applyAlignment="1">
      <alignment horizontal="center"/>
    </xf>
    <xf numFmtId="1" fontId="122" fillId="0" borderId="39" xfId="1" applyNumberFormat="1" applyFont="1" applyBorder="1" applyAlignment="1">
      <alignment horizontal="center"/>
    </xf>
    <xf numFmtId="0" fontId="97" fillId="0" borderId="29" xfId="0" applyFont="1" applyBorder="1"/>
    <xf numFmtId="0" fontId="94" fillId="0" borderId="19" xfId="0" applyFont="1" applyBorder="1"/>
    <xf numFmtId="0" fontId="94" fillId="0" borderId="43" xfId="0" applyFont="1" applyBorder="1"/>
    <xf numFmtId="0" fontId="94" fillId="0" borderId="40" xfId="0" applyFont="1" applyBorder="1"/>
    <xf numFmtId="0" fontId="94" fillId="0" borderId="23" xfId="0" applyFont="1" applyBorder="1"/>
    <xf numFmtId="0" fontId="94" fillId="0" borderId="0" xfId="0" applyFont="1" applyBorder="1"/>
    <xf numFmtId="0" fontId="112" fillId="12" borderId="9" xfId="0" applyFont="1" applyFill="1" applyBorder="1" applyAlignment="1">
      <alignment horizontal="center" vertical="center"/>
    </xf>
    <xf numFmtId="0" fontId="112" fillId="12" borderId="0" xfId="0" applyFont="1" applyFill="1" applyBorder="1" applyAlignment="1">
      <alignment horizontal="center" vertical="center"/>
    </xf>
    <xf numFmtId="0" fontId="112" fillId="13" borderId="0" xfId="0" applyFont="1" applyFill="1" applyBorder="1" applyAlignment="1">
      <alignment horizontal="center" vertical="center"/>
    </xf>
    <xf numFmtId="0" fontId="112" fillId="13" borderId="1" xfId="0" applyFont="1" applyFill="1" applyBorder="1" applyAlignment="1">
      <alignment horizontal="center" vertical="center"/>
    </xf>
    <xf numFmtId="0" fontId="97" fillId="14" borderId="46" xfId="0" applyFont="1" applyFill="1" applyBorder="1" applyAlignment="1">
      <alignment horizontal="center"/>
    </xf>
    <xf numFmtId="0" fontId="97" fillId="14" borderId="52" xfId="0" applyFont="1" applyFill="1" applyBorder="1" applyAlignment="1">
      <alignment horizontal="center"/>
    </xf>
    <xf numFmtId="166" fontId="97" fillId="0" borderId="16" xfId="1" applyNumberFormat="1" applyFont="1" applyBorder="1" applyAlignment="1">
      <alignment horizontal="center"/>
    </xf>
    <xf numFmtId="166" fontId="123" fillId="0" borderId="39" xfId="1" applyNumberFormat="1" applyFont="1" applyBorder="1" applyAlignment="1">
      <alignment horizontal="center"/>
    </xf>
    <xf numFmtId="0" fontId="97" fillId="0" borderId="71" xfId="0" applyFont="1" applyBorder="1"/>
    <xf numFmtId="0" fontId="94" fillId="0" borderId="28" xfId="0" applyFont="1" applyBorder="1"/>
    <xf numFmtId="0" fontId="124" fillId="0" borderId="72" xfId="0" applyFont="1" applyBorder="1"/>
    <xf numFmtId="0" fontId="125" fillId="21" borderId="0" xfId="0" applyFont="1" applyFill="1" applyBorder="1" applyAlignment="1">
      <alignment horizontal="center" vertical="center"/>
    </xf>
    <xf numFmtId="3" fontId="115" fillId="4" borderId="39" xfId="1" applyNumberFormat="1" applyFont="1" applyFill="1" applyBorder="1" applyAlignment="1">
      <alignment horizontal="right"/>
    </xf>
    <xf numFmtId="3" fontId="97" fillId="0" borderId="29" xfId="0" applyNumberFormat="1" applyFont="1" applyBorder="1"/>
    <xf numFmtId="0" fontId="97" fillId="16" borderId="15" xfId="0" applyFont="1" applyFill="1" applyBorder="1" applyAlignment="1">
      <alignment horizontal="center"/>
    </xf>
    <xf numFmtId="0" fontId="125" fillId="22" borderId="0" xfId="0" applyFont="1" applyFill="1" applyBorder="1" applyAlignment="1">
      <alignment horizontal="center" vertical="center"/>
    </xf>
    <xf numFmtId="0" fontId="125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67" fillId="0" borderId="0" xfId="0" applyFont="1"/>
    <xf numFmtId="0" fontId="117" fillId="10" borderId="17" xfId="0" applyFont="1" applyFill="1" applyBorder="1" applyAlignment="1">
      <alignment horizontal="center" vertical="center" wrapText="1"/>
    </xf>
    <xf numFmtId="0" fontId="97" fillId="6" borderId="17" xfId="0" applyFont="1" applyFill="1" applyBorder="1" applyAlignment="1">
      <alignment horizontal="center" vertical="center" wrapText="1"/>
    </xf>
    <xf numFmtId="0" fontId="94" fillId="0" borderId="22" xfId="0" applyFont="1" applyBorder="1"/>
    <xf numFmtId="0" fontId="94" fillId="0" borderId="24" xfId="0" applyFont="1" applyBorder="1"/>
    <xf numFmtId="0" fontId="94" fillId="0" borderId="9" xfId="0" applyFont="1" applyBorder="1"/>
    <xf numFmtId="0" fontId="94" fillId="0" borderId="1" xfId="0" applyFont="1" applyBorder="1"/>
    <xf numFmtId="0" fontId="165" fillId="0" borderId="9" xfId="0" applyFont="1" applyBorder="1"/>
    <xf numFmtId="0" fontId="94" fillId="0" borderId="74" xfId="0" applyFont="1" applyBorder="1"/>
    <xf numFmtId="0" fontId="94" fillId="0" borderId="75" xfId="0" applyFont="1" applyBorder="1"/>
    <xf numFmtId="0" fontId="0" fillId="0" borderId="75" xfId="0" applyBorder="1"/>
    <xf numFmtId="3" fontId="97" fillId="4" borderId="3" xfId="0" applyNumberFormat="1" applyFont="1" applyFill="1" applyBorder="1" applyAlignment="1">
      <alignment horizontal="center"/>
    </xf>
    <xf numFmtId="0" fontId="165" fillId="0" borderId="0" xfId="0" applyFont="1"/>
    <xf numFmtId="0" fontId="94" fillId="60" borderId="0" xfId="0" applyFont="1" applyFill="1" applyBorder="1" applyAlignment="1">
      <alignment horizontal="center" vertical="center" wrapText="1"/>
    </xf>
    <xf numFmtId="17" fontId="94" fillId="60" borderId="43" xfId="0" quotePrefix="1" applyNumberFormat="1" applyFont="1" applyFill="1" applyBorder="1" applyAlignment="1">
      <alignment horizontal="center" vertical="center"/>
    </xf>
    <xf numFmtId="0" fontId="97" fillId="25" borderId="7" xfId="0" applyFont="1" applyFill="1" applyBorder="1" applyAlignment="1">
      <alignment horizontal="center" vertical="center" wrapText="1"/>
    </xf>
    <xf numFmtId="165" fontId="97" fillId="0" borderId="7" xfId="1" applyFont="1" applyBorder="1" applyAlignment="1">
      <alignment horizontal="center" vertical="center" wrapText="1"/>
    </xf>
    <xf numFmtId="0" fontId="118" fillId="0" borderId="12" xfId="0" applyFont="1" applyBorder="1" applyAlignment="1">
      <alignment horizontal="center"/>
    </xf>
    <xf numFmtId="0" fontId="118" fillId="3" borderId="12" xfId="0" applyFont="1" applyFill="1" applyBorder="1" applyAlignment="1">
      <alignment horizontal="center"/>
    </xf>
    <xf numFmtId="0" fontId="118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65" fillId="0" borderId="0" xfId="0" applyNumberFormat="1" applyFont="1"/>
    <xf numFmtId="0" fontId="112" fillId="2" borderId="0" xfId="0" applyFont="1" applyFill="1"/>
    <xf numFmtId="0" fontId="170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65" fillId="0" borderId="9" xfId="0" applyNumberFormat="1" applyFont="1" applyBorder="1"/>
    <xf numFmtId="3" fontId="97" fillId="0" borderId="17" xfId="0" applyNumberFormat="1" applyFont="1" applyBorder="1" applyAlignment="1">
      <alignment horizontal="center"/>
    </xf>
    <xf numFmtId="3" fontId="97" fillId="0" borderId="7" xfId="0" applyNumberFormat="1" applyFont="1" applyBorder="1" applyAlignment="1">
      <alignment horizontal="center"/>
    </xf>
    <xf numFmtId="0" fontId="106" fillId="2" borderId="0" xfId="0" applyFont="1" applyFill="1"/>
    <xf numFmtId="17" fontId="174" fillId="9" borderId="8" xfId="0" quotePrefix="1" applyNumberFormat="1" applyFont="1" applyFill="1" applyBorder="1"/>
    <xf numFmtId="1" fontId="175" fillId="9" borderId="0" xfId="0" applyNumberFormat="1" applyFont="1" applyFill="1"/>
    <xf numFmtId="0" fontId="175" fillId="9" borderId="10" xfId="0" applyFont="1" applyFill="1" applyBorder="1"/>
    <xf numFmtId="0" fontId="176" fillId="2" borderId="6" xfId="0" applyFont="1" applyFill="1" applyBorder="1"/>
    <xf numFmtId="0" fontId="106" fillId="2" borderId="0" xfId="0" applyFont="1" applyFill="1" applyAlignment="1">
      <alignment horizontal="left"/>
    </xf>
    <xf numFmtId="0" fontId="102" fillId="63" borderId="23" xfId="0" applyFont="1" applyFill="1" applyBorder="1" applyAlignment="1">
      <alignment horizontal="center"/>
    </xf>
    <xf numFmtId="0" fontId="117" fillId="64" borderId="12" xfId="0" applyFont="1" applyFill="1" applyBorder="1"/>
    <xf numFmtId="0" fontId="117" fillId="64" borderId="6" xfId="0" applyFont="1" applyFill="1" applyBorder="1" applyAlignment="1">
      <alignment horizontal="center"/>
    </xf>
    <xf numFmtId="0" fontId="116" fillId="64" borderId="6" xfId="0" applyFont="1" applyFill="1" applyBorder="1" applyAlignment="1">
      <alignment horizontal="center"/>
    </xf>
    <xf numFmtId="1" fontId="112" fillId="62" borderId="8" xfId="0" applyNumberFormat="1" applyFont="1" applyFill="1" applyBorder="1" applyAlignment="1">
      <alignment horizontal="center" vertical="center" wrapText="1"/>
    </xf>
    <xf numFmtId="1" fontId="112" fillId="62" borderId="5" xfId="0" applyNumberFormat="1" applyFont="1" applyFill="1" applyBorder="1" applyAlignment="1">
      <alignment horizontal="center" vertical="center" wrapText="1"/>
    </xf>
    <xf numFmtId="1" fontId="112" fillId="62" borderId="10" xfId="0" applyNumberFormat="1" applyFont="1" applyFill="1" applyBorder="1" applyAlignment="1">
      <alignment horizontal="center" vertical="center" wrapText="1"/>
    </xf>
    <xf numFmtId="4" fontId="97" fillId="0" borderId="0" xfId="0" applyNumberFormat="1" applyFont="1"/>
    <xf numFmtId="4" fontId="102" fillId="0" borderId="0" xfId="0" applyNumberFormat="1" applyFont="1"/>
    <xf numFmtId="3" fontId="97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97" fillId="4" borderId="0" xfId="0" applyNumberFormat="1" applyFont="1" applyFill="1" applyBorder="1"/>
    <xf numFmtId="1" fontId="99" fillId="62" borderId="8" xfId="0" applyNumberFormat="1" applyFont="1" applyFill="1" applyBorder="1" applyAlignment="1">
      <alignment horizontal="center" vertical="center" wrapText="1"/>
    </xf>
    <xf numFmtId="1" fontId="99" fillId="62" borderId="5" xfId="0" applyNumberFormat="1" applyFont="1" applyFill="1" applyBorder="1" applyAlignment="1">
      <alignment horizontal="center" vertical="center" wrapText="1"/>
    </xf>
    <xf numFmtId="1" fontId="99" fillId="62" borderId="10" xfId="0" applyNumberFormat="1" applyFont="1" applyFill="1" applyBorder="1" applyAlignment="1">
      <alignment horizontal="center" vertical="center" wrapText="1"/>
    </xf>
    <xf numFmtId="1" fontId="97" fillId="0" borderId="5" xfId="0" applyNumberFormat="1" applyFont="1" applyFill="1" applyBorder="1" applyAlignment="1">
      <alignment horizontal="center" vertical="center"/>
    </xf>
    <xf numFmtId="1" fontId="104" fillId="0" borderId="8" xfId="0" applyNumberFormat="1" applyFont="1" applyFill="1" applyBorder="1" applyAlignment="1">
      <alignment horizontal="center" vertical="center"/>
    </xf>
    <xf numFmtId="1" fontId="104" fillId="0" borderId="5" xfId="0" applyNumberFormat="1" applyFont="1" applyFill="1" applyBorder="1" applyAlignment="1">
      <alignment horizontal="center" vertical="center"/>
    </xf>
    <xf numFmtId="1" fontId="104" fillId="28" borderId="5" xfId="0" applyNumberFormat="1" applyFont="1" applyFill="1" applyBorder="1" applyAlignment="1">
      <alignment horizontal="center" vertical="center"/>
    </xf>
    <xf numFmtId="0" fontId="124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173" fillId="65" borderId="25" xfId="0" quotePrefix="1" applyNumberFormat="1" applyFont="1" applyFill="1" applyBorder="1" applyAlignment="1">
      <alignment horizontal="center"/>
    </xf>
    <xf numFmtId="17" fontId="173" fillId="65" borderId="6" xfId="0" quotePrefix="1" applyNumberFormat="1" applyFont="1" applyFill="1" applyBorder="1" applyAlignment="1">
      <alignment horizontal="center"/>
    </xf>
    <xf numFmtId="17" fontId="173" fillId="65" borderId="26" xfId="0" quotePrefix="1" applyNumberFormat="1" applyFont="1" applyFill="1" applyBorder="1" applyAlignment="1">
      <alignment horizontal="center"/>
    </xf>
    <xf numFmtId="17" fontId="173" fillId="65" borderId="25" xfId="0" quotePrefix="1" applyNumberFormat="1" applyFont="1" applyFill="1" applyBorder="1" applyAlignment="1">
      <alignment horizontal="center" wrapText="1"/>
    </xf>
    <xf numFmtId="0" fontId="99" fillId="65" borderId="6" xfId="0" applyFont="1" applyFill="1" applyBorder="1" applyAlignment="1">
      <alignment horizontal="center" wrapText="1"/>
    </xf>
    <xf numFmtId="17" fontId="173" fillId="65" borderId="19" xfId="0" quotePrefix="1" applyNumberFormat="1" applyFont="1" applyFill="1" applyBorder="1" applyAlignment="1">
      <alignment horizontal="center" wrapText="1"/>
    </xf>
    <xf numFmtId="0" fontId="99" fillId="65" borderId="43" xfId="0" applyFont="1" applyFill="1" applyBorder="1" applyAlignment="1">
      <alignment horizontal="center" wrapText="1"/>
    </xf>
    <xf numFmtId="0" fontId="97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3" fillId="0" borderId="0" xfId="0" applyFont="1" applyAlignment="1">
      <alignment horizontal="left" vertical="center" wrapText="1"/>
    </xf>
    <xf numFmtId="0" fontId="124" fillId="4" borderId="0" xfId="0" applyFont="1" applyFill="1" applyAlignment="1">
      <alignment horizontal="center" vertical="center" wrapText="1"/>
    </xf>
    <xf numFmtId="0" fontId="153" fillId="0" borderId="0" xfId="0" applyFont="1" applyAlignment="1">
      <alignment horizontal="center" vertical="center" wrapText="1"/>
    </xf>
    <xf numFmtId="17" fontId="112" fillId="65" borderId="25" xfId="0" applyNumberFormat="1" applyFont="1" applyFill="1" applyBorder="1" applyAlignment="1">
      <alignment horizontal="center"/>
    </xf>
    <xf numFmtId="17" fontId="112" fillId="65" borderId="6" xfId="0" applyNumberFormat="1" applyFont="1" applyFill="1" applyBorder="1" applyAlignment="1">
      <alignment horizontal="center"/>
    </xf>
    <xf numFmtId="17" fontId="112" fillId="65" borderId="26" xfId="0" applyNumberFormat="1" applyFont="1" applyFill="1" applyBorder="1" applyAlignment="1">
      <alignment horizontal="center"/>
    </xf>
    <xf numFmtId="1" fontId="97" fillId="60" borderId="25" xfId="0" applyNumberFormat="1" applyFont="1" applyFill="1" applyBorder="1" applyAlignment="1">
      <alignment horizontal="center"/>
    </xf>
    <xf numFmtId="1" fontId="97" fillId="60" borderId="6" xfId="0" applyNumberFormat="1" applyFont="1" applyFill="1" applyBorder="1" applyAlignment="1">
      <alignment horizontal="center"/>
    </xf>
    <xf numFmtId="1" fontId="97" fillId="60" borderId="42" xfId="0" applyNumberFormat="1" applyFont="1" applyFill="1" applyBorder="1" applyAlignment="1">
      <alignment horizontal="center"/>
    </xf>
    <xf numFmtId="17" fontId="173" fillId="65" borderId="8" xfId="0" quotePrefix="1" applyNumberFormat="1" applyFont="1" applyFill="1" applyBorder="1" applyAlignment="1">
      <alignment horizontal="center"/>
    </xf>
    <xf numFmtId="17" fontId="173" fillId="65" borderId="5" xfId="0" quotePrefix="1" applyNumberFormat="1" applyFont="1" applyFill="1" applyBorder="1" applyAlignment="1">
      <alignment horizontal="center"/>
    </xf>
    <xf numFmtId="1" fontId="97" fillId="0" borderId="0" xfId="0" applyNumberFormat="1" applyFont="1" applyFill="1" applyAlignment="1">
      <alignment horizontal="center"/>
    </xf>
    <xf numFmtId="1" fontId="99" fillId="62" borderId="12" xfId="0" applyNumberFormat="1" applyFont="1" applyFill="1" applyBorder="1" applyAlignment="1">
      <alignment horizontal="center" vertical="center"/>
    </xf>
    <xf numFmtId="1" fontId="99" fillId="62" borderId="6" xfId="0" applyNumberFormat="1" applyFont="1" applyFill="1" applyBorder="1" applyAlignment="1">
      <alignment horizontal="center" vertical="center"/>
    </xf>
    <xf numFmtId="1" fontId="99" fillId="62" borderId="6" xfId="0" applyNumberFormat="1" applyFont="1" applyFill="1" applyBorder="1" applyAlignment="1">
      <alignment horizontal="center" vertical="center" wrapText="1"/>
    </xf>
    <xf numFmtId="0" fontId="99" fillId="62" borderId="6" xfId="0" applyFont="1" applyFill="1" applyBorder="1" applyAlignment="1">
      <alignment horizontal="center" vertical="center" wrapText="1"/>
    </xf>
    <xf numFmtId="1" fontId="112" fillId="62" borderId="25" xfId="0" applyNumberFormat="1" applyFont="1" applyFill="1" applyBorder="1" applyAlignment="1">
      <alignment horizontal="center" vertical="center"/>
    </xf>
    <xf numFmtId="1" fontId="112" fillId="62" borderId="6" xfId="0" applyNumberFormat="1" applyFont="1" applyFill="1" applyBorder="1" applyAlignment="1">
      <alignment horizontal="center" vertical="center"/>
    </xf>
    <xf numFmtId="0" fontId="117" fillId="64" borderId="12" xfId="0" applyFont="1" applyFill="1" applyBorder="1" applyAlignment="1">
      <alignment horizontal="center"/>
    </xf>
    <xf numFmtId="0" fontId="117" fillId="64" borderId="6" xfId="0" applyFont="1" applyFill="1" applyBorder="1" applyAlignment="1">
      <alignment horizontal="center"/>
    </xf>
    <xf numFmtId="1" fontId="97" fillId="0" borderId="20" xfId="0" applyNumberFormat="1" applyFont="1" applyFill="1" applyBorder="1" applyAlignment="1">
      <alignment horizontal="center"/>
    </xf>
    <xf numFmtId="1" fontId="97" fillId="60" borderId="26" xfId="0" applyNumberFormat="1" applyFont="1" applyFill="1" applyBorder="1" applyAlignment="1">
      <alignment horizontal="center"/>
    </xf>
    <xf numFmtId="0" fontId="97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" fontId="99" fillId="62" borderId="25" xfId="0" applyNumberFormat="1" applyFont="1" applyFill="1" applyBorder="1" applyAlignment="1">
      <alignment horizontal="center" vertical="center"/>
    </xf>
    <xf numFmtId="0" fontId="99" fillId="6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99" fillId="65" borderId="6" xfId="0" applyFont="1" applyFill="1" applyBorder="1" applyAlignment="1">
      <alignment horizontal="center"/>
    </xf>
    <xf numFmtId="0" fontId="99" fillId="65" borderId="26" xfId="0" applyFont="1" applyFill="1" applyBorder="1" applyAlignment="1">
      <alignment horizontal="center"/>
    </xf>
    <xf numFmtId="0" fontId="125" fillId="22" borderId="70" xfId="0" applyFont="1" applyFill="1" applyBorder="1" applyAlignment="1">
      <alignment horizontal="center" vertical="center"/>
    </xf>
    <xf numFmtId="0" fontId="125" fillId="22" borderId="23" xfId="0" applyFont="1" applyFill="1" applyBorder="1" applyAlignment="1">
      <alignment horizontal="center" vertical="center"/>
    </xf>
    <xf numFmtId="0" fontId="125" fillId="22" borderId="24" xfId="0" applyFont="1" applyFill="1" applyBorder="1" applyAlignment="1">
      <alignment horizontal="center" vertical="center"/>
    </xf>
    <xf numFmtId="0" fontId="99" fillId="22" borderId="20" xfId="0" applyFont="1" applyFill="1" applyBorder="1" applyAlignment="1">
      <alignment horizontal="center" vertical="center"/>
    </xf>
    <xf numFmtId="0" fontId="99" fillId="22" borderId="0" xfId="0" applyFont="1" applyFill="1" applyBorder="1" applyAlignment="1">
      <alignment horizontal="center" vertical="center"/>
    </xf>
    <xf numFmtId="0" fontId="99" fillId="22" borderId="1" xfId="0" applyFont="1" applyFill="1" applyBorder="1" applyAlignment="1">
      <alignment horizontal="center" vertical="center"/>
    </xf>
    <xf numFmtId="0" fontId="94" fillId="31" borderId="49" xfId="0" applyFont="1" applyFill="1" applyBorder="1" applyAlignment="1">
      <alignment horizontal="center"/>
    </xf>
    <xf numFmtId="0" fontId="94" fillId="31" borderId="50" xfId="0" applyFont="1" applyFill="1" applyBorder="1" applyAlignment="1">
      <alignment horizontal="center"/>
    </xf>
    <xf numFmtId="0" fontId="94" fillId="31" borderId="51" xfId="0" applyFont="1" applyFill="1" applyBorder="1" applyAlignment="1">
      <alignment horizontal="center"/>
    </xf>
    <xf numFmtId="0" fontId="112" fillId="4" borderId="0" xfId="0" applyFont="1" applyFill="1" applyAlignment="1">
      <alignment horizontal="center" vertical="center"/>
    </xf>
    <xf numFmtId="0" fontId="99" fillId="4" borderId="0" xfId="0" applyFont="1" applyFill="1" applyAlignment="1">
      <alignment horizontal="center" vertical="center"/>
    </xf>
    <xf numFmtId="0" fontId="99" fillId="21" borderId="20" xfId="0" applyFont="1" applyFill="1" applyBorder="1" applyAlignment="1">
      <alignment horizontal="center" vertical="center"/>
    </xf>
    <xf numFmtId="0" fontId="99" fillId="21" borderId="0" xfId="0" applyFont="1" applyFill="1" applyBorder="1" applyAlignment="1">
      <alignment horizontal="center" vertical="center"/>
    </xf>
    <xf numFmtId="0" fontId="99" fillId="20" borderId="20" xfId="0" applyFont="1" applyFill="1" applyBorder="1" applyAlignment="1">
      <alignment horizontal="center" vertical="center"/>
    </xf>
    <xf numFmtId="0" fontId="99" fillId="20" borderId="0" xfId="0" applyFont="1" applyFill="1" applyBorder="1" applyAlignment="1">
      <alignment horizontal="center" vertical="center"/>
    </xf>
    <xf numFmtId="0" fontId="99" fillId="20" borderId="1" xfId="0" applyFont="1" applyFill="1" applyBorder="1" applyAlignment="1">
      <alignment horizontal="center" vertical="center"/>
    </xf>
    <xf numFmtId="0" fontId="125" fillId="21" borderId="70" xfId="0" applyFont="1" applyFill="1" applyBorder="1" applyAlignment="1">
      <alignment horizontal="center" vertical="center"/>
    </xf>
    <xf numFmtId="0" fontId="125" fillId="21" borderId="23" xfId="0" applyFont="1" applyFill="1" applyBorder="1" applyAlignment="1">
      <alignment horizontal="center" vertical="center"/>
    </xf>
    <xf numFmtId="0" fontId="112" fillId="20" borderId="70" xfId="0" applyFont="1" applyFill="1" applyBorder="1" applyAlignment="1">
      <alignment horizontal="center" vertical="center"/>
    </xf>
    <xf numFmtId="0" fontId="112" fillId="20" borderId="23" xfId="0" applyFont="1" applyFill="1" applyBorder="1" applyAlignment="1">
      <alignment horizontal="center" vertical="center"/>
    </xf>
    <xf numFmtId="0" fontId="112" fillId="20" borderId="24" xfId="0" applyFont="1" applyFill="1" applyBorder="1" applyAlignment="1">
      <alignment horizontal="center" vertical="center"/>
    </xf>
    <xf numFmtId="1" fontId="94" fillId="7" borderId="22" xfId="0" applyNumberFormat="1" applyFont="1" applyFill="1" applyBorder="1" applyAlignment="1">
      <alignment horizontal="center" vertical="center"/>
    </xf>
    <xf numFmtId="1" fontId="94" fillId="7" borderId="23" xfId="0" applyNumberFormat="1" applyFont="1" applyFill="1" applyBorder="1" applyAlignment="1">
      <alignment horizontal="center" vertical="center"/>
    </xf>
    <xf numFmtId="1" fontId="94" fillId="7" borderId="24" xfId="0" applyNumberFormat="1" applyFont="1" applyFill="1" applyBorder="1" applyAlignment="1">
      <alignment horizontal="center" vertical="center"/>
    </xf>
    <xf numFmtId="1" fontId="94" fillId="7" borderId="9" xfId="0" applyNumberFormat="1" applyFont="1" applyFill="1" applyBorder="1" applyAlignment="1">
      <alignment horizontal="center" vertical="center"/>
    </xf>
    <xf numFmtId="1" fontId="94" fillId="7" borderId="0" xfId="0" applyNumberFormat="1" applyFont="1" applyFill="1" applyBorder="1" applyAlignment="1">
      <alignment horizontal="center" vertical="center"/>
    </xf>
    <xf numFmtId="1" fontId="94" fillId="7" borderId="1" xfId="0" applyNumberFormat="1" applyFont="1" applyFill="1" applyBorder="1" applyAlignment="1">
      <alignment horizontal="center" vertical="center"/>
    </xf>
    <xf numFmtId="1" fontId="94" fillId="7" borderId="52" xfId="0" applyNumberFormat="1" applyFont="1" applyFill="1" applyBorder="1" applyAlignment="1">
      <alignment horizontal="center" vertical="center"/>
    </xf>
    <xf numFmtId="1" fontId="94" fillId="7" borderId="5" xfId="0" applyNumberFormat="1" applyFont="1" applyFill="1" applyBorder="1" applyAlignment="1">
      <alignment horizontal="center" vertical="center"/>
    </xf>
    <xf numFmtId="1" fontId="94" fillId="7" borderId="73" xfId="0" applyNumberFormat="1" applyFont="1" applyFill="1" applyBorder="1" applyAlignment="1">
      <alignment horizontal="center" vertical="center"/>
    </xf>
    <xf numFmtId="0" fontId="94" fillId="35" borderId="47" xfId="0" applyFont="1" applyFill="1" applyBorder="1" applyAlignment="1">
      <alignment horizontal="center"/>
    </xf>
    <xf numFmtId="0" fontId="94" fillId="35" borderId="45" xfId="0" applyFont="1" applyFill="1" applyBorder="1" applyAlignment="1">
      <alignment horizontal="center"/>
    </xf>
    <xf numFmtId="0" fontId="94" fillId="35" borderId="48" xfId="0" applyFont="1" applyFill="1" applyBorder="1" applyAlignment="1">
      <alignment horizontal="center"/>
    </xf>
    <xf numFmtId="1" fontId="130" fillId="33" borderId="25" xfId="0" applyNumberFormat="1" applyFont="1" applyFill="1" applyBorder="1" applyAlignment="1">
      <alignment horizontal="center"/>
    </xf>
    <xf numFmtId="1" fontId="130" fillId="33" borderId="6" xfId="0" applyNumberFormat="1" applyFont="1" applyFill="1" applyBorder="1" applyAlignment="1">
      <alignment horizontal="center"/>
    </xf>
    <xf numFmtId="1" fontId="130" fillId="33" borderId="26" xfId="0" applyNumberFormat="1" applyFont="1" applyFill="1" applyBorder="1" applyAlignment="1">
      <alignment horizontal="center"/>
    </xf>
    <xf numFmtId="1" fontId="117" fillId="64" borderId="25" xfId="0" applyNumberFormat="1" applyFont="1" applyFill="1" applyBorder="1" applyAlignment="1">
      <alignment horizontal="center"/>
    </xf>
    <xf numFmtId="1" fontId="117" fillId="64" borderId="6" xfId="0" applyNumberFormat="1" applyFont="1" applyFill="1" applyBorder="1" applyAlignment="1">
      <alignment horizontal="center"/>
    </xf>
    <xf numFmtId="1" fontId="117" fillId="64" borderId="26" xfId="0" applyNumberFormat="1" applyFont="1" applyFill="1" applyBorder="1" applyAlignment="1">
      <alignment horizontal="center"/>
    </xf>
    <xf numFmtId="0" fontId="117" fillId="64" borderId="52" xfId="0" applyFont="1" applyFill="1" applyBorder="1" applyAlignment="1">
      <alignment horizontal="center"/>
    </xf>
    <xf numFmtId="0" fontId="117" fillId="64" borderId="5" xfId="0" applyFont="1" applyFill="1" applyBorder="1" applyAlignment="1">
      <alignment horizontal="center"/>
    </xf>
    <xf numFmtId="1" fontId="97" fillId="19" borderId="25" xfId="0" applyNumberFormat="1" applyFont="1" applyFill="1" applyBorder="1" applyAlignment="1">
      <alignment horizontal="center"/>
    </xf>
    <xf numFmtId="1" fontId="97" fillId="19" borderId="6" xfId="0" applyNumberFormat="1" applyFont="1" applyFill="1" applyBorder="1" applyAlignment="1">
      <alignment horizontal="center"/>
    </xf>
    <xf numFmtId="1" fontId="100" fillId="8" borderId="6" xfId="0" applyNumberFormat="1" applyFont="1" applyFill="1" applyBorder="1" applyAlignment="1">
      <alignment horizontal="center"/>
    </xf>
    <xf numFmtId="1" fontId="100" fillId="8" borderId="26" xfId="0" applyNumberFormat="1" applyFont="1" applyFill="1" applyBorder="1" applyAlignment="1">
      <alignment horizontal="center"/>
    </xf>
    <xf numFmtId="0" fontId="161" fillId="63" borderId="45" xfId="0" applyFont="1" applyFill="1" applyBorder="1" applyAlignment="1">
      <alignment horizontal="center"/>
    </xf>
    <xf numFmtId="0" fontId="102" fillId="34" borderId="23" xfId="0" applyFont="1" applyFill="1" applyBorder="1" applyAlignment="1">
      <alignment horizontal="center"/>
    </xf>
    <xf numFmtId="1" fontId="97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1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95" fillId="13" borderId="20" xfId="0" applyFont="1" applyFill="1" applyBorder="1" applyAlignment="1">
      <alignment horizontal="center" vertical="center"/>
    </xf>
    <xf numFmtId="0" fontId="95" fillId="13" borderId="0" xfId="0" applyFont="1" applyFill="1" applyBorder="1" applyAlignment="1">
      <alignment horizontal="center" vertical="center"/>
    </xf>
    <xf numFmtId="0" fontId="95" fillId="13" borderId="1" xfId="0" applyFont="1" applyFill="1" applyBorder="1" applyAlignment="1">
      <alignment horizontal="center" vertical="center"/>
    </xf>
    <xf numFmtId="0" fontId="125" fillId="15" borderId="20" xfId="0" applyFont="1" applyFill="1" applyBorder="1" applyAlignment="1">
      <alignment horizontal="center" vertical="center"/>
    </xf>
    <xf numFmtId="0" fontId="125" fillId="15" borderId="0" xfId="0" applyFont="1" applyFill="1" applyBorder="1" applyAlignment="1">
      <alignment horizontal="center" vertical="center"/>
    </xf>
    <xf numFmtId="0" fontId="95" fillId="12" borderId="9" xfId="0" applyFont="1" applyFill="1" applyBorder="1" applyAlignment="1">
      <alignment horizontal="center" vertical="center"/>
    </xf>
    <xf numFmtId="0" fontId="95" fillId="12" borderId="0" xfId="0" applyFont="1" applyFill="1" applyBorder="1" applyAlignment="1">
      <alignment horizontal="center" vertical="center"/>
    </xf>
    <xf numFmtId="0" fontId="95" fillId="12" borderId="21" xfId="0" applyFont="1" applyFill="1" applyBorder="1" applyAlignment="1">
      <alignment horizontal="center" vertical="center"/>
    </xf>
    <xf numFmtId="0" fontId="102" fillId="29" borderId="23" xfId="0" applyFont="1" applyFill="1" applyBorder="1" applyAlignment="1">
      <alignment horizontal="center"/>
    </xf>
    <xf numFmtId="0" fontId="102" fillId="29" borderId="44" xfId="0" applyFont="1" applyFill="1" applyBorder="1" applyAlignment="1">
      <alignment horizontal="center"/>
    </xf>
    <xf numFmtId="0" fontId="125" fillId="15" borderId="70" xfId="0" applyFont="1" applyFill="1" applyBorder="1" applyAlignment="1">
      <alignment horizontal="center" vertical="center"/>
    </xf>
    <xf numFmtId="0" fontId="125" fillId="15" borderId="23" xfId="0" applyFont="1" applyFill="1" applyBorder="1" applyAlignment="1">
      <alignment horizontal="center" vertical="center"/>
    </xf>
    <xf numFmtId="0" fontId="94" fillId="30" borderId="47" xfId="0" applyFont="1" applyFill="1" applyBorder="1" applyAlignment="1">
      <alignment horizontal="center"/>
    </xf>
    <xf numFmtId="0" fontId="94" fillId="30" borderId="45" xfId="0" applyFont="1" applyFill="1" applyBorder="1" applyAlignment="1">
      <alignment horizontal="center"/>
    </xf>
    <xf numFmtId="0" fontId="94" fillId="30" borderId="48" xfId="0" applyFont="1" applyFill="1" applyBorder="1" applyAlignment="1">
      <alignment horizontal="center"/>
    </xf>
    <xf numFmtId="0" fontId="112" fillId="12" borderId="22" xfId="0" applyFont="1" applyFill="1" applyBorder="1" applyAlignment="1">
      <alignment horizontal="center" vertical="center"/>
    </xf>
    <xf numFmtId="0" fontId="112" fillId="12" borderId="23" xfId="0" applyFont="1" applyFill="1" applyBorder="1" applyAlignment="1">
      <alignment horizontal="center" vertical="center"/>
    </xf>
    <xf numFmtId="0" fontId="112" fillId="12" borderId="44" xfId="0" applyFont="1" applyFill="1" applyBorder="1" applyAlignment="1">
      <alignment horizontal="center" vertical="center"/>
    </xf>
    <xf numFmtId="0" fontId="112" fillId="13" borderId="70" xfId="0" applyFont="1" applyFill="1" applyBorder="1" applyAlignment="1">
      <alignment horizontal="center" vertical="center"/>
    </xf>
    <xf numFmtId="0" fontId="112" fillId="13" borderId="23" xfId="0" applyFont="1" applyFill="1" applyBorder="1" applyAlignment="1">
      <alignment horizontal="center" vertical="center"/>
    </xf>
    <xf numFmtId="0" fontId="112" fillId="13" borderId="24" xfId="0" applyFont="1" applyFill="1" applyBorder="1" applyAlignment="1">
      <alignment horizontal="center" vertical="center"/>
    </xf>
    <xf numFmtId="1" fontId="99" fillId="62" borderId="19" xfId="0" applyNumberFormat="1" applyFont="1" applyFill="1" applyBorder="1" applyAlignment="1">
      <alignment horizontal="center" vertical="center" wrapText="1"/>
    </xf>
    <xf numFmtId="1" fontId="99" fillId="62" borderId="43" xfId="0" applyNumberFormat="1" applyFont="1" applyFill="1" applyBorder="1" applyAlignment="1">
      <alignment horizontal="center" vertical="center" wrapText="1"/>
    </xf>
    <xf numFmtId="1" fontId="99" fillId="62" borderId="40" xfId="0" applyNumberFormat="1" applyFont="1" applyFill="1" applyBorder="1" applyAlignment="1">
      <alignment horizontal="center" vertical="center" wrapText="1"/>
    </xf>
    <xf numFmtId="1" fontId="112" fillId="62" borderId="20" xfId="0" applyNumberFormat="1" applyFont="1" applyFill="1" applyBorder="1" applyAlignment="1">
      <alignment horizontal="center" vertical="center" wrapText="1"/>
    </xf>
    <xf numFmtId="1" fontId="112" fillId="62" borderId="0" xfId="0" applyNumberFormat="1" applyFont="1" applyFill="1" applyBorder="1" applyAlignment="1">
      <alignment horizontal="center" vertical="center" wrapText="1"/>
    </xf>
    <xf numFmtId="1" fontId="112" fillId="62" borderId="21" xfId="0" applyNumberFormat="1" applyFont="1" applyFill="1" applyBorder="1" applyAlignment="1">
      <alignment horizontal="center" vertical="center" wrapText="1"/>
    </xf>
    <xf numFmtId="1" fontId="104" fillId="0" borderId="0" xfId="0" applyNumberFormat="1" applyFont="1" applyFill="1" applyAlignment="1">
      <alignment horizontal="center"/>
    </xf>
    <xf numFmtId="1" fontId="112" fillId="62" borderId="19" xfId="0" applyNumberFormat="1" applyFont="1" applyFill="1" applyBorder="1" applyAlignment="1">
      <alignment horizontal="center" vertical="center" wrapText="1"/>
    </xf>
    <xf numFmtId="1" fontId="112" fillId="62" borderId="43" xfId="0" applyNumberFormat="1" applyFont="1" applyFill="1" applyBorder="1" applyAlignment="1">
      <alignment horizontal="center" vertical="center" wrapText="1"/>
    </xf>
    <xf numFmtId="1" fontId="112" fillId="62" borderId="40" xfId="0" applyNumberFormat="1" applyFont="1" applyFill="1" applyBorder="1" applyAlignment="1">
      <alignment horizontal="center" vertical="center" wrapText="1"/>
    </xf>
    <xf numFmtId="1" fontId="97" fillId="32" borderId="0" xfId="0" applyNumberFormat="1" applyFont="1" applyFill="1" applyAlignment="1">
      <alignment horizontal="center" vertical="center"/>
    </xf>
    <xf numFmtId="1" fontId="99" fillId="62" borderId="20" xfId="0" applyNumberFormat="1" applyFont="1" applyFill="1" applyBorder="1" applyAlignment="1">
      <alignment horizontal="center" vertical="center" wrapText="1"/>
    </xf>
    <xf numFmtId="1" fontId="99" fillId="62" borderId="0" xfId="0" applyNumberFormat="1" applyFont="1" applyFill="1" applyBorder="1" applyAlignment="1">
      <alignment horizontal="center" vertical="center" wrapText="1"/>
    </xf>
    <xf numFmtId="1" fontId="99" fillId="62" borderId="21" xfId="0" applyNumberFormat="1" applyFont="1" applyFill="1" applyBorder="1" applyAlignment="1">
      <alignment horizontal="center" vertical="center" wrapText="1"/>
    </xf>
    <xf numFmtId="1" fontId="97" fillId="0" borderId="43" xfId="0" applyNumberFormat="1" applyFont="1" applyFill="1" applyBorder="1" applyAlignment="1">
      <alignment horizontal="center"/>
    </xf>
    <xf numFmtId="0" fontId="94" fillId="36" borderId="17" xfId="0" applyFont="1" applyFill="1" applyBorder="1" applyAlignment="1">
      <alignment horizontal="center" vertical="center" wrapText="1"/>
    </xf>
    <xf numFmtId="0" fontId="94" fillId="37" borderId="25" xfId="0" applyFont="1" applyFill="1" applyBorder="1" applyAlignment="1">
      <alignment horizontal="center" vertical="center" wrapText="1"/>
    </xf>
    <xf numFmtId="0" fontId="94" fillId="37" borderId="6" xfId="0" applyFont="1" applyFill="1" applyBorder="1" applyAlignment="1">
      <alignment horizontal="center" vertical="center" wrapText="1"/>
    </xf>
    <xf numFmtId="0" fontId="94" fillId="37" borderId="26" xfId="0" applyFont="1" applyFill="1" applyBorder="1" applyAlignment="1">
      <alignment horizontal="center" vertical="center" wrapText="1"/>
    </xf>
    <xf numFmtId="0" fontId="94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4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272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3" xfId="54170" xr:uid="{CD25C4FA-9717-48C6-AD12-49BDDEC0411C}"/>
    <cellStyle name="Normal 2 2 2 2 4" xfId="54200" xr:uid="{C2F48E2A-37AE-4317-BE2E-F6DF34CADFFF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3" xfId="54169" xr:uid="{2EE242C2-0790-40F1-AF7D-850BDD30B302}"/>
    <cellStyle name="Normal 2 3 2 4" xfId="54199" xr:uid="{B4D81AF3-5421-4617-96D5-27109BF8B6FD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4" xfId="53862" xr:uid="{DDE63B80-E097-433D-A0A3-C90342AEF29F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0" defaultTableStyle="TableStyleMedium2" defaultPivotStyle="PivotStyleLight16"/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PCR: Yac. EL MEDANITO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003366"/>
                </a:solidFill>
                <a:latin typeface="Arial"/>
                <a:cs typeface="Arial"/>
              </a:rPr>
              <a:t>Inyección de Gas - m3/d (a 9300 kcal)  en el PM 470 -TGS </a:t>
            </a:r>
          </a:p>
        </c:rich>
      </c:tx>
      <c:layout>
        <c:manualLayout>
          <c:xMode val="edge"/>
          <c:yMode val="edge"/>
          <c:x val="0.32965936478648628"/>
          <c:y val="3.3670019435490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9282936348284"/>
          <c:y val="0.16155007726837867"/>
          <c:w val="0.81663326653307233"/>
          <c:h val="0.69865319865320064"/>
        </c:manualLayout>
      </c:layout>
      <c:lineChart>
        <c:grouping val="standard"/>
        <c:varyColors val="0"/>
        <c:ser>
          <c:idx val="0"/>
          <c:order val="0"/>
          <c:tx>
            <c:v>Medanito: gas inyectado a TGS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Prodiarias!$E$11:$E$41</c:f>
              <c:numCache>
                <c:formatCode>#,##0</c:formatCode>
                <c:ptCount val="31"/>
                <c:pt idx="0">
                  <c:v>405009</c:v>
                </c:pt>
                <c:pt idx="1">
                  <c:v>396839</c:v>
                </c:pt>
                <c:pt idx="2">
                  <c:v>392027</c:v>
                </c:pt>
                <c:pt idx="3">
                  <c:v>391370</c:v>
                </c:pt>
                <c:pt idx="4">
                  <c:v>406429</c:v>
                </c:pt>
                <c:pt idx="5">
                  <c:v>408095</c:v>
                </c:pt>
                <c:pt idx="6">
                  <c:v>396189</c:v>
                </c:pt>
                <c:pt idx="7">
                  <c:v>396364</c:v>
                </c:pt>
                <c:pt idx="8">
                  <c:v>407115</c:v>
                </c:pt>
                <c:pt idx="9">
                  <c:v>407645</c:v>
                </c:pt>
                <c:pt idx="10">
                  <c:v>401336</c:v>
                </c:pt>
                <c:pt idx="11">
                  <c:v>413666</c:v>
                </c:pt>
                <c:pt idx="12">
                  <c:v>411948</c:v>
                </c:pt>
                <c:pt idx="13">
                  <c:v>412805</c:v>
                </c:pt>
                <c:pt idx="14">
                  <c:v>391914</c:v>
                </c:pt>
                <c:pt idx="15">
                  <c:v>393646</c:v>
                </c:pt>
                <c:pt idx="16">
                  <c:v>389654</c:v>
                </c:pt>
                <c:pt idx="17">
                  <c:v>396722</c:v>
                </c:pt>
                <c:pt idx="18">
                  <c:v>396845</c:v>
                </c:pt>
                <c:pt idx="19">
                  <c:v>382990</c:v>
                </c:pt>
                <c:pt idx="20">
                  <c:v>358070</c:v>
                </c:pt>
                <c:pt idx="21">
                  <c:v>398840</c:v>
                </c:pt>
                <c:pt idx="22">
                  <c:v>412102</c:v>
                </c:pt>
                <c:pt idx="23">
                  <c:v>409624</c:v>
                </c:pt>
                <c:pt idx="24">
                  <c:v>401876</c:v>
                </c:pt>
                <c:pt idx="25">
                  <c:v>403719</c:v>
                </c:pt>
                <c:pt idx="26">
                  <c:v>399735</c:v>
                </c:pt>
                <c:pt idx="27">
                  <c:v>392056</c:v>
                </c:pt>
                <c:pt idx="28">
                  <c:v>383812</c:v>
                </c:pt>
                <c:pt idx="29">
                  <c:v>389577</c:v>
                </c:pt>
                <c:pt idx="30">
                  <c:v>390757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1-4B91-9A94-43D383B9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3152"/>
        <c:axId val="137005312"/>
      </c:lineChart>
      <c:catAx>
        <c:axId val="121873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3783747058865607"/>
              <c:y val="0.903165694892165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0053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7005312"/>
        <c:scaling>
          <c:orientation val="minMax"/>
          <c:max val="9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243100402667E-2"/>
              <c:y val="0.479798011825703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1873152"/>
        <c:crosses val="autoZero"/>
        <c:crossBetween val="between"/>
        <c:majorUnit val="100000"/>
        <c:minorUnit val="50000"/>
      </c:valAx>
      <c:spPr>
        <a:solidFill>
          <a:srgbClr val="FFFFDD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2110894176375073"/>
          <c:y val="0.90702695720081972"/>
          <c:w val="0.22545087858568136"/>
          <c:h val="5.3739893251598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PCR: Yac. EL MEDANITO y Yac. EL SOSNEADO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 sz="875" b="0" i="0" u="none" strike="noStrike" baseline="0">
              <a:solidFill>
                <a:srgbClr val="333399"/>
              </a:solidFill>
              <a:latin typeface="Arial"/>
              <a:cs typeface="Arial"/>
            </a:endParaRP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0" i="0" u="none" strike="noStrike" baseline="0">
                <a:solidFill>
                  <a:srgbClr val="333399"/>
                </a:solidFill>
                <a:latin typeface="Arial"/>
                <a:cs typeface="Arial"/>
              </a:rPr>
              <a:t>Producción  de  Petróleo  Diaria</a:t>
            </a:r>
          </a:p>
        </c:rich>
      </c:tx>
      <c:layout>
        <c:manualLayout>
          <c:xMode val="edge"/>
          <c:yMode val="edge"/>
          <c:x val="0.3410701476884927"/>
          <c:y val="2.86854968816971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8269238213727E-2"/>
          <c:y val="0.13912017072632279"/>
          <c:w val="0.8613553762802626"/>
          <c:h val="0.73354409203522464"/>
        </c:manualLayout>
      </c:layout>
      <c:lineChart>
        <c:grouping val="standard"/>
        <c:varyColors val="0"/>
        <c:ser>
          <c:idx val="0"/>
          <c:order val="0"/>
          <c:tx>
            <c:v>Medanito: petróleo</c:v>
          </c:tx>
          <c:spPr>
            <a:ln w="12700">
              <a:solidFill>
                <a:schemeClr val="accent5">
                  <a:lumMod val="50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4">
                  <a:lumMod val="50000"/>
                </a:schemeClr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579.91999999999996</c:v>
                </c:pt>
                <c:pt idx="1">
                  <c:v>597.29999999999995</c:v>
                </c:pt>
                <c:pt idx="2">
                  <c:v>586.13</c:v>
                </c:pt>
                <c:pt idx="3">
                  <c:v>642.91999999999996</c:v>
                </c:pt>
                <c:pt idx="4">
                  <c:v>558.01</c:v>
                </c:pt>
                <c:pt idx="5">
                  <c:v>569.4</c:v>
                </c:pt>
                <c:pt idx="6">
                  <c:v>613.17999999999995</c:v>
                </c:pt>
                <c:pt idx="7">
                  <c:v>590.11</c:v>
                </c:pt>
                <c:pt idx="8">
                  <c:v>606.76</c:v>
                </c:pt>
                <c:pt idx="9">
                  <c:v>589.29999999999995</c:v>
                </c:pt>
                <c:pt idx="10">
                  <c:v>589.24</c:v>
                </c:pt>
                <c:pt idx="11">
                  <c:v>573.09</c:v>
                </c:pt>
                <c:pt idx="12">
                  <c:v>576.07000000000005</c:v>
                </c:pt>
                <c:pt idx="13">
                  <c:v>537.16999999999996</c:v>
                </c:pt>
                <c:pt idx="14">
                  <c:v>567.01</c:v>
                </c:pt>
                <c:pt idx="15">
                  <c:v>611.88</c:v>
                </c:pt>
                <c:pt idx="16">
                  <c:v>623.5</c:v>
                </c:pt>
                <c:pt idx="17">
                  <c:v>614.51</c:v>
                </c:pt>
                <c:pt idx="18">
                  <c:v>622.91999999999996</c:v>
                </c:pt>
                <c:pt idx="19">
                  <c:v>615.4</c:v>
                </c:pt>
                <c:pt idx="20">
                  <c:v>615.41999999999996</c:v>
                </c:pt>
                <c:pt idx="21">
                  <c:v>617.22</c:v>
                </c:pt>
                <c:pt idx="22">
                  <c:v>609.75</c:v>
                </c:pt>
                <c:pt idx="23">
                  <c:v>608.05999999999995</c:v>
                </c:pt>
                <c:pt idx="24">
                  <c:v>585.20000000000005</c:v>
                </c:pt>
                <c:pt idx="25">
                  <c:v>622.5</c:v>
                </c:pt>
                <c:pt idx="26">
                  <c:v>610.24</c:v>
                </c:pt>
                <c:pt idx="27">
                  <c:v>604.70000000000005</c:v>
                </c:pt>
                <c:pt idx="28">
                  <c:v>633.5</c:v>
                </c:pt>
                <c:pt idx="29">
                  <c:v>597.76</c:v>
                </c:pt>
                <c:pt idx="30">
                  <c:v>614.99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9-4D9F-AEA7-F96E7881A25D}"/>
            </c:ext>
          </c:extLst>
        </c:ser>
        <c:ser>
          <c:idx val="1"/>
          <c:order val="1"/>
          <c:tx>
            <c:v>Sosneado: petróleo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bg2">
                  <a:lumMod val="10000"/>
                </a:schemeClr>
              </a:solidFill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200.756</c:v>
                </c:pt>
                <c:pt idx="1">
                  <c:v>199.9</c:v>
                </c:pt>
                <c:pt idx="2">
                  <c:v>202.7</c:v>
                </c:pt>
                <c:pt idx="3">
                  <c:v>198.1</c:v>
                </c:pt>
                <c:pt idx="4">
                  <c:v>198.6</c:v>
                </c:pt>
                <c:pt idx="5">
                  <c:v>198.8</c:v>
                </c:pt>
                <c:pt idx="6">
                  <c:v>195.5</c:v>
                </c:pt>
                <c:pt idx="7">
                  <c:v>198.1</c:v>
                </c:pt>
                <c:pt idx="8">
                  <c:v>198.7</c:v>
                </c:pt>
                <c:pt idx="9">
                  <c:v>198</c:v>
                </c:pt>
                <c:pt idx="10">
                  <c:v>194</c:v>
                </c:pt>
                <c:pt idx="11">
                  <c:v>189</c:v>
                </c:pt>
                <c:pt idx="12">
                  <c:v>189.4</c:v>
                </c:pt>
                <c:pt idx="13">
                  <c:v>187.8</c:v>
                </c:pt>
                <c:pt idx="14">
                  <c:v>187</c:v>
                </c:pt>
                <c:pt idx="15">
                  <c:v>187.2</c:v>
                </c:pt>
                <c:pt idx="16">
                  <c:v>186.1</c:v>
                </c:pt>
                <c:pt idx="17">
                  <c:v>186.7</c:v>
                </c:pt>
                <c:pt idx="18">
                  <c:v>186.7</c:v>
                </c:pt>
                <c:pt idx="19">
                  <c:v>184.6</c:v>
                </c:pt>
                <c:pt idx="20">
                  <c:v>184.6</c:v>
                </c:pt>
                <c:pt idx="21">
                  <c:v>185.5</c:v>
                </c:pt>
                <c:pt idx="22">
                  <c:v>190.6</c:v>
                </c:pt>
                <c:pt idx="23">
                  <c:v>189.7</c:v>
                </c:pt>
                <c:pt idx="24">
                  <c:v>193.9</c:v>
                </c:pt>
                <c:pt idx="25">
                  <c:v>194.5</c:v>
                </c:pt>
                <c:pt idx="26">
                  <c:v>191.6</c:v>
                </c:pt>
                <c:pt idx="27">
                  <c:v>193.6</c:v>
                </c:pt>
                <c:pt idx="28">
                  <c:v>193.5</c:v>
                </c:pt>
                <c:pt idx="29">
                  <c:v>191.4</c:v>
                </c:pt>
                <c:pt idx="30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9-4D9F-AEA7-F96E7881A25D}"/>
            </c:ext>
          </c:extLst>
        </c:ser>
        <c:ser>
          <c:idx val="2"/>
          <c:order val="2"/>
          <c:tx>
            <c:v>Medanito: petróleo</c:v>
          </c:tx>
          <c:spPr>
            <a:ln w="12700"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Prodiarias!$B$11:$B$41</c:f>
              <c:numCache>
                <c:formatCode>#,##0</c:formatCode>
                <c:ptCount val="31"/>
                <c:pt idx="0">
                  <c:v>579.91999999999996</c:v>
                </c:pt>
                <c:pt idx="1">
                  <c:v>597.29999999999995</c:v>
                </c:pt>
                <c:pt idx="2">
                  <c:v>586.13</c:v>
                </c:pt>
                <c:pt idx="3">
                  <c:v>642.91999999999996</c:v>
                </c:pt>
                <c:pt idx="4">
                  <c:v>558.01</c:v>
                </c:pt>
                <c:pt idx="5">
                  <c:v>569.4</c:v>
                </c:pt>
                <c:pt idx="6">
                  <c:v>613.17999999999995</c:v>
                </c:pt>
                <c:pt idx="7">
                  <c:v>590.11</c:v>
                </c:pt>
                <c:pt idx="8">
                  <c:v>606.76</c:v>
                </c:pt>
                <c:pt idx="9">
                  <c:v>589.29999999999995</c:v>
                </c:pt>
                <c:pt idx="10">
                  <c:v>589.24</c:v>
                </c:pt>
                <c:pt idx="11">
                  <c:v>573.09</c:v>
                </c:pt>
                <c:pt idx="12">
                  <c:v>576.07000000000005</c:v>
                </c:pt>
                <c:pt idx="13">
                  <c:v>537.16999999999996</c:v>
                </c:pt>
                <c:pt idx="14">
                  <c:v>567.01</c:v>
                </c:pt>
                <c:pt idx="15">
                  <c:v>611.88</c:v>
                </c:pt>
                <c:pt idx="16">
                  <c:v>623.5</c:v>
                </c:pt>
                <c:pt idx="17">
                  <c:v>614.51</c:v>
                </c:pt>
                <c:pt idx="18">
                  <c:v>622.91999999999996</c:v>
                </c:pt>
                <c:pt idx="19">
                  <c:v>615.4</c:v>
                </c:pt>
                <c:pt idx="20">
                  <c:v>615.41999999999996</c:v>
                </c:pt>
                <c:pt idx="21">
                  <c:v>617.22</c:v>
                </c:pt>
                <c:pt idx="22">
                  <c:v>609.75</c:v>
                </c:pt>
                <c:pt idx="23">
                  <c:v>608.05999999999995</c:v>
                </c:pt>
                <c:pt idx="24">
                  <c:v>585.20000000000005</c:v>
                </c:pt>
                <c:pt idx="25">
                  <c:v>622.5</c:v>
                </c:pt>
                <c:pt idx="26">
                  <c:v>610.24</c:v>
                </c:pt>
                <c:pt idx="27">
                  <c:v>604.70000000000005</c:v>
                </c:pt>
                <c:pt idx="28">
                  <c:v>633.5</c:v>
                </c:pt>
                <c:pt idx="29">
                  <c:v>597.76</c:v>
                </c:pt>
                <c:pt idx="30">
                  <c:v>614.99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9-4D9F-AEA7-F96E7881A25D}"/>
            </c:ext>
          </c:extLst>
        </c:ser>
        <c:ser>
          <c:idx val="3"/>
          <c:order val="3"/>
          <c:tx>
            <c:v>Sosneado: petróleo</c:v>
          </c:tx>
          <c:spPr>
            <a:ln w="12700">
              <a:solidFill>
                <a:schemeClr val="tx1"/>
              </a:solidFill>
            </a:ln>
          </c:spPr>
          <c:cat>
            <c:numRef>
              <c:f>Prodiarias!$A$11:$A$41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Prodiarias!$V$11:$V$41</c:f>
              <c:numCache>
                <c:formatCode>#,##0</c:formatCode>
                <c:ptCount val="31"/>
                <c:pt idx="0">
                  <c:v>200.756</c:v>
                </c:pt>
                <c:pt idx="1">
                  <c:v>199.9</c:v>
                </c:pt>
                <c:pt idx="2">
                  <c:v>202.7</c:v>
                </c:pt>
                <c:pt idx="3">
                  <c:v>198.1</c:v>
                </c:pt>
                <c:pt idx="4">
                  <c:v>198.6</c:v>
                </c:pt>
                <c:pt idx="5">
                  <c:v>198.8</c:v>
                </c:pt>
                <c:pt idx="6">
                  <c:v>195.5</c:v>
                </c:pt>
                <c:pt idx="7">
                  <c:v>198.1</c:v>
                </c:pt>
                <c:pt idx="8">
                  <c:v>198.7</c:v>
                </c:pt>
                <c:pt idx="9">
                  <c:v>198</c:v>
                </c:pt>
                <c:pt idx="10">
                  <c:v>194</c:v>
                </c:pt>
                <c:pt idx="11">
                  <c:v>189</c:v>
                </c:pt>
                <c:pt idx="12">
                  <c:v>189.4</c:v>
                </c:pt>
                <c:pt idx="13">
                  <c:v>187.8</c:v>
                </c:pt>
                <c:pt idx="14">
                  <c:v>187</c:v>
                </c:pt>
                <c:pt idx="15">
                  <c:v>187.2</c:v>
                </c:pt>
                <c:pt idx="16">
                  <c:v>186.1</c:v>
                </c:pt>
                <c:pt idx="17">
                  <c:v>186.7</c:v>
                </c:pt>
                <c:pt idx="18">
                  <c:v>186.7</c:v>
                </c:pt>
                <c:pt idx="19">
                  <c:v>184.6</c:v>
                </c:pt>
                <c:pt idx="20">
                  <c:v>184.6</c:v>
                </c:pt>
                <c:pt idx="21">
                  <c:v>185.5</c:v>
                </c:pt>
                <c:pt idx="22">
                  <c:v>190.6</c:v>
                </c:pt>
                <c:pt idx="23">
                  <c:v>189.7</c:v>
                </c:pt>
                <c:pt idx="24">
                  <c:v>193.9</c:v>
                </c:pt>
                <c:pt idx="25">
                  <c:v>194.5</c:v>
                </c:pt>
                <c:pt idx="26">
                  <c:v>191.6</c:v>
                </c:pt>
                <c:pt idx="27">
                  <c:v>193.6</c:v>
                </c:pt>
                <c:pt idx="28">
                  <c:v>193.5</c:v>
                </c:pt>
                <c:pt idx="29">
                  <c:v>191.4</c:v>
                </c:pt>
                <c:pt idx="30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9-4D9F-AEA7-F96E7881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008"/>
        <c:axId val="1228800"/>
      </c:lineChart>
      <c:catAx>
        <c:axId val="122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88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28800"/>
        <c:scaling>
          <c:orientation val="minMax"/>
          <c:max val="1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m3/d</a:t>
                </a:r>
              </a:p>
            </c:rich>
          </c:tx>
          <c:layout>
            <c:manualLayout>
              <c:xMode val="edge"/>
              <c:yMode val="edge"/>
              <c:x val="5.210419889566785E-2"/>
              <c:y val="0.4797979243420260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27008"/>
        <c:crosses val="autoZero"/>
        <c:crossBetween val="between"/>
        <c:majorUnit val="200"/>
        <c:minorUnit val="50"/>
      </c:valAx>
      <c:spPr>
        <a:solidFill>
          <a:srgbClr val="F8FAF4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2">
          <a:lumMod val="75000"/>
        </a:schemeClr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4803149606299646" l="0.70866141732283972" r="0.70866141732283972" t="0.74803149606299646" header="0.31496062992126395" footer="0.3149606299212639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579.91999999999996</c:v>
                </c:pt>
                <c:pt idx="1">
                  <c:v>597.29999999999995</c:v>
                </c:pt>
                <c:pt idx="2">
                  <c:v>586.13</c:v>
                </c:pt>
                <c:pt idx="3">
                  <c:v>642.91999999999996</c:v>
                </c:pt>
                <c:pt idx="4">
                  <c:v>558.01</c:v>
                </c:pt>
                <c:pt idx="5">
                  <c:v>569.4</c:v>
                </c:pt>
                <c:pt idx="6">
                  <c:v>613.17999999999995</c:v>
                </c:pt>
                <c:pt idx="7">
                  <c:v>590.11</c:v>
                </c:pt>
                <c:pt idx="8">
                  <c:v>606.76</c:v>
                </c:pt>
                <c:pt idx="9">
                  <c:v>589.29999999999995</c:v>
                </c:pt>
                <c:pt idx="10">
                  <c:v>589.24</c:v>
                </c:pt>
                <c:pt idx="11">
                  <c:v>573.09</c:v>
                </c:pt>
                <c:pt idx="12">
                  <c:v>576.07000000000005</c:v>
                </c:pt>
                <c:pt idx="13">
                  <c:v>537.16999999999996</c:v>
                </c:pt>
                <c:pt idx="14">
                  <c:v>567.01</c:v>
                </c:pt>
                <c:pt idx="15">
                  <c:v>611.88</c:v>
                </c:pt>
                <c:pt idx="16">
                  <c:v>623.5</c:v>
                </c:pt>
                <c:pt idx="17">
                  <c:v>614.51</c:v>
                </c:pt>
                <c:pt idx="18">
                  <c:v>622.91999999999996</c:v>
                </c:pt>
                <c:pt idx="19">
                  <c:v>615.4</c:v>
                </c:pt>
                <c:pt idx="20">
                  <c:v>615.41999999999996</c:v>
                </c:pt>
                <c:pt idx="21">
                  <c:v>617.22</c:v>
                </c:pt>
                <c:pt idx="22">
                  <c:v>609.75</c:v>
                </c:pt>
                <c:pt idx="23">
                  <c:v>608.05999999999995</c:v>
                </c:pt>
                <c:pt idx="24">
                  <c:v>585.20000000000005</c:v>
                </c:pt>
                <c:pt idx="25">
                  <c:v>622.5</c:v>
                </c:pt>
                <c:pt idx="26">
                  <c:v>610.24</c:v>
                </c:pt>
                <c:pt idx="27">
                  <c:v>604.70000000000005</c:v>
                </c:pt>
                <c:pt idx="28">
                  <c:v>633.5</c:v>
                </c:pt>
                <c:pt idx="29">
                  <c:v>597.76</c:v>
                </c:pt>
                <c:pt idx="30">
                  <c:v>614.99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200.756</c:v>
                </c:pt>
                <c:pt idx="1">
                  <c:v>199.9</c:v>
                </c:pt>
                <c:pt idx="2">
                  <c:v>202.7</c:v>
                </c:pt>
                <c:pt idx="3">
                  <c:v>198.1</c:v>
                </c:pt>
                <c:pt idx="4">
                  <c:v>198.6</c:v>
                </c:pt>
                <c:pt idx="5">
                  <c:v>198.8</c:v>
                </c:pt>
                <c:pt idx="6">
                  <c:v>195.5</c:v>
                </c:pt>
                <c:pt idx="7">
                  <c:v>198.1</c:v>
                </c:pt>
                <c:pt idx="8">
                  <c:v>198.7</c:v>
                </c:pt>
                <c:pt idx="9">
                  <c:v>198</c:v>
                </c:pt>
                <c:pt idx="10">
                  <c:v>194</c:v>
                </c:pt>
                <c:pt idx="11">
                  <c:v>189</c:v>
                </c:pt>
                <c:pt idx="12">
                  <c:v>189.4</c:v>
                </c:pt>
                <c:pt idx="13">
                  <c:v>187.8</c:v>
                </c:pt>
                <c:pt idx="14">
                  <c:v>187</c:v>
                </c:pt>
                <c:pt idx="15">
                  <c:v>187.2</c:v>
                </c:pt>
                <c:pt idx="16">
                  <c:v>186.1</c:v>
                </c:pt>
                <c:pt idx="17">
                  <c:v>186.7</c:v>
                </c:pt>
                <c:pt idx="18">
                  <c:v>186.7</c:v>
                </c:pt>
                <c:pt idx="19">
                  <c:v>184.6</c:v>
                </c:pt>
                <c:pt idx="20">
                  <c:v>184.6</c:v>
                </c:pt>
                <c:pt idx="21">
                  <c:v>185.5</c:v>
                </c:pt>
                <c:pt idx="22">
                  <c:v>190.6</c:v>
                </c:pt>
                <c:pt idx="23">
                  <c:v>189.7</c:v>
                </c:pt>
                <c:pt idx="24">
                  <c:v>193.9</c:v>
                </c:pt>
                <c:pt idx="25">
                  <c:v>194.5</c:v>
                </c:pt>
                <c:pt idx="26">
                  <c:v>191.6</c:v>
                </c:pt>
                <c:pt idx="27">
                  <c:v>193.6</c:v>
                </c:pt>
                <c:pt idx="28">
                  <c:v>193.5</c:v>
                </c:pt>
                <c:pt idx="29">
                  <c:v>191.4</c:v>
                </c:pt>
                <c:pt idx="30">
                  <c:v>187.5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250000000000002"/>
          <c:y val="0.62289562289562328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Gráfico2">
    <tabColor indexed="43"/>
  </sheetPr>
  <sheetViews>
    <sheetView workbookViewId="0"/>
  </sheetViews>
  <pageMargins left="0.55118110236220474" right="0.62992125984251968" top="0.98425196850393704" bottom="0.98425196850393704" header="0" footer="0"/>
  <pageSetup paperSize="9" orientation="landscape" horizontalDpi="4294967295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9600" cy="5651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409574</xdr:colOff>
      <xdr:row>0</xdr:row>
      <xdr:rowOff>9525</xdr:rowOff>
    </xdr:from>
    <xdr:to>
      <xdr:col>15</xdr:col>
      <xdr:colOff>619125</xdr:colOff>
      <xdr:row>43</xdr:row>
      <xdr:rowOff>28575</xdr:rowOff>
    </xdr:to>
    <xdr:graphicFrame macro="">
      <xdr:nvGraphicFramePr>
        <xdr:cNvPr id="3193" name="2 Gráfico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0.9778</cdr:x>
      <cdr:y>0.91398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498" y="6172429"/>
          <a:ext cx="9321428" cy="304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100" b="1" i="0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100" b="1" i="0" strike="noStrike">
              <a:solidFill>
                <a:srgbClr val="003366"/>
              </a:solidFill>
              <a:latin typeface="Arial"/>
              <a:cs typeface="Arial"/>
            </a:rPr>
            <a:t>.</a:t>
          </a: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0.65624</cdr:x>
      <cdr:y>0.90875</cdr:y>
    </cdr:from>
    <cdr:to>
      <cdr:x>0.93124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0.07354</cdr:x>
      <cdr:y>0.93683</cdr:y>
    </cdr:from>
    <cdr:to>
      <cdr:x>0.98129</cdr:x>
      <cdr:y>0.95738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213" y="6638924"/>
          <a:ext cx="9346671" cy="145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AP48"/>
  <sheetViews>
    <sheetView zoomScaleNormal="100" workbookViewId="0">
      <selection activeCell="E30" sqref="E30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:42" x14ac:dyDescent="0.25">
      <c r="B29">
        <v>622.91999999999996</v>
      </c>
      <c r="V29">
        <v>186.7</v>
      </c>
      <c r="AC29">
        <v>295.38</v>
      </c>
      <c r="AM29">
        <v>133.97</v>
      </c>
    </row>
    <row r="30" spans="2:42" x14ac:dyDescent="0.25">
      <c r="E30">
        <v>382990</v>
      </c>
      <c r="I30">
        <v>51574</v>
      </c>
      <c r="O30">
        <v>5016</v>
      </c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N66"/>
  <sheetViews>
    <sheetView tabSelected="1" zoomScaleNormal="100" workbookViewId="0">
      <pane xSplit="1" ySplit="10" topLeftCell="B35" activePane="bottomRight" state="frozen"/>
      <selection activeCell="N48" sqref="N48"/>
      <selection pane="topRight" activeCell="N48" sqref="N48"/>
      <selection pane="bottomLeft" activeCell="N48" sqref="N48"/>
      <selection pane="bottomRight" activeCell="AM41" sqref="AM41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2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</cols>
  <sheetData>
    <row r="1" spans="1:83" s="56" customFormat="1" ht="24" customHeight="1" thickBot="1" x14ac:dyDescent="0.4">
      <c r="A1" s="61"/>
      <c r="B1" s="366" t="s">
        <v>31</v>
      </c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261"/>
      <c r="AQ1" s="261"/>
      <c r="AR1" s="261"/>
      <c r="AS1" s="17"/>
      <c r="AT1" s="367" t="s">
        <v>32</v>
      </c>
      <c r="AU1" s="367"/>
      <c r="AV1" s="367"/>
      <c r="AW1" s="367"/>
      <c r="AX1" s="367"/>
      <c r="AY1" s="367"/>
      <c r="AZ1" s="367"/>
      <c r="BA1" s="62"/>
      <c r="BB1" s="380" t="s">
        <v>48</v>
      </c>
      <c r="BC1" s="380"/>
      <c r="BD1" s="380"/>
      <c r="BE1" s="380"/>
      <c r="BF1" s="380"/>
      <c r="BG1" s="381"/>
      <c r="BU1" s="63"/>
      <c r="BZ1" s="269"/>
    </row>
    <row r="2" spans="1:83" s="60" customFormat="1" ht="21" customHeight="1" thickBot="1" x14ac:dyDescent="0.4">
      <c r="A2" s="362" t="s">
        <v>29</v>
      </c>
      <c r="B2" s="363"/>
      <c r="C2" s="363"/>
      <c r="D2" s="363"/>
      <c r="E2" s="363"/>
      <c r="F2" s="363"/>
      <c r="G2" s="363"/>
      <c r="H2" s="17"/>
      <c r="I2" s="368" t="s">
        <v>29</v>
      </c>
      <c r="J2" s="369"/>
      <c r="K2" s="369"/>
      <c r="L2" s="369"/>
      <c r="M2" s="369"/>
      <c r="N2" s="369"/>
      <c r="O2" s="368" t="s">
        <v>29</v>
      </c>
      <c r="P2" s="369"/>
      <c r="Q2" s="369"/>
      <c r="R2" s="369"/>
      <c r="S2" s="369"/>
      <c r="T2" s="369"/>
      <c r="U2" s="17"/>
      <c r="V2" s="370" t="s">
        <v>18</v>
      </c>
      <c r="W2" s="371"/>
      <c r="X2" s="371"/>
      <c r="Y2" s="17"/>
      <c r="Z2" s="176"/>
      <c r="AA2" s="176"/>
      <c r="AB2" s="176"/>
      <c r="AC2" s="363" t="s">
        <v>29</v>
      </c>
      <c r="AD2" s="363"/>
      <c r="AE2" s="363"/>
      <c r="AF2" s="363"/>
      <c r="AG2" s="363"/>
      <c r="AH2" s="363"/>
      <c r="AI2" s="363"/>
      <c r="AJ2" s="363"/>
      <c r="AK2" s="363"/>
      <c r="AL2" s="17"/>
      <c r="AM2" s="24"/>
      <c r="AN2" s="24"/>
      <c r="AO2" s="24"/>
      <c r="AP2" s="24"/>
      <c r="AQ2" s="24"/>
      <c r="AR2" s="24"/>
      <c r="AS2" s="17"/>
      <c r="AT2" s="364" t="s">
        <v>18</v>
      </c>
      <c r="AU2" s="364"/>
      <c r="AV2" s="364"/>
      <c r="AW2" s="364"/>
      <c r="AX2" s="364"/>
      <c r="AY2" s="364"/>
      <c r="AZ2" s="365"/>
      <c r="BA2" s="57"/>
      <c r="BB2" s="364" t="s">
        <v>18</v>
      </c>
      <c r="BC2" s="364"/>
      <c r="BD2" s="364"/>
      <c r="BE2" s="364"/>
      <c r="BF2" s="364"/>
      <c r="BG2" s="365"/>
      <c r="BH2" s="58"/>
      <c r="BI2" s="327" t="s">
        <v>118</v>
      </c>
      <c r="BJ2" s="328"/>
      <c r="BK2" s="328"/>
      <c r="BL2" s="328"/>
      <c r="BM2" s="328"/>
      <c r="BN2" s="328"/>
      <c r="BO2" s="328"/>
      <c r="BP2" s="328"/>
      <c r="BQ2" s="328"/>
      <c r="BR2" s="328"/>
      <c r="BS2" s="328"/>
      <c r="BT2" s="329"/>
      <c r="BU2" s="59"/>
      <c r="BV2" s="384" t="s">
        <v>120</v>
      </c>
      <c r="BW2" s="385"/>
      <c r="BX2" s="385"/>
      <c r="BY2" s="385"/>
      <c r="BZ2" s="385"/>
      <c r="CA2" s="385"/>
      <c r="CB2" s="386"/>
    </row>
    <row r="3" spans="1:83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</row>
    <row r="4" spans="1:83" ht="20.25" customHeight="1" x14ac:dyDescent="0.35">
      <c r="A4" s="303" t="s">
        <v>91</v>
      </c>
      <c r="B4" s="304"/>
      <c r="C4" s="304"/>
      <c r="D4" s="304"/>
      <c r="E4" s="304"/>
      <c r="F4" s="304"/>
      <c r="G4" s="304"/>
      <c r="H4" s="34"/>
      <c r="I4" s="315" t="s">
        <v>92</v>
      </c>
      <c r="J4" s="304"/>
      <c r="K4" s="304"/>
      <c r="L4" s="304"/>
      <c r="M4" s="304"/>
      <c r="N4" s="304"/>
      <c r="O4" s="316"/>
      <c r="P4" s="316"/>
      <c r="Q4" s="316"/>
      <c r="R4" s="316"/>
      <c r="S4" s="316"/>
      <c r="T4" s="316"/>
      <c r="U4" s="34"/>
      <c r="V4" s="307" t="s">
        <v>26</v>
      </c>
      <c r="W4" s="308"/>
      <c r="X4" s="308"/>
      <c r="Y4" s="34"/>
      <c r="Z4" s="403" t="s">
        <v>36</v>
      </c>
      <c r="AA4" s="403"/>
      <c r="AB4" s="403"/>
      <c r="AC4" s="305" t="s">
        <v>93</v>
      </c>
      <c r="AD4" s="305"/>
      <c r="AE4" s="305"/>
      <c r="AF4" s="305"/>
      <c r="AG4" s="305"/>
      <c r="AH4" s="305"/>
      <c r="AI4" s="305"/>
      <c r="AJ4" s="305"/>
      <c r="AK4" s="306"/>
      <c r="AL4" s="17"/>
      <c r="AM4" s="305" t="s">
        <v>94</v>
      </c>
      <c r="AN4" s="305"/>
      <c r="AO4" s="305"/>
      <c r="AP4" s="305"/>
      <c r="AQ4" s="305"/>
      <c r="AR4" s="305"/>
      <c r="AS4" s="17"/>
      <c r="AT4" s="393"/>
      <c r="AU4" s="394"/>
      <c r="AV4" s="395"/>
      <c r="AW4" s="174"/>
      <c r="AX4" s="400"/>
      <c r="AY4" s="401"/>
      <c r="AZ4" s="402"/>
      <c r="BA4" s="175"/>
      <c r="BB4" s="393"/>
      <c r="BC4" s="394"/>
      <c r="BD4" s="394"/>
      <c r="BE4" s="394"/>
      <c r="BF4" s="394"/>
      <c r="BG4" s="395"/>
      <c r="BH4" s="3"/>
      <c r="BI4" s="189"/>
      <c r="BJ4" s="382"/>
      <c r="BK4" s="383"/>
      <c r="BL4" s="383"/>
      <c r="BM4" s="383"/>
      <c r="BN4" s="383"/>
      <c r="BO4" s="383"/>
      <c r="BP4" s="190"/>
      <c r="BQ4" s="339"/>
      <c r="BR4" s="340"/>
      <c r="BS4" s="341"/>
      <c r="BT4" s="69"/>
      <c r="BU4" s="15"/>
      <c r="BV4" s="387"/>
      <c r="BW4" s="388"/>
      <c r="BX4" s="389"/>
      <c r="BY4" s="206"/>
      <c r="BZ4" s="390"/>
      <c r="CA4" s="391"/>
      <c r="CB4" s="392"/>
    </row>
    <row r="5" spans="1:83" ht="12.75" customHeight="1" x14ac:dyDescent="0.35">
      <c r="A5" s="35"/>
      <c r="B5" s="302" t="s">
        <v>42</v>
      </c>
      <c r="C5" s="302"/>
      <c r="D5" s="302"/>
      <c r="E5" s="302"/>
      <c r="F5" s="302"/>
      <c r="G5" s="302"/>
      <c r="H5" s="34"/>
      <c r="I5" s="311" t="s">
        <v>42</v>
      </c>
      <c r="J5" s="302"/>
      <c r="K5" s="302"/>
      <c r="L5" s="302"/>
      <c r="M5" s="302"/>
      <c r="N5" s="302"/>
      <c r="O5" s="317"/>
      <c r="P5" s="317"/>
      <c r="Q5" s="317"/>
      <c r="R5" s="317"/>
      <c r="S5" s="317"/>
      <c r="T5" s="317"/>
      <c r="U5" s="34"/>
      <c r="V5" s="311" t="s">
        <v>43</v>
      </c>
      <c r="W5" s="302"/>
      <c r="X5" s="302"/>
      <c r="Y5" s="34"/>
      <c r="Z5" s="399" t="s">
        <v>44</v>
      </c>
      <c r="AA5" s="399"/>
      <c r="AB5" s="399"/>
      <c r="AC5" s="407" t="s">
        <v>42</v>
      </c>
      <c r="AD5" s="407"/>
      <c r="AE5" s="407"/>
      <c r="AF5" s="407"/>
      <c r="AG5" s="407"/>
      <c r="AH5" s="407"/>
      <c r="AI5" s="407"/>
      <c r="AJ5" s="407"/>
      <c r="AK5" s="407"/>
      <c r="AL5" s="17"/>
      <c r="AM5" s="302" t="s">
        <v>42</v>
      </c>
      <c r="AN5" s="302"/>
      <c r="AO5" s="302"/>
      <c r="AP5" s="302"/>
      <c r="AQ5" s="302"/>
      <c r="AR5" s="302"/>
      <c r="AS5" s="17"/>
      <c r="AT5" s="404" t="s">
        <v>30</v>
      </c>
      <c r="AU5" s="405"/>
      <c r="AV5" s="406"/>
      <c r="AW5" s="248"/>
      <c r="AX5" s="396" t="s">
        <v>40</v>
      </c>
      <c r="AY5" s="397"/>
      <c r="AZ5" s="398"/>
      <c r="BA5" s="249"/>
      <c r="BB5" s="404" t="s">
        <v>49</v>
      </c>
      <c r="BC5" s="405"/>
      <c r="BD5" s="405"/>
      <c r="BE5" s="405"/>
      <c r="BF5" s="405"/>
      <c r="BG5" s="406"/>
      <c r="BH5" s="3"/>
      <c r="BI5" s="115" t="s">
        <v>45</v>
      </c>
      <c r="BJ5" s="375" t="s">
        <v>19</v>
      </c>
      <c r="BK5" s="376"/>
      <c r="BL5" s="376"/>
      <c r="BM5" s="376"/>
      <c r="BN5" s="376"/>
      <c r="BO5" s="376"/>
      <c r="BP5" s="191"/>
      <c r="BQ5" s="334" t="s">
        <v>20</v>
      </c>
      <c r="BR5" s="335"/>
      <c r="BS5" s="336"/>
      <c r="BT5" s="70"/>
      <c r="BU5" s="15"/>
      <c r="BV5" s="377" t="s">
        <v>34</v>
      </c>
      <c r="BW5" s="378"/>
      <c r="BX5" s="379"/>
      <c r="BY5" s="207"/>
      <c r="BZ5" s="372" t="s">
        <v>35</v>
      </c>
      <c r="CA5" s="373"/>
      <c r="CB5" s="374"/>
    </row>
    <row r="6" spans="1:83" ht="11.25" customHeight="1" x14ac:dyDescent="0.35">
      <c r="A6" s="36"/>
      <c r="B6" s="276" t="s">
        <v>41</v>
      </c>
      <c r="C6" s="276"/>
      <c r="D6" s="276"/>
      <c r="E6" s="276"/>
      <c r="F6" s="276"/>
      <c r="G6" s="276"/>
      <c r="H6" s="16"/>
      <c r="I6" s="277" t="s">
        <v>109</v>
      </c>
      <c r="J6" s="278"/>
      <c r="K6" s="278"/>
      <c r="L6" s="278"/>
      <c r="M6" s="278"/>
      <c r="N6" s="278"/>
      <c r="O6" s="318"/>
      <c r="P6" s="318"/>
      <c r="Q6" s="318"/>
      <c r="R6" s="318"/>
      <c r="S6" s="318"/>
      <c r="T6" s="318"/>
      <c r="U6" s="16"/>
      <c r="V6" s="277" t="s">
        <v>37</v>
      </c>
      <c r="W6" s="278"/>
      <c r="X6" s="278"/>
      <c r="Y6" s="34"/>
      <c r="Z6" s="279" t="s">
        <v>38</v>
      </c>
      <c r="AA6" s="279"/>
      <c r="AB6" s="279"/>
      <c r="AC6" s="276" t="s">
        <v>41</v>
      </c>
      <c r="AD6" s="276"/>
      <c r="AE6" s="276"/>
      <c r="AF6" s="276"/>
      <c r="AG6" s="276"/>
      <c r="AH6" s="276"/>
      <c r="AI6" s="276"/>
      <c r="AJ6" s="276"/>
      <c r="AK6" s="276"/>
      <c r="AL6" s="17"/>
      <c r="AM6" s="276" t="s">
        <v>37</v>
      </c>
      <c r="AN6" s="276"/>
      <c r="AO6" s="276"/>
      <c r="AP6" s="276"/>
      <c r="AQ6" s="276"/>
      <c r="AR6" s="276"/>
      <c r="AS6" s="17"/>
      <c r="AT6" s="273"/>
      <c r="AU6" s="274"/>
      <c r="AV6" s="275"/>
      <c r="AW6" s="248"/>
      <c r="AX6" s="265"/>
      <c r="AY6" s="266" t="s">
        <v>39</v>
      </c>
      <c r="AZ6" s="267"/>
      <c r="BA6" s="249"/>
      <c r="BB6" s="273"/>
      <c r="BC6" s="274"/>
      <c r="BD6" s="274"/>
      <c r="BE6" s="274"/>
      <c r="BF6" s="274"/>
      <c r="BG6" s="275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</row>
    <row r="7" spans="1:83" ht="18.75" customHeight="1" x14ac:dyDescent="0.4">
      <c r="A7" s="37"/>
      <c r="B7" s="285" t="s">
        <v>117</v>
      </c>
      <c r="C7" s="286"/>
      <c r="D7" s="286"/>
      <c r="E7" s="286"/>
      <c r="F7" s="286"/>
      <c r="G7" s="286"/>
      <c r="H7" s="255"/>
      <c r="I7" s="282" t="str">
        <f>B7</f>
        <v>ENERO 2021</v>
      </c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20"/>
      <c r="U7" s="255"/>
      <c r="V7" s="282" t="str">
        <f>B7</f>
        <v>ENERO 2021</v>
      </c>
      <c r="W7" s="283"/>
      <c r="X7" s="284"/>
      <c r="Y7" s="255"/>
      <c r="Z7" s="256" t="str">
        <f>V7</f>
        <v>ENERO 2021</v>
      </c>
      <c r="AA7" s="257"/>
      <c r="AB7" s="258"/>
      <c r="AC7" s="287" t="str">
        <f>B7</f>
        <v>ENERO 2021</v>
      </c>
      <c r="AD7" s="288"/>
      <c r="AE7" s="288"/>
      <c r="AF7" s="288"/>
      <c r="AG7" s="288"/>
      <c r="AH7" s="288"/>
      <c r="AI7" s="288"/>
      <c r="AJ7" s="288"/>
      <c r="AK7" s="288"/>
      <c r="AL7" s="259"/>
      <c r="AM7" s="285" t="str">
        <f>V7</f>
        <v>ENERO 2021</v>
      </c>
      <c r="AN7" s="286"/>
      <c r="AO7" s="286"/>
      <c r="AP7" s="286"/>
      <c r="AQ7" s="286"/>
      <c r="AR7" s="286"/>
      <c r="AS7" s="259"/>
      <c r="AT7" s="300" t="str">
        <f>V7</f>
        <v>ENERO 2021</v>
      </c>
      <c r="AU7" s="301"/>
      <c r="AV7" s="301"/>
      <c r="AW7" s="255"/>
      <c r="AX7" s="294" t="str">
        <f>AT7</f>
        <v>ENERO 2021</v>
      </c>
      <c r="AY7" s="295"/>
      <c r="AZ7" s="296"/>
      <c r="BA7" s="260"/>
      <c r="BB7" s="282" t="str">
        <f>AM7</f>
        <v>ENERO 2021</v>
      </c>
      <c r="BC7" s="283"/>
      <c r="BD7" s="283"/>
      <c r="BE7" s="283"/>
      <c r="BF7" s="283"/>
      <c r="BG7" s="284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</row>
    <row r="8" spans="1:83" ht="15.75" customHeight="1" x14ac:dyDescent="0.35">
      <c r="A8" s="38"/>
      <c r="B8" s="297" t="s">
        <v>28</v>
      </c>
      <c r="C8" s="298"/>
      <c r="D8" s="299"/>
      <c r="E8" s="309" t="s">
        <v>90</v>
      </c>
      <c r="F8" s="310"/>
      <c r="G8" s="310"/>
      <c r="H8" s="39"/>
      <c r="I8" s="309" t="s">
        <v>107</v>
      </c>
      <c r="J8" s="310"/>
      <c r="K8" s="310"/>
      <c r="L8" s="310"/>
      <c r="M8" s="310"/>
      <c r="N8" s="310"/>
      <c r="O8" s="309" t="s">
        <v>90</v>
      </c>
      <c r="P8" s="310"/>
      <c r="Q8" s="310"/>
      <c r="R8" s="310"/>
      <c r="S8" s="310"/>
      <c r="T8" s="310"/>
      <c r="U8" s="39"/>
      <c r="V8" s="297" t="s">
        <v>2</v>
      </c>
      <c r="W8" s="298"/>
      <c r="X8" s="312"/>
      <c r="Y8" s="39"/>
      <c r="Z8" s="354" t="s">
        <v>2</v>
      </c>
      <c r="AA8" s="355"/>
      <c r="AB8" s="356"/>
      <c r="AC8" s="297" t="s">
        <v>2</v>
      </c>
      <c r="AD8" s="298"/>
      <c r="AE8" s="299"/>
      <c r="AF8" s="360" t="s">
        <v>46</v>
      </c>
      <c r="AG8" s="361"/>
      <c r="AH8" s="361"/>
      <c r="AI8" s="361"/>
      <c r="AJ8" s="361"/>
      <c r="AK8" s="361"/>
      <c r="AL8" s="17"/>
      <c r="AM8" s="297" t="s">
        <v>2</v>
      </c>
      <c r="AN8" s="298"/>
      <c r="AO8" s="312"/>
      <c r="AP8" s="262" t="s">
        <v>46</v>
      </c>
      <c r="AQ8" s="263"/>
      <c r="AR8" s="264"/>
      <c r="AS8" s="17"/>
      <c r="AT8" s="297" t="s">
        <v>2</v>
      </c>
      <c r="AU8" s="298"/>
      <c r="AV8" s="312"/>
      <c r="AW8" s="2"/>
      <c r="AX8" s="297" t="s">
        <v>2</v>
      </c>
      <c r="AY8" s="298"/>
      <c r="AZ8" s="312"/>
      <c r="BA8" s="39"/>
      <c r="BB8" s="297" t="s">
        <v>2</v>
      </c>
      <c r="BC8" s="298"/>
      <c r="BD8" s="312"/>
      <c r="BE8" s="357" t="s">
        <v>47</v>
      </c>
      <c r="BF8" s="358"/>
      <c r="BG8" s="359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</row>
    <row r="9" spans="1:83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95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122</v>
      </c>
      <c r="AJ9" s="121" t="s">
        <v>123</v>
      </c>
      <c r="AK9" s="121" t="s">
        <v>124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/>
      <c r="BK9" s="21">
        <v>18400.182413405502</v>
      </c>
      <c r="BL9" s="92">
        <f>BJ9-BK9</f>
        <v>-18400.182413405502</v>
      </c>
      <c r="BM9" s="254"/>
      <c r="BN9" s="21">
        <v>12503.631335101167</v>
      </c>
      <c r="BO9" s="82">
        <f t="shared" ref="BO9:BO20" si="0">BM9-BN9</f>
        <v>-12503.631335101167</v>
      </c>
      <c r="BP9" s="197"/>
      <c r="BQ9" s="83"/>
      <c r="BR9" s="21">
        <v>6215.6972641480534</v>
      </c>
      <c r="BS9" s="200">
        <f t="shared" ref="BS9:BS20" si="1">BQ9-BR9</f>
        <v>-6215.6972641480534</v>
      </c>
      <c r="BT9" s="5"/>
      <c r="BU9" s="15"/>
      <c r="BV9" s="214"/>
      <c r="BW9" s="107">
        <v>17530.401129610174</v>
      </c>
      <c r="BX9" s="84">
        <f t="shared" ref="BX9:BX20" si="2">BV9-BW9</f>
        <v>-17530.401129610174</v>
      </c>
      <c r="BY9" s="207"/>
      <c r="BZ9" s="83"/>
      <c r="CA9" s="107">
        <v>14625.437339463788</v>
      </c>
      <c r="CB9" s="215">
        <f t="shared" ref="CB9:CB20" si="3">BZ9-CA9</f>
        <v>-14625.437339463788</v>
      </c>
    </row>
    <row r="10" spans="1:83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/>
      <c r="BK10" s="21">
        <v>16529.469671700444</v>
      </c>
      <c r="BL10" s="92">
        <f t="shared" ref="BL10:BL20" si="4">BJ10-BK10</f>
        <v>-16529.469671700444</v>
      </c>
      <c r="BM10" s="254"/>
      <c r="BN10" s="21">
        <v>11307.238912178036</v>
      </c>
      <c r="BO10" s="82">
        <f t="shared" si="0"/>
        <v>-11307.238912178036</v>
      </c>
      <c r="BP10" s="197"/>
      <c r="BQ10" s="83"/>
      <c r="BR10" s="21">
        <v>5498.7688305489364</v>
      </c>
      <c r="BS10" s="200">
        <f t="shared" si="1"/>
        <v>-5498.7688305489364</v>
      </c>
      <c r="BT10" s="5"/>
      <c r="BU10" s="15"/>
      <c r="BV10" s="214"/>
      <c r="BW10" s="107">
        <v>16130.109088006553</v>
      </c>
      <c r="BX10" s="84">
        <f t="shared" si="2"/>
        <v>-16130.109088006553</v>
      </c>
      <c r="BY10" s="207"/>
      <c r="BZ10" s="83"/>
      <c r="CA10" s="107">
        <v>13398.261120983594</v>
      </c>
      <c r="CB10" s="215">
        <f t="shared" si="3"/>
        <v>-13398.261120983594</v>
      </c>
    </row>
    <row r="11" spans="1:83" ht="15" customHeight="1" thickBot="1" x14ac:dyDescent="0.4">
      <c r="A11" s="243">
        <v>1</v>
      </c>
      <c r="B11" s="49">
        <v>579.91999999999996</v>
      </c>
      <c r="C11" s="47">
        <f t="shared" ref="C11:C12" si="5">IF(ISBLANK(B11),"",D11/$A11)</f>
        <v>579.91999999999996</v>
      </c>
      <c r="D11" s="163">
        <f>B11</f>
        <v>579.91999999999996</v>
      </c>
      <c r="E11" s="49">
        <v>405009</v>
      </c>
      <c r="F11" s="50">
        <f t="shared" ref="F11:F12" si="6">IF(ISBLANK(E11),"",G11/$A11)</f>
        <v>405009</v>
      </c>
      <c r="G11" s="163">
        <f>E11</f>
        <v>405009</v>
      </c>
      <c r="H11" s="168"/>
      <c r="I11" s="49">
        <v>58364</v>
      </c>
      <c r="J11" s="50">
        <f t="shared" ref="J11" si="7">IF(ISBLANK(I11),"",K11/$A11)</f>
        <v>58364</v>
      </c>
      <c r="K11" s="163">
        <f>I11</f>
        <v>58364</v>
      </c>
      <c r="L11" s="50">
        <f t="shared" ref="L11:L12" si="8">IF(ISBLANK(I11),"",I11*0.5)</f>
        <v>29182</v>
      </c>
      <c r="M11" s="50">
        <f t="shared" ref="M11:M12" si="9">IFERROR(J11*0.5,"")</f>
        <v>29182</v>
      </c>
      <c r="N11" s="50">
        <f t="shared" ref="N11:N12" si="10">K11*0.5</f>
        <v>29182</v>
      </c>
      <c r="O11" s="49">
        <v>7378</v>
      </c>
      <c r="P11" s="50">
        <f t="shared" ref="P11" si="11">IF(ISBLANK(O11),"",Q11/$A11)</f>
        <v>7378</v>
      </c>
      <c r="Q11" s="163">
        <f>O11</f>
        <v>7378</v>
      </c>
      <c r="R11" s="50">
        <f t="shared" ref="R11:R12" si="12">IF(ISBLANK(O11),"",O11*0.5)</f>
        <v>3689</v>
      </c>
      <c r="S11" s="50">
        <f t="shared" ref="S11:S12" si="13">IFERROR(P11*0.5,"")</f>
        <v>3689</v>
      </c>
      <c r="T11" s="50">
        <f t="shared" ref="T11:T12" si="14">Q11*0.5</f>
        <v>3689</v>
      </c>
      <c r="U11" s="168"/>
      <c r="V11" s="49">
        <v>200.756</v>
      </c>
      <c r="W11" s="47">
        <f t="shared" ref="W11:W12" si="15">IF(ISBLANK(V11),"",X11/$A11)</f>
        <v>200.756</v>
      </c>
      <c r="X11" s="163">
        <f>V11</f>
        <v>200.756</v>
      </c>
      <c r="Y11" s="169"/>
      <c r="Z11" s="170"/>
      <c r="AA11" s="171"/>
      <c r="AB11" s="172">
        <f>AA11</f>
        <v>0</v>
      </c>
      <c r="AC11" s="49">
        <v>288.08</v>
      </c>
      <c r="AD11" s="50">
        <f t="shared" ref="AD11" si="16">IF(ISBLANK(AC11),"",AE11/$A11)</f>
        <v>288.08</v>
      </c>
      <c r="AE11" s="163">
        <f>AC11</f>
        <v>288.08</v>
      </c>
      <c r="AF11" s="49">
        <v>154014</v>
      </c>
      <c r="AG11" s="50">
        <f t="shared" ref="AG11" si="17">IF(ISBLANK(AF11),"",AH11/$A11)</f>
        <v>154014</v>
      </c>
      <c r="AH11" s="51">
        <f>AF11</f>
        <v>154014</v>
      </c>
      <c r="AI11" s="50">
        <f t="shared" ref="AI11:AI12" si="18">IF(AF11*0.3172=0,"",AF11*0.3172)</f>
        <v>48853.2408</v>
      </c>
      <c r="AJ11" s="50">
        <f t="shared" ref="AJ11:AJ12" si="19">IFERROR(AG11*0.3172,"")</f>
        <v>48853.2408</v>
      </c>
      <c r="AK11" s="50">
        <f t="shared" ref="AK11:AK12" si="20">AH11*0.3172</f>
        <v>48853.2408</v>
      </c>
      <c r="AL11" s="17"/>
      <c r="AM11" s="49">
        <v>137.13</v>
      </c>
      <c r="AN11" s="47">
        <f t="shared" ref="AN11:AN12" si="21">IF(ISBLANK(AM11),"",AO11/$A11)</f>
        <v>137.13</v>
      </c>
      <c r="AO11" s="163">
        <f>AM11</f>
        <v>137.13</v>
      </c>
      <c r="AP11" s="49">
        <v>101868</v>
      </c>
      <c r="AQ11" s="50">
        <f t="shared" ref="AQ11" si="22">IF(ISBLANK(AP11),"",AR11/$A11)</f>
        <v>101868</v>
      </c>
      <c r="AR11" s="51">
        <f>AP11</f>
        <v>101868</v>
      </c>
      <c r="AS11" s="17"/>
      <c r="AT11" s="47">
        <f>borrador!G9/6.289</f>
        <v>594.20098584830657</v>
      </c>
      <c r="AU11" s="47">
        <f t="shared" ref="AU11" si="23">IF(ISBLANK(AT11),"",AV11/$A11)</f>
        <v>594.20098584830657</v>
      </c>
      <c r="AV11" s="51">
        <f>AT11</f>
        <v>594.20098584830657</v>
      </c>
      <c r="AW11" s="2"/>
      <c r="AX11" s="51">
        <f>borrador!H9/6.289</f>
        <v>437.59421211639375</v>
      </c>
      <c r="AY11" s="51">
        <f t="shared" ref="AY11" si="24">IF(ISBLANK(AX11),"",AZ11/$A11)</f>
        <v>437.59421211639375</v>
      </c>
      <c r="AZ11" s="51">
        <f>AX11</f>
        <v>437.59421211639375</v>
      </c>
      <c r="BA11" s="2"/>
      <c r="BB11" s="47">
        <f>borrador!E9/6.289</f>
        <v>10.405469868023534</v>
      </c>
      <c r="BC11" s="47">
        <f t="shared" ref="BC11" si="25">IF(ISBLANK(BB11),"",BD11/$A11)</f>
        <v>10.405469868023534</v>
      </c>
      <c r="BD11" s="48">
        <f>BB11</f>
        <v>10.405469868023534</v>
      </c>
      <c r="BE11" s="49">
        <f>borrador!F9*0.283*100</f>
        <v>264.2937</v>
      </c>
      <c r="BF11" s="50">
        <f t="shared" ref="BF11" si="26">IF(ISBLANK(BE11),"",BG11/A11)</f>
        <v>264.2937</v>
      </c>
      <c r="BG11" s="237">
        <f>BE11</f>
        <v>264.2937</v>
      </c>
      <c r="BI11" s="199" t="s">
        <v>7</v>
      </c>
      <c r="BJ11" s="83"/>
      <c r="BK11" s="21">
        <v>18113.881325310613</v>
      </c>
      <c r="BL11" s="92">
        <f t="shared" si="4"/>
        <v>-18113.881325310613</v>
      </c>
      <c r="BM11" s="254"/>
      <c r="BN11" s="21">
        <v>12431.922518939962</v>
      </c>
      <c r="BO11" s="82">
        <f t="shared" si="0"/>
        <v>-12431.922518939962</v>
      </c>
      <c r="BP11" s="197"/>
      <c r="BQ11" s="83"/>
      <c r="BR11" s="21">
        <v>5965.0830836107871</v>
      </c>
      <c r="BS11" s="200">
        <f t="shared" si="1"/>
        <v>-5965.0830836107871</v>
      </c>
      <c r="BT11" s="5"/>
      <c r="BU11" s="15"/>
      <c r="BV11" s="214"/>
      <c r="BW11" s="107">
        <v>16960.336100304383</v>
      </c>
      <c r="BX11" s="84">
        <f t="shared" si="2"/>
        <v>-16960.336100304383</v>
      </c>
      <c r="BY11" s="207"/>
      <c r="BZ11" s="83"/>
      <c r="CA11" s="107">
        <v>14026.921570743445</v>
      </c>
      <c r="CB11" s="215">
        <f t="shared" si="3"/>
        <v>-14026.921570743445</v>
      </c>
    </row>
    <row r="12" spans="1:83" ht="15" customHeight="1" thickBot="1" x14ac:dyDescent="0.4">
      <c r="A12" s="243">
        <v>2</v>
      </c>
      <c r="B12" s="49">
        <v>597.29999999999995</v>
      </c>
      <c r="C12" s="47">
        <f t="shared" si="5"/>
        <v>588.6099999999999</v>
      </c>
      <c r="D12" s="163">
        <f t="shared" ref="D12" si="27">B12+D11</f>
        <v>1177.2199999999998</v>
      </c>
      <c r="E12" s="49">
        <v>396839</v>
      </c>
      <c r="F12" s="50">
        <f t="shared" si="6"/>
        <v>400924</v>
      </c>
      <c r="G12" s="163">
        <f t="shared" ref="G12" si="28">E12+G11</f>
        <v>801848</v>
      </c>
      <c r="H12" s="168"/>
      <c r="I12" s="49">
        <v>57521</v>
      </c>
      <c r="J12" s="50">
        <f t="shared" ref="J12" si="29">IF(ISBLANK(I12),"",K12/$A12)</f>
        <v>57942.5</v>
      </c>
      <c r="K12" s="163">
        <f t="shared" ref="K12" si="30">I12+K11</f>
        <v>115885</v>
      </c>
      <c r="L12" s="50">
        <f t="shared" si="8"/>
        <v>28760.5</v>
      </c>
      <c r="M12" s="50">
        <f t="shared" si="9"/>
        <v>28971.25</v>
      </c>
      <c r="N12" s="50">
        <f t="shared" si="10"/>
        <v>57942.5</v>
      </c>
      <c r="O12" s="49">
        <v>7593</v>
      </c>
      <c r="P12" s="50">
        <f t="shared" ref="P12" si="31">IF(ISBLANK(O12),"",Q12/$A12)</f>
        <v>7485.5</v>
      </c>
      <c r="Q12" s="163">
        <f t="shared" ref="Q12" si="32">O12+Q11</f>
        <v>14971</v>
      </c>
      <c r="R12" s="50">
        <f t="shared" si="12"/>
        <v>3796.5</v>
      </c>
      <c r="S12" s="50">
        <f t="shared" si="13"/>
        <v>3742.75</v>
      </c>
      <c r="T12" s="50">
        <f t="shared" si="14"/>
        <v>7485.5</v>
      </c>
      <c r="U12" s="168"/>
      <c r="V12" s="49">
        <v>199.9</v>
      </c>
      <c r="W12" s="47">
        <f t="shared" si="15"/>
        <v>200.328</v>
      </c>
      <c r="X12" s="163">
        <f t="shared" ref="X12" si="33">V12+X11</f>
        <v>400.65600000000001</v>
      </c>
      <c r="Y12" s="169"/>
      <c r="Z12" s="170"/>
      <c r="AA12" s="171"/>
      <c r="AB12" s="172"/>
      <c r="AC12" s="49">
        <v>276.14999999999998</v>
      </c>
      <c r="AD12" s="50">
        <f t="shared" ref="AD12" si="34">IF(ISBLANK(AC12),"",AE12/$A12)</f>
        <v>282.11500000000001</v>
      </c>
      <c r="AE12" s="163">
        <f t="shared" ref="AE12" si="35">AC12+AE11</f>
        <v>564.23</v>
      </c>
      <c r="AF12" s="49">
        <v>153465</v>
      </c>
      <c r="AG12" s="50">
        <f t="shared" ref="AG12" si="36">IF(ISBLANK(AF12),"",AH12/$A12)</f>
        <v>153739.5</v>
      </c>
      <c r="AH12" s="51">
        <f t="shared" ref="AH12" si="37">AF12+AH11</f>
        <v>307479</v>
      </c>
      <c r="AI12" s="50">
        <f t="shared" si="18"/>
        <v>48679.097999999998</v>
      </c>
      <c r="AJ12" s="50">
        <f t="shared" si="19"/>
        <v>48766.169399999999</v>
      </c>
      <c r="AK12" s="50">
        <f t="shared" si="20"/>
        <v>97532.338799999998</v>
      </c>
      <c r="AL12" s="17"/>
      <c r="AM12" s="49">
        <v>124.2</v>
      </c>
      <c r="AN12" s="47">
        <f t="shared" si="21"/>
        <v>130.66499999999999</v>
      </c>
      <c r="AO12" s="163">
        <f t="shared" ref="AO12" si="38">AM12+AO11</f>
        <v>261.33</v>
      </c>
      <c r="AP12" s="49">
        <v>103699</v>
      </c>
      <c r="AQ12" s="50">
        <f t="shared" ref="AQ12" si="39">IF(ISBLANK(AP12),"",AR12/$A12)</f>
        <v>102783.5</v>
      </c>
      <c r="AR12" s="51">
        <f t="shared" ref="AR12" si="40">AP12+AR11</f>
        <v>205567</v>
      </c>
      <c r="AS12" s="17"/>
      <c r="AT12" s="47">
        <f>borrador!G10/6.289</f>
        <v>593.77166481157576</v>
      </c>
      <c r="AU12" s="47">
        <f t="shared" ref="AU12" si="41">IF(ISBLANK(AT12),"",AV12/$A12)</f>
        <v>593.98632532994111</v>
      </c>
      <c r="AV12" s="51">
        <f t="shared" ref="AV12" si="42">AT12+AV11</f>
        <v>1187.9726506598822</v>
      </c>
      <c r="AW12" s="2"/>
      <c r="AX12" s="51">
        <f>borrador!H10/6.289</f>
        <v>437.295277468596</v>
      </c>
      <c r="AY12" s="51">
        <f t="shared" ref="AY12" si="43">IF(ISBLANK(AX12),"",AZ12/$A12)</f>
        <v>437.44474479249487</v>
      </c>
      <c r="AZ12" s="51">
        <f t="shared" ref="AZ12" si="44">AX12+AZ11</f>
        <v>874.88948958498975</v>
      </c>
      <c r="BA12" s="2"/>
      <c r="BB12" s="47">
        <f>borrador!E10/6.289</f>
        <v>6.9724916520909535</v>
      </c>
      <c r="BC12" s="47">
        <f t="shared" ref="BC12" si="45">IF(ISBLANK(BB12),"",BD12/$A12)</f>
        <v>8.6889807600572446</v>
      </c>
      <c r="BD12" s="48">
        <f t="shared" ref="BD12" si="46">BB12+BD11</f>
        <v>17.377961520114489</v>
      </c>
      <c r="BE12" s="49">
        <f>borrador!F10*0.283*100</f>
        <v>252.86049999999997</v>
      </c>
      <c r="BF12" s="50">
        <f t="shared" ref="BF12" si="47">IF(ISBLANK(BE12),"",BG12/A12)</f>
        <v>258.57709999999997</v>
      </c>
      <c r="BG12" s="237">
        <f t="shared" ref="BG12" si="48">BE12+BG11</f>
        <v>517.15419999999995</v>
      </c>
      <c r="BI12" s="199" t="s">
        <v>8</v>
      </c>
      <c r="BJ12" s="83"/>
      <c r="BK12" s="21">
        <v>17198.010180864494</v>
      </c>
      <c r="BL12" s="92">
        <f t="shared" si="4"/>
        <v>-17198.010180864494</v>
      </c>
      <c r="BM12" s="254"/>
      <c r="BN12" s="21">
        <v>11776.82171891383</v>
      </c>
      <c r="BO12" s="82">
        <f t="shared" si="0"/>
        <v>-11776.82171891383</v>
      </c>
      <c r="BP12" s="197"/>
      <c r="BQ12" s="83"/>
      <c r="BR12" s="21">
        <v>5654.1630123510167</v>
      </c>
      <c r="BS12" s="200">
        <f t="shared" si="1"/>
        <v>-5654.1630123510167</v>
      </c>
      <c r="BT12" s="5"/>
      <c r="BU12" s="15"/>
      <c r="BV12" s="214"/>
      <c r="BW12" s="107">
        <v>16145.504912837814</v>
      </c>
      <c r="BX12" s="84">
        <f t="shared" si="2"/>
        <v>-16145.504912837814</v>
      </c>
      <c r="BY12" s="207"/>
      <c r="BZ12" s="83"/>
      <c r="CA12" s="107">
        <v>13295.947335883777</v>
      </c>
      <c r="CB12" s="215">
        <f t="shared" si="3"/>
        <v>-13295.947335883777</v>
      </c>
    </row>
    <row r="13" spans="1:83" ht="15" customHeight="1" thickBot="1" x14ac:dyDescent="0.4">
      <c r="A13" s="244">
        <v>3</v>
      </c>
      <c r="B13" s="49">
        <v>586.13</v>
      </c>
      <c r="C13" s="47">
        <f t="shared" ref="C13" si="49">IF(ISBLANK(B13),"",D13/$A13)</f>
        <v>587.7833333333333</v>
      </c>
      <c r="D13" s="163">
        <f t="shared" ref="D13" si="50">B13+D12</f>
        <v>1763.35</v>
      </c>
      <c r="E13" s="49">
        <v>392027</v>
      </c>
      <c r="F13" s="50">
        <f t="shared" ref="F13" si="51">IF(ISBLANK(E13),"",G13/$A13)</f>
        <v>397958.33333333331</v>
      </c>
      <c r="G13" s="163">
        <f t="shared" ref="G13" si="52">E13+G12</f>
        <v>1193875</v>
      </c>
      <c r="H13" s="168"/>
      <c r="I13" s="49">
        <v>58644</v>
      </c>
      <c r="J13" s="50">
        <f t="shared" ref="J13" si="53">IF(ISBLANK(I13),"",K13/$A13)</f>
        <v>58176.333333333336</v>
      </c>
      <c r="K13" s="163">
        <f t="shared" ref="K13" si="54">I13+K12</f>
        <v>174529</v>
      </c>
      <c r="L13" s="50">
        <f t="shared" ref="L13" si="55">IF(ISBLANK(I13),"",I13*0.5)</f>
        <v>29322</v>
      </c>
      <c r="M13" s="50">
        <f t="shared" ref="M13" si="56">IFERROR(J13*0.5,"")</f>
        <v>29088.166666666668</v>
      </c>
      <c r="N13" s="50">
        <f t="shared" ref="N13" si="57">K13*0.5</f>
        <v>87264.5</v>
      </c>
      <c r="O13" s="49">
        <v>8055</v>
      </c>
      <c r="P13" s="50">
        <f t="shared" ref="P13" si="58">IF(ISBLANK(O13),"",Q13/$A13)</f>
        <v>7675.333333333333</v>
      </c>
      <c r="Q13" s="163">
        <f t="shared" ref="Q13" si="59">O13+Q12</f>
        <v>23026</v>
      </c>
      <c r="R13" s="50">
        <f t="shared" ref="R13" si="60">IF(ISBLANK(O13),"",O13*0.5)</f>
        <v>4027.5</v>
      </c>
      <c r="S13" s="50">
        <f t="shared" ref="S13" si="61">IFERROR(P13*0.5,"")</f>
        <v>3837.6666666666665</v>
      </c>
      <c r="T13" s="50">
        <f t="shared" ref="T13" si="62">Q13*0.5</f>
        <v>11513</v>
      </c>
      <c r="U13" s="168"/>
      <c r="V13" s="49">
        <v>202.7</v>
      </c>
      <c r="W13" s="47">
        <f t="shared" ref="W13" si="63">IF(ISBLANK(V13),"",X13/$A13)</f>
        <v>201.11866666666666</v>
      </c>
      <c r="X13" s="163">
        <f t="shared" ref="X13" si="64">V13+X12</f>
        <v>603.35599999999999</v>
      </c>
      <c r="Y13" s="169"/>
      <c r="Z13" s="170"/>
      <c r="AA13" s="171"/>
      <c r="AB13" s="172"/>
      <c r="AC13" s="49">
        <v>301.14999999999998</v>
      </c>
      <c r="AD13" s="50">
        <f t="shared" ref="AD13" si="65">IF(ISBLANK(AC13),"",AE13/$A13)</f>
        <v>288.45999999999998</v>
      </c>
      <c r="AE13" s="163">
        <f t="shared" ref="AE13" si="66">AC13+AE12</f>
        <v>865.38</v>
      </c>
      <c r="AF13" s="49">
        <v>147788</v>
      </c>
      <c r="AG13" s="50">
        <f t="shared" ref="AG13" si="67">IF(ISBLANK(AF13),"",AH13/$A13)</f>
        <v>151755.66666666666</v>
      </c>
      <c r="AH13" s="51">
        <f t="shared" ref="AH13" si="68">AF13+AH12</f>
        <v>455267</v>
      </c>
      <c r="AI13" s="50">
        <f t="shared" ref="AI13:AI15" si="69">IF(AF13*0.1832=0,"",AF13*0.1832)</f>
        <v>27074.761600000002</v>
      </c>
      <c r="AJ13" s="50">
        <f t="shared" ref="AJ13:AJ15" si="70">IFERROR(AG13*0.1832,"")</f>
        <v>27801.63813333333</v>
      </c>
      <c r="AK13" s="50">
        <f t="shared" ref="AK13:AK15" si="71">AH13*0.1832</f>
        <v>83404.914399999994</v>
      </c>
      <c r="AL13" s="17"/>
      <c r="AM13" s="49">
        <v>127.32</v>
      </c>
      <c r="AN13" s="47">
        <f t="shared" ref="AN13" si="72">IF(ISBLANK(AM13),"",AO13/$A13)</f>
        <v>129.54999999999998</v>
      </c>
      <c r="AO13" s="163">
        <f t="shared" ref="AO13" si="73">AM13+AO12</f>
        <v>388.65</v>
      </c>
      <c r="AP13" s="49">
        <v>108643</v>
      </c>
      <c r="AQ13" s="50">
        <f t="shared" ref="AQ13" si="74">IF(ISBLANK(AP13),"",AR13/$A13)</f>
        <v>104736.66666666667</v>
      </c>
      <c r="AR13" s="51">
        <f t="shared" ref="AR13" si="75">AP13+AR12</f>
        <v>314210</v>
      </c>
      <c r="AS13" s="17"/>
      <c r="AT13" s="47">
        <f>borrador!G11/6.289</f>
        <v>592.3962474161234</v>
      </c>
      <c r="AU13" s="47">
        <f t="shared" ref="AU13" si="76">IF(ISBLANK(AT13),"",AV13/$A13)</f>
        <v>593.45629935866862</v>
      </c>
      <c r="AV13" s="51">
        <f t="shared" ref="AV13" si="77">AT13+AV12</f>
        <v>1780.3688980760057</v>
      </c>
      <c r="AW13" s="2"/>
      <c r="AX13" s="51">
        <f>borrador!H11/6.289</f>
        <v>435.70042932103672</v>
      </c>
      <c r="AY13" s="51">
        <f t="shared" ref="AY13" si="78">IF(ISBLANK(AX13),"",AZ13/$A13)</f>
        <v>436.86330630200882</v>
      </c>
      <c r="AZ13" s="51">
        <f t="shared" ref="AZ13" si="79">AX13+AZ12</f>
        <v>1310.5899189060265</v>
      </c>
      <c r="BA13" s="2"/>
      <c r="BB13" s="47">
        <f>borrador!E11/6.289</f>
        <v>10.885673397996502</v>
      </c>
      <c r="BC13" s="47">
        <f t="shared" ref="BC13" si="80">IF(ISBLANK(BB13),"",BD13/$A13)</f>
        <v>9.4212116393703305</v>
      </c>
      <c r="BD13" s="48">
        <f t="shared" ref="BD13" si="81">BB13+BD12</f>
        <v>28.263634918110991</v>
      </c>
      <c r="BE13" s="49">
        <f>borrador!F11*0.283*100</f>
        <v>265.19929999999999</v>
      </c>
      <c r="BF13" s="50">
        <f t="shared" ref="BF13" si="82">IF(ISBLANK(BE13),"",BG13/A13)</f>
        <v>260.78449999999998</v>
      </c>
      <c r="BG13" s="237">
        <f t="shared" ref="BG13" si="83">BE13+BG12</f>
        <v>782.35349999999994</v>
      </c>
      <c r="BI13" s="199" t="s">
        <v>9</v>
      </c>
      <c r="BJ13" s="83"/>
      <c r="BK13" s="21">
        <v>17687.608027419399</v>
      </c>
      <c r="BL13" s="92">
        <v>22048.352946939147</v>
      </c>
      <c r="BM13" s="254"/>
      <c r="BN13" s="21">
        <v>12007.604979941352</v>
      </c>
      <c r="BO13" s="82">
        <f t="shared" si="0"/>
        <v>-12007.604979941352</v>
      </c>
      <c r="BP13" s="197"/>
      <c r="BQ13" s="83"/>
      <c r="BR13" s="21">
        <v>5798.4219494275312</v>
      </c>
      <c r="BS13" s="201">
        <f t="shared" si="1"/>
        <v>-5798.4219494275312</v>
      </c>
      <c r="BT13" s="5"/>
      <c r="BU13" s="15"/>
      <c r="BV13" s="214"/>
      <c r="BW13" s="107">
        <v>16412.460809762444</v>
      </c>
      <c r="BX13" s="84">
        <f t="shared" si="2"/>
        <v>-16412.460809762444</v>
      </c>
      <c r="BY13" s="207"/>
      <c r="BZ13" s="83"/>
      <c r="CA13" s="107">
        <v>13458.738437381791</v>
      </c>
      <c r="CB13" s="215">
        <f t="shared" si="3"/>
        <v>-13458.738437381791</v>
      </c>
    </row>
    <row r="14" spans="1:83" ht="15" customHeight="1" thickBot="1" x14ac:dyDescent="0.4">
      <c r="A14" s="244">
        <v>4</v>
      </c>
      <c r="B14" s="49">
        <v>642.91999999999996</v>
      </c>
      <c r="C14" s="47">
        <f t="shared" ref="C14" si="84">IF(ISBLANK(B14),"",D14/$A14)</f>
        <v>601.5675</v>
      </c>
      <c r="D14" s="163">
        <f t="shared" ref="D14" si="85">B14+D13</f>
        <v>2406.27</v>
      </c>
      <c r="E14" s="49">
        <v>391370</v>
      </c>
      <c r="F14" s="50">
        <f t="shared" ref="F14" si="86">IF(ISBLANK(E14),"",G14/$A14)</f>
        <v>396311.25</v>
      </c>
      <c r="G14" s="163">
        <f t="shared" ref="G14" si="87">E14+G13</f>
        <v>1585245</v>
      </c>
      <c r="H14" s="168"/>
      <c r="I14" s="49">
        <v>58025</v>
      </c>
      <c r="J14" s="50">
        <f t="shared" ref="J14" si="88">IF(ISBLANK(I14),"",K14/$A14)</f>
        <v>58138.5</v>
      </c>
      <c r="K14" s="163">
        <f t="shared" ref="K14" si="89">I14+K13</f>
        <v>232554</v>
      </c>
      <c r="L14" s="50">
        <f t="shared" ref="L14" si="90">IF(ISBLANK(I14),"",I14*0.5)</f>
        <v>29012.5</v>
      </c>
      <c r="M14" s="50">
        <f t="shared" ref="M14" si="91">IFERROR(J14*0.5,"")</f>
        <v>29069.25</v>
      </c>
      <c r="N14" s="50">
        <f t="shared" ref="N14" si="92">K14*0.5</f>
        <v>116277</v>
      </c>
      <c r="O14" s="49">
        <v>7972</v>
      </c>
      <c r="P14" s="50">
        <f t="shared" ref="P14" si="93">IF(ISBLANK(O14),"",Q14/$A14)</f>
        <v>7749.5</v>
      </c>
      <c r="Q14" s="163">
        <f t="shared" ref="Q14" si="94">O14+Q13</f>
        <v>30998</v>
      </c>
      <c r="R14" s="50">
        <f t="shared" ref="R14" si="95">IF(ISBLANK(O14),"",O14*0.5)</f>
        <v>3986</v>
      </c>
      <c r="S14" s="50">
        <f t="shared" ref="S14" si="96">IFERROR(P14*0.5,"")</f>
        <v>3874.75</v>
      </c>
      <c r="T14" s="50">
        <f t="shared" ref="T14" si="97">Q14*0.5</f>
        <v>15499</v>
      </c>
      <c r="U14" s="168"/>
      <c r="V14" s="49">
        <v>198.1</v>
      </c>
      <c r="W14" s="47">
        <f t="shared" ref="W14" si="98">IF(ISBLANK(V14),"",X14/$A14)</f>
        <v>200.364</v>
      </c>
      <c r="X14" s="163">
        <f t="shared" ref="X14" si="99">V14+X13</f>
        <v>801.45600000000002</v>
      </c>
      <c r="Y14" s="169"/>
      <c r="Z14" s="170"/>
      <c r="AA14" s="171"/>
      <c r="AB14" s="172"/>
      <c r="AC14" s="49">
        <v>292.48</v>
      </c>
      <c r="AD14" s="50">
        <f t="shared" ref="AD14" si="100">IF(ISBLANK(AC14),"",AE14/$A14)</f>
        <v>289.46500000000003</v>
      </c>
      <c r="AE14" s="163">
        <f t="shared" ref="AE14" si="101">AC14+AE13</f>
        <v>1157.8600000000001</v>
      </c>
      <c r="AF14" s="49">
        <v>147030</v>
      </c>
      <c r="AG14" s="50">
        <f t="shared" ref="AG14" si="102">IF(ISBLANK(AF14),"",AH14/$A14)</f>
        <v>150574.25</v>
      </c>
      <c r="AH14" s="51">
        <f t="shared" ref="AH14" si="103">AF14+AH13</f>
        <v>602297</v>
      </c>
      <c r="AI14" s="50">
        <f t="shared" si="69"/>
        <v>26935.896000000001</v>
      </c>
      <c r="AJ14" s="50">
        <f t="shared" si="70"/>
        <v>27585.202600000001</v>
      </c>
      <c r="AK14" s="50">
        <f t="shared" si="71"/>
        <v>110340.8104</v>
      </c>
      <c r="AL14" s="17"/>
      <c r="AM14" s="49">
        <v>120.52</v>
      </c>
      <c r="AN14" s="47">
        <f t="shared" ref="AN14" si="104">IF(ISBLANK(AM14),"",AO14/$A14)</f>
        <v>127.29249999999999</v>
      </c>
      <c r="AO14" s="163">
        <f t="shared" ref="AO14" si="105">AM14+AO13</f>
        <v>509.16999999999996</v>
      </c>
      <c r="AP14" s="49">
        <v>111601</v>
      </c>
      <c r="AQ14" s="50">
        <f t="shared" ref="AQ14" si="106">IF(ISBLANK(AP14),"",AR14/$A14)</f>
        <v>106452.75</v>
      </c>
      <c r="AR14" s="51">
        <f t="shared" ref="AR14" si="107">AP14+AR13</f>
        <v>425811</v>
      </c>
      <c r="AS14" s="17"/>
      <c r="AT14" s="47">
        <f>borrador!G12/6.289</f>
        <v>592.62998886945468</v>
      </c>
      <c r="AU14" s="47">
        <f t="shared" ref="AU14" si="108">IF(ISBLANK(AT14),"",AV14/$A14)</f>
        <v>593.24972173636513</v>
      </c>
      <c r="AV14" s="51">
        <f t="shared" ref="AV14" si="109">AT14+AV13</f>
        <v>2372.9988869454605</v>
      </c>
      <c r="AW14" s="2"/>
      <c r="AX14" s="51">
        <f>borrador!H12/6.289</f>
        <v>433.8018762919383</v>
      </c>
      <c r="AY14" s="51">
        <f t="shared" ref="AY14" si="110">IF(ISBLANK(AX14),"",AZ14/$A14)</f>
        <v>436.09794879949118</v>
      </c>
      <c r="AZ14" s="51">
        <f t="shared" ref="AZ14" si="111">AX14+AZ13</f>
        <v>1744.3917951979647</v>
      </c>
      <c r="BA14" s="2"/>
      <c r="BB14" s="47">
        <f>borrador!E12/6.289</f>
        <v>9.4911750675783111</v>
      </c>
      <c r="BC14" s="47">
        <f t="shared" ref="BC14" si="112">IF(ISBLANK(BB14),"",BD14/$A14)</f>
        <v>9.4387024964223265</v>
      </c>
      <c r="BD14" s="48">
        <f t="shared" ref="BD14" si="113">BB14+BD13</f>
        <v>37.754809985689306</v>
      </c>
      <c r="BE14" s="49">
        <f>borrador!F12*0.283*100</f>
        <v>264.26539999999994</v>
      </c>
      <c r="BF14" s="50">
        <f t="shared" ref="BF14" si="114">IF(ISBLANK(BE14),"",BG14/A14)</f>
        <v>261.65472499999998</v>
      </c>
      <c r="BG14" s="237">
        <f t="shared" ref="BG14" si="115">BE14+BG13</f>
        <v>1046.6188999999999</v>
      </c>
      <c r="BI14" s="199" t="s">
        <v>22</v>
      </c>
      <c r="BJ14" s="83"/>
      <c r="BK14" s="21">
        <v>17557.92787774618</v>
      </c>
      <c r="BL14" s="92">
        <f t="shared" si="4"/>
        <v>-17557.92787774618</v>
      </c>
      <c r="BM14" s="254"/>
      <c r="BN14" s="21">
        <v>12178.203691342958</v>
      </c>
      <c r="BO14" s="82">
        <f t="shared" si="0"/>
        <v>-12178.203691342958</v>
      </c>
      <c r="BP14" s="197"/>
      <c r="BQ14" s="83"/>
      <c r="BR14" s="21">
        <v>5639.1896353500761</v>
      </c>
      <c r="BS14" s="201">
        <f t="shared" si="1"/>
        <v>-5639.1896353500761</v>
      </c>
      <c r="BT14" s="5"/>
      <c r="BU14" s="15"/>
      <c r="BV14" s="214"/>
      <c r="BW14" s="107">
        <v>15625.674166131275</v>
      </c>
      <c r="BX14" s="84">
        <f t="shared" si="2"/>
        <v>-15625.674166131275</v>
      </c>
      <c r="BY14" s="207"/>
      <c r="BZ14" s="83"/>
      <c r="CA14" s="107">
        <v>12760.155092639532</v>
      </c>
      <c r="CB14" s="215">
        <f t="shared" si="3"/>
        <v>-12760.155092639532</v>
      </c>
      <c r="CD14" s="251"/>
    </row>
    <row r="15" spans="1:83" ht="15" customHeight="1" thickBot="1" x14ac:dyDescent="0.4">
      <c r="A15" s="245">
        <v>5</v>
      </c>
      <c r="B15" s="49">
        <v>558.01</v>
      </c>
      <c r="C15" s="47">
        <f t="shared" ref="C15" si="116">IF(ISBLANK(B15),"",D15/$A15)</f>
        <v>592.85599999999999</v>
      </c>
      <c r="D15" s="163">
        <f t="shared" ref="D15" si="117">B15+D14</f>
        <v>2964.2799999999997</v>
      </c>
      <c r="E15" s="49">
        <v>406429</v>
      </c>
      <c r="F15" s="50">
        <f t="shared" ref="F15" si="118">IF(ISBLANK(E15),"",G15/$A15)</f>
        <v>398334.8</v>
      </c>
      <c r="G15" s="163">
        <f t="shared" ref="G15" si="119">E15+G14</f>
        <v>1991674</v>
      </c>
      <c r="H15" s="168"/>
      <c r="I15" s="49">
        <v>57717</v>
      </c>
      <c r="J15" s="50">
        <f t="shared" ref="J15" si="120">IF(ISBLANK(I15),"",K15/$A15)</f>
        <v>58054.2</v>
      </c>
      <c r="K15" s="163">
        <f t="shared" ref="K15" si="121">I15+K14</f>
        <v>290271</v>
      </c>
      <c r="L15" s="50">
        <f t="shared" ref="L15" si="122">IF(ISBLANK(I15),"",I15*0.5)</f>
        <v>28858.5</v>
      </c>
      <c r="M15" s="50">
        <f t="shared" ref="M15" si="123">IFERROR(J15*0.5,"")</f>
        <v>29027.1</v>
      </c>
      <c r="N15" s="50">
        <f t="shared" ref="N15" si="124">K15*0.5</f>
        <v>145135.5</v>
      </c>
      <c r="O15" s="49">
        <v>7942</v>
      </c>
      <c r="P15" s="50">
        <f t="shared" ref="P15" si="125">IF(ISBLANK(O15),"",Q15/$A15)</f>
        <v>7788</v>
      </c>
      <c r="Q15" s="163">
        <f t="shared" ref="Q15" si="126">O15+Q14</f>
        <v>38940</v>
      </c>
      <c r="R15" s="50">
        <f t="shared" ref="R15" si="127">IF(ISBLANK(O15),"",O15*0.5)</f>
        <v>3971</v>
      </c>
      <c r="S15" s="50">
        <f t="shared" ref="S15" si="128">IFERROR(P15*0.5,"")</f>
        <v>3894</v>
      </c>
      <c r="T15" s="50">
        <f t="shared" ref="T15" si="129">Q15*0.5</f>
        <v>19470</v>
      </c>
      <c r="U15" s="168"/>
      <c r="V15" s="49">
        <v>198.6</v>
      </c>
      <c r="W15" s="47">
        <f t="shared" ref="W15" si="130">IF(ISBLANK(V15),"",X15/$A15)</f>
        <v>200.0112</v>
      </c>
      <c r="X15" s="163">
        <f t="shared" ref="X15" si="131">V15+X14</f>
        <v>1000.056</v>
      </c>
      <c r="Y15" s="169"/>
      <c r="Z15" s="170"/>
      <c r="AA15" s="171"/>
      <c r="AB15" s="172"/>
      <c r="AC15" s="49">
        <v>307.13</v>
      </c>
      <c r="AD15" s="50">
        <f t="shared" ref="AD15" si="132">IF(ISBLANK(AC15),"",AE15/$A15)</f>
        <v>292.99800000000005</v>
      </c>
      <c r="AE15" s="163">
        <f t="shared" ref="AE15" si="133">AC15+AE14</f>
        <v>1464.9900000000002</v>
      </c>
      <c r="AF15" s="49">
        <v>147507</v>
      </c>
      <c r="AG15" s="50">
        <f t="shared" ref="AG15" si="134">IF(ISBLANK(AF15),"",AH15/$A15)</f>
        <v>149960.79999999999</v>
      </c>
      <c r="AH15" s="51">
        <f t="shared" ref="AH15" si="135">AF15+AH14</f>
        <v>749804</v>
      </c>
      <c r="AI15" s="50">
        <f t="shared" si="69"/>
        <v>27023.2824</v>
      </c>
      <c r="AJ15" s="50">
        <f t="shared" si="70"/>
        <v>27472.81856</v>
      </c>
      <c r="AK15" s="50">
        <f t="shared" si="71"/>
        <v>137364.09280000001</v>
      </c>
      <c r="AL15" s="17"/>
      <c r="AM15" s="49">
        <v>125.48</v>
      </c>
      <c r="AN15" s="47">
        <f t="shared" ref="AN15" si="136">IF(ISBLANK(AM15),"",AO15/$A15)</f>
        <v>126.92999999999999</v>
      </c>
      <c r="AO15" s="163">
        <f t="shared" ref="AO15" si="137">AM15+AO14</f>
        <v>634.65</v>
      </c>
      <c r="AP15" s="49">
        <v>110550</v>
      </c>
      <c r="AQ15" s="50">
        <f t="shared" ref="AQ15" si="138">IF(ISBLANK(AP15),"",AR15/$A15)</f>
        <v>107272.2</v>
      </c>
      <c r="AR15" s="51">
        <f t="shared" ref="AR15" si="139">AP15+AR14</f>
        <v>536361</v>
      </c>
      <c r="AS15" s="17"/>
      <c r="AT15" s="47">
        <f>borrador!G13/6.289</f>
        <v>591.71410399109561</v>
      </c>
      <c r="AU15" s="47">
        <f t="shared" ref="AU15" si="140">IF(ISBLANK(AT15),"",AV15/$A15)</f>
        <v>592.94259818731121</v>
      </c>
      <c r="AV15" s="51">
        <f t="shared" ref="AV15" si="141">AT15+AV14</f>
        <v>2964.7129909365563</v>
      </c>
      <c r="AW15" s="2"/>
      <c r="AX15" s="51">
        <f>borrador!H13/6.289</f>
        <v>433.00365717920175</v>
      </c>
      <c r="AY15" s="51">
        <f t="shared" ref="AY15" si="142">IF(ISBLANK(AX15),"",AZ15/$A15)</f>
        <v>435.47909047543328</v>
      </c>
      <c r="AZ15" s="51">
        <f t="shared" ref="AZ15" si="143">AX15+AZ14</f>
        <v>2177.3954523771663</v>
      </c>
      <c r="BA15" s="2"/>
      <c r="BB15" s="47">
        <f>borrador!E13/6.289</f>
        <v>8.2222928923517262</v>
      </c>
      <c r="BC15" s="47">
        <f t="shared" ref="BC15" si="144">IF(ISBLANK(BB15),"",BD15/$A15)</f>
        <v>9.1954205756082068</v>
      </c>
      <c r="BD15" s="48">
        <f t="shared" ref="BD15" si="145">BB15+BD14</f>
        <v>45.97710287804103</v>
      </c>
      <c r="BE15" s="49">
        <f>borrador!F13*0.283*100</f>
        <v>262.82209999999998</v>
      </c>
      <c r="BF15" s="50">
        <f t="shared" ref="BF15" si="146">IF(ISBLANK(BE15),"",BG15/A15)</f>
        <v>261.88819999999998</v>
      </c>
      <c r="BG15" s="237">
        <f t="shared" ref="BG15" si="147">BE15+BG14</f>
        <v>1309.4409999999998</v>
      </c>
      <c r="BI15" s="199" t="s">
        <v>23</v>
      </c>
      <c r="BJ15" s="83"/>
      <c r="BK15" s="21">
        <v>18840.583870293147</v>
      </c>
      <c r="BL15" s="92">
        <f t="shared" si="4"/>
        <v>-18840.583870293147</v>
      </c>
      <c r="BM15" s="254"/>
      <c r="BN15" s="21">
        <v>13150.823919698816</v>
      </c>
      <c r="BO15" s="82">
        <f t="shared" si="0"/>
        <v>-13150.823919698816</v>
      </c>
      <c r="BP15" s="197"/>
      <c r="BQ15" s="83"/>
      <c r="BR15" s="21">
        <v>5783.5313912690872</v>
      </c>
      <c r="BS15" s="201">
        <f t="shared" si="1"/>
        <v>-5783.5313912690872</v>
      </c>
      <c r="BT15" s="5"/>
      <c r="BU15" s="15"/>
      <c r="BV15" s="214"/>
      <c r="BW15" s="107">
        <v>18251.506915344693</v>
      </c>
      <c r="BX15" s="84">
        <f t="shared" si="2"/>
        <v>-18251.506915344693</v>
      </c>
      <c r="BY15" s="207"/>
      <c r="BZ15" s="83"/>
      <c r="CA15" s="107">
        <v>12919.210502801123</v>
      </c>
      <c r="CB15" s="215">
        <f t="shared" si="3"/>
        <v>-12919.210502801123</v>
      </c>
    </row>
    <row r="16" spans="1:83" ht="15" customHeight="1" thickBot="1" x14ac:dyDescent="0.4">
      <c r="A16" s="245">
        <v>6</v>
      </c>
      <c r="B16" s="49">
        <v>569.4</v>
      </c>
      <c r="C16" s="47">
        <f t="shared" ref="C16" si="148">IF(ISBLANK(B16),"",D16/$A16)</f>
        <v>588.9466666666666</v>
      </c>
      <c r="D16" s="163">
        <f t="shared" ref="D16" si="149">B16+D15</f>
        <v>3533.68</v>
      </c>
      <c r="E16" s="49">
        <v>408095</v>
      </c>
      <c r="F16" s="50">
        <f t="shared" ref="F16" si="150">IF(ISBLANK(E16),"",G16/$A16)</f>
        <v>399961.5</v>
      </c>
      <c r="G16" s="163">
        <f t="shared" ref="G16" si="151">E16+G15</f>
        <v>2399769</v>
      </c>
      <c r="H16" s="168"/>
      <c r="I16" s="49">
        <v>57878</v>
      </c>
      <c r="J16" s="50">
        <f t="shared" ref="J16" si="152">IF(ISBLANK(I16),"",K16/$A16)</f>
        <v>58024.833333333336</v>
      </c>
      <c r="K16" s="163">
        <f t="shared" ref="K16" si="153">I16+K15</f>
        <v>348149</v>
      </c>
      <c r="L16" s="50">
        <f t="shared" ref="L16" si="154">IF(ISBLANK(I16),"",I16*0.5)</f>
        <v>28939</v>
      </c>
      <c r="M16" s="50">
        <f t="shared" ref="M16" si="155">IFERROR(J16*0.5,"")</f>
        <v>29012.416666666668</v>
      </c>
      <c r="N16" s="50">
        <f t="shared" ref="N16" si="156">K16*0.5</f>
        <v>174074.5</v>
      </c>
      <c r="O16" s="49">
        <v>7708</v>
      </c>
      <c r="P16" s="50">
        <f t="shared" ref="P16" si="157">IF(ISBLANK(O16),"",Q16/$A16)</f>
        <v>7774.666666666667</v>
      </c>
      <c r="Q16" s="163">
        <f t="shared" ref="Q16" si="158">O16+Q15</f>
        <v>46648</v>
      </c>
      <c r="R16" s="50">
        <f t="shared" ref="R16" si="159">IF(ISBLANK(O16),"",O16*0.5)</f>
        <v>3854</v>
      </c>
      <c r="S16" s="50">
        <f t="shared" ref="S16" si="160">IFERROR(P16*0.5,"")</f>
        <v>3887.3333333333335</v>
      </c>
      <c r="T16" s="50">
        <f t="shared" ref="T16" si="161">Q16*0.5</f>
        <v>23324</v>
      </c>
      <c r="U16" s="168"/>
      <c r="V16" s="49">
        <v>198.8</v>
      </c>
      <c r="W16" s="47">
        <f t="shared" ref="W16" si="162">IF(ISBLANK(V16),"",X16/$A16)</f>
        <v>199.80933333333334</v>
      </c>
      <c r="X16" s="163">
        <f t="shared" ref="X16" si="163">V16+X15</f>
        <v>1198.856</v>
      </c>
      <c r="Y16" s="169"/>
      <c r="Z16" s="170"/>
      <c r="AA16" s="171"/>
      <c r="AB16" s="172"/>
      <c r="AC16" s="49">
        <v>310.14</v>
      </c>
      <c r="AD16" s="50">
        <f t="shared" ref="AD16" si="164">IF(ISBLANK(AC16),"",AE16/$A16)</f>
        <v>295.85500000000002</v>
      </c>
      <c r="AE16" s="163">
        <f t="shared" ref="AE16" si="165">AC16+AE15</f>
        <v>1775.13</v>
      </c>
      <c r="AF16" s="49">
        <v>154549</v>
      </c>
      <c r="AG16" s="50">
        <f t="shared" ref="AG16" si="166">IF(ISBLANK(AF16),"",AH16/$A16)</f>
        <v>150725.5</v>
      </c>
      <c r="AH16" s="51">
        <f t="shared" ref="AH16" si="167">AF16+AH15</f>
        <v>904353</v>
      </c>
      <c r="AI16" s="50">
        <f>IF(AF16*0.1832=0,"",AF16*0.1832)</f>
        <v>28313.376800000002</v>
      </c>
      <c r="AJ16" s="50">
        <f>IFERROR(AG16*0.1832,"")</f>
        <v>27612.911599999999</v>
      </c>
      <c r="AK16" s="50">
        <f>AH16*0.1832</f>
        <v>165677.46960000001</v>
      </c>
      <c r="AL16" s="17"/>
      <c r="AM16" s="49">
        <v>153.58000000000001</v>
      </c>
      <c r="AN16" s="47">
        <f t="shared" ref="AN16" si="168">IF(ISBLANK(AM16),"",AO16/$A16)</f>
        <v>131.37166666666667</v>
      </c>
      <c r="AO16" s="163">
        <f t="shared" ref="AO16" si="169">AM16+AO15</f>
        <v>788.23</v>
      </c>
      <c r="AP16" s="49">
        <v>110010</v>
      </c>
      <c r="AQ16" s="50">
        <f t="shared" ref="AQ16" si="170">IF(ISBLANK(AP16),"",AR16/$A16)</f>
        <v>107728.5</v>
      </c>
      <c r="AR16" s="51">
        <f t="shared" ref="AR16" si="171">AP16+AR15</f>
        <v>646371</v>
      </c>
      <c r="AS16" s="17"/>
      <c r="AT16" s="47">
        <f>borrador!G14/6.289</f>
        <v>593.18333598346328</v>
      </c>
      <c r="AU16" s="47">
        <f t="shared" ref="AU16" si="172">IF(ISBLANK(AT16),"",AV16/$A16)</f>
        <v>592.98272115333657</v>
      </c>
      <c r="AV16" s="51">
        <f t="shared" ref="AV16" si="173">AT16+AV15</f>
        <v>3557.8963269200194</v>
      </c>
      <c r="AW16" s="2"/>
      <c r="AX16" s="51">
        <f>borrador!H14/6.289</f>
        <v>430.61217999681986</v>
      </c>
      <c r="AY16" s="51">
        <f t="shared" ref="AY16" si="174">IF(ISBLANK(AX16),"",AZ16/$A16)</f>
        <v>434.66793872899774</v>
      </c>
      <c r="AZ16" s="51">
        <f t="shared" ref="AZ16" si="175">AX16+AZ15</f>
        <v>2608.0076323739863</v>
      </c>
      <c r="BA16" s="2"/>
      <c r="BB16" s="47">
        <f>borrador!E14/6.289</f>
        <v>11.798378120527907</v>
      </c>
      <c r="BC16" s="47">
        <f t="shared" ref="BC16" si="176">IF(ISBLANK(BB16),"",BD16/$A16)</f>
        <v>9.6292468330948235</v>
      </c>
      <c r="BD16" s="48">
        <f t="shared" ref="BD16" si="177">BB16+BD15</f>
        <v>57.775480998568938</v>
      </c>
      <c r="BE16" s="49">
        <f>borrador!F14*0.283*100</f>
        <v>262.85039999999998</v>
      </c>
      <c r="BF16" s="50">
        <f t="shared" ref="BF16" si="178">IF(ISBLANK(BE16),"",BG16/A16)</f>
        <v>262.04856666666666</v>
      </c>
      <c r="BG16" s="237">
        <f t="shared" ref="BG16" si="179">BE16+BG15</f>
        <v>1572.2913999999998</v>
      </c>
      <c r="BI16" s="199" t="s">
        <v>17</v>
      </c>
      <c r="BJ16" s="83"/>
      <c r="BK16" s="21">
        <v>19448.244430301474</v>
      </c>
      <c r="BL16" s="92">
        <f t="shared" si="4"/>
        <v>-19448.244430301474</v>
      </c>
      <c r="BM16" s="254"/>
      <c r="BN16" s="21">
        <v>13614.886473801384</v>
      </c>
      <c r="BO16" s="82">
        <f t="shared" si="0"/>
        <v>-13614.886473801384</v>
      </c>
      <c r="BP16" s="197"/>
      <c r="BQ16" s="83"/>
      <c r="BR16" s="21">
        <v>5656.1888823082445</v>
      </c>
      <c r="BS16" s="201">
        <f t="shared" si="1"/>
        <v>-5656.1888823082445</v>
      </c>
      <c r="BT16" s="5"/>
      <c r="BU16" s="15"/>
      <c r="BV16" s="214"/>
      <c r="BW16" s="107">
        <v>20290.571272730263</v>
      </c>
      <c r="BX16" s="84">
        <f t="shared" si="2"/>
        <v>-20290.571272730263</v>
      </c>
      <c r="BY16" s="207"/>
      <c r="BZ16" s="83"/>
      <c r="CA16" s="107">
        <v>12659.694422849534</v>
      </c>
      <c r="CB16" s="215">
        <f t="shared" si="3"/>
        <v>-12659.694422849534</v>
      </c>
    </row>
    <row r="17" spans="1:92" ht="15" customHeight="1" thickBot="1" x14ac:dyDescent="0.4">
      <c r="A17" s="245">
        <v>7</v>
      </c>
      <c r="B17" s="49">
        <v>613.17999999999995</v>
      </c>
      <c r="C17" s="47">
        <f t="shared" ref="C17" si="180">IF(ISBLANK(B17),"",D17/$A17)</f>
        <v>592.40857142857135</v>
      </c>
      <c r="D17" s="163">
        <f t="shared" ref="D17" si="181">B17+D16</f>
        <v>4146.8599999999997</v>
      </c>
      <c r="E17" s="49">
        <v>396189</v>
      </c>
      <c r="F17" s="50">
        <f t="shared" ref="F17" si="182">IF(ISBLANK(E17),"",G17/$A17)</f>
        <v>399422.57142857142</v>
      </c>
      <c r="G17" s="163">
        <f t="shared" ref="G17" si="183">E17+G16</f>
        <v>2795958</v>
      </c>
      <c r="H17" s="168"/>
      <c r="I17" s="49">
        <v>57519</v>
      </c>
      <c r="J17" s="50">
        <f t="shared" ref="J17" si="184">IF(ISBLANK(I17),"",K17/$A17)</f>
        <v>57952.571428571428</v>
      </c>
      <c r="K17" s="163">
        <f t="shared" ref="K17" si="185">I17+K16</f>
        <v>405668</v>
      </c>
      <c r="L17" s="50">
        <f t="shared" ref="L17" si="186">IF(ISBLANK(I17),"",I17*0.5)</f>
        <v>28759.5</v>
      </c>
      <c r="M17" s="50">
        <f t="shared" ref="M17" si="187">IFERROR(J17*0.5,"")</f>
        <v>28976.285714285714</v>
      </c>
      <c r="N17" s="50">
        <f t="shared" ref="N17" si="188">K17*0.5</f>
        <v>202834</v>
      </c>
      <c r="O17" s="49">
        <v>6829</v>
      </c>
      <c r="P17" s="50">
        <f t="shared" ref="P17" si="189">IF(ISBLANK(O17),"",Q17/$A17)</f>
        <v>7639.5714285714284</v>
      </c>
      <c r="Q17" s="163">
        <f t="shared" ref="Q17" si="190">O17+Q16</f>
        <v>53477</v>
      </c>
      <c r="R17" s="50">
        <f t="shared" ref="R17" si="191">IF(ISBLANK(O17),"",O17*0.5)</f>
        <v>3414.5</v>
      </c>
      <c r="S17" s="50">
        <f t="shared" ref="S17" si="192">IFERROR(P17*0.5,"")</f>
        <v>3819.7857142857142</v>
      </c>
      <c r="T17" s="50">
        <f t="shared" ref="T17" si="193">Q17*0.5</f>
        <v>26738.5</v>
      </c>
      <c r="U17" s="168"/>
      <c r="V17" s="49">
        <v>195.5</v>
      </c>
      <c r="W17" s="47">
        <f t="shared" ref="W17" si="194">IF(ISBLANK(V17),"",X17/$A17)</f>
        <v>199.19371428571429</v>
      </c>
      <c r="X17" s="163">
        <f t="shared" ref="X17" si="195">V17+X16</f>
        <v>1394.356</v>
      </c>
      <c r="Y17" s="169"/>
      <c r="Z17" s="170"/>
      <c r="AA17" s="171"/>
      <c r="AB17" s="172"/>
      <c r="AC17" s="49">
        <v>311.38</v>
      </c>
      <c r="AD17" s="50">
        <f t="shared" ref="AD17" si="196">IF(ISBLANK(AC17),"",AE17/$A17)</f>
        <v>298.07285714285717</v>
      </c>
      <c r="AE17" s="163">
        <f t="shared" ref="AE17" si="197">AC17+AE16</f>
        <v>2086.5100000000002</v>
      </c>
      <c r="AF17" s="49">
        <v>154519</v>
      </c>
      <c r="AG17" s="50">
        <f t="shared" ref="AG17" si="198">IF(ISBLANK(AF17),"",AH17/$A17)</f>
        <v>151267.42857142858</v>
      </c>
      <c r="AH17" s="51">
        <f t="shared" ref="AH17" si="199">AF17+AH16</f>
        <v>1058872</v>
      </c>
      <c r="AI17" s="50">
        <f t="shared" ref="AI17" si="200">IF(AF17*0.1832=0,"",AF17*0.1832)</f>
        <v>28307.880799999999</v>
      </c>
      <c r="AJ17" s="50">
        <f t="shared" ref="AJ17" si="201">IFERROR(AG17*0.1832,"")</f>
        <v>27712.192914285715</v>
      </c>
      <c r="AK17" s="50">
        <f t="shared" ref="AK17" si="202">AH17*0.1832</f>
        <v>193985.3504</v>
      </c>
      <c r="AL17" s="17"/>
      <c r="AM17" s="49">
        <v>136.88999999999999</v>
      </c>
      <c r="AN17" s="47">
        <f t="shared" ref="AN17" si="203">IF(ISBLANK(AM17),"",AO17/$A17)</f>
        <v>132.16</v>
      </c>
      <c r="AO17" s="163">
        <f t="shared" ref="AO17" si="204">AM17+AO16</f>
        <v>925.12</v>
      </c>
      <c r="AP17" s="49">
        <v>110251</v>
      </c>
      <c r="AQ17" s="50">
        <f t="shared" ref="AQ17" si="205">IF(ISBLANK(AP17),"",AR17/$A17)</f>
        <v>108088.85714285714</v>
      </c>
      <c r="AR17" s="51">
        <f t="shared" ref="AR17" si="206">AP17+AR16</f>
        <v>756622</v>
      </c>
      <c r="AS17" s="17"/>
      <c r="AT17" s="47">
        <f>borrador!G15/6.289</f>
        <v>560.39433932262682</v>
      </c>
      <c r="AU17" s="47">
        <f t="shared" ref="AU17" si="207">IF(ISBLANK(AT17),"",AV17/$A17)</f>
        <v>588.32723803466376</v>
      </c>
      <c r="AV17" s="51">
        <f t="shared" ref="AV17" si="208">AT17+AV16</f>
        <v>4118.2906662426467</v>
      </c>
      <c r="AW17" s="2"/>
      <c r="AX17" s="51">
        <f>borrador!H15/6.289</f>
        <v>429.67721418349498</v>
      </c>
      <c r="AY17" s="51">
        <f t="shared" ref="AY17" si="209">IF(ISBLANK(AX17),"",AZ17/$A17)</f>
        <v>433.95497807964017</v>
      </c>
      <c r="AZ17" s="51">
        <f t="shared" ref="AZ17" si="210">AX17+AZ16</f>
        <v>3037.6848465574813</v>
      </c>
      <c r="BA17" s="2"/>
      <c r="BB17" s="47">
        <f>borrador!E15/6.289</f>
        <v>8.7406582922563203</v>
      </c>
      <c r="BC17" s="47">
        <f t="shared" ref="BC17" si="211">IF(ISBLANK(BB17),"",BD17/$A17)</f>
        <v>9.5023056129750376</v>
      </c>
      <c r="BD17" s="48">
        <f t="shared" ref="BD17" si="212">BB17+BD16</f>
        <v>66.516139290825265</v>
      </c>
      <c r="BE17" s="49">
        <f>borrador!F15*0.283*100</f>
        <v>262.76549999999997</v>
      </c>
      <c r="BF17" s="50">
        <f t="shared" ref="BF17" si="213">IF(ISBLANK(BE17),"",BG17/A17)</f>
        <v>262.1509857142857</v>
      </c>
      <c r="BG17" s="237">
        <f t="shared" ref="BG17" si="214">BE17+BG16</f>
        <v>1835.0568999999998</v>
      </c>
      <c r="BI17" s="199" t="s">
        <v>10</v>
      </c>
      <c r="BJ17" s="83"/>
      <c r="BK17" s="21">
        <v>18700.998596079415</v>
      </c>
      <c r="BL17" s="92">
        <v>21865.131277228913</v>
      </c>
      <c r="BM17" s="254"/>
      <c r="BN17" s="21">
        <v>13311.023112070965</v>
      </c>
      <c r="BO17" s="82">
        <f t="shared" si="0"/>
        <v>-13311.023112070965</v>
      </c>
      <c r="BP17" s="197"/>
      <c r="BQ17" s="83"/>
      <c r="BR17" s="21">
        <v>5368.8451715229403</v>
      </c>
      <c r="BS17" s="201">
        <f t="shared" si="1"/>
        <v>-5368.8451715229403</v>
      </c>
      <c r="BT17" s="5"/>
      <c r="BU17" s="15"/>
      <c r="BV17" s="214"/>
      <c r="BW17" s="107">
        <v>19258.071015344573</v>
      </c>
      <c r="BX17" s="84">
        <f t="shared" si="2"/>
        <v>-19258.071015344573</v>
      </c>
      <c r="BY17" s="207"/>
      <c r="BZ17" s="83"/>
      <c r="CA17" s="107">
        <v>12006.538321804472</v>
      </c>
      <c r="CB17" s="215">
        <f t="shared" si="3"/>
        <v>-12006.538321804472</v>
      </c>
    </row>
    <row r="18" spans="1:92" ht="15" customHeight="1" thickBot="1" x14ac:dyDescent="0.4">
      <c r="A18" s="245">
        <v>8</v>
      </c>
      <c r="B18" s="49">
        <v>590.11</v>
      </c>
      <c r="C18" s="47">
        <f t="shared" ref="C18:C20" si="215">IF(ISBLANK(B18),"",D18/$A18)</f>
        <v>592.12124999999992</v>
      </c>
      <c r="D18" s="163">
        <f t="shared" ref="D18:D20" si="216">B18+D17</f>
        <v>4736.9699999999993</v>
      </c>
      <c r="E18" s="49">
        <v>396364</v>
      </c>
      <c r="F18" s="50">
        <f t="shared" ref="F18" si="217">IF(ISBLANK(E18),"",G18/$A18)</f>
        <v>399040.25</v>
      </c>
      <c r="G18" s="163">
        <f t="shared" ref="G18" si="218">E18+G17</f>
        <v>3192322</v>
      </c>
      <c r="H18" s="168"/>
      <c r="I18" s="49">
        <v>56798</v>
      </c>
      <c r="J18" s="50">
        <f t="shared" ref="J18" si="219">IF(ISBLANK(I18),"",K18/$A18)</f>
        <v>57808.25</v>
      </c>
      <c r="K18" s="163">
        <f t="shared" ref="K18" si="220">I18+K17</f>
        <v>462466</v>
      </c>
      <c r="L18" s="50">
        <f t="shared" ref="L18" si="221">IF(ISBLANK(I18),"",I18*0.5)</f>
        <v>28399</v>
      </c>
      <c r="M18" s="50">
        <f t="shared" ref="M18" si="222">IFERROR(J18*0.5,"")</f>
        <v>28904.125</v>
      </c>
      <c r="N18" s="50">
        <f t="shared" ref="N18" si="223">K18*0.5</f>
        <v>231233</v>
      </c>
      <c r="O18" s="49">
        <v>6894</v>
      </c>
      <c r="P18" s="50">
        <f t="shared" ref="P18" si="224">IF(ISBLANK(O18),"",Q18/$A18)</f>
        <v>7546.375</v>
      </c>
      <c r="Q18" s="163">
        <f t="shared" ref="Q18" si="225">O18+Q17</f>
        <v>60371</v>
      </c>
      <c r="R18" s="50">
        <f t="shared" ref="R18" si="226">IF(ISBLANK(O18),"",O18*0.5)</f>
        <v>3447</v>
      </c>
      <c r="S18" s="50">
        <f t="shared" ref="S18" si="227">IFERROR(P18*0.5,"")</f>
        <v>3773.1875</v>
      </c>
      <c r="T18" s="50">
        <f t="shared" ref="T18" si="228">Q18*0.5</f>
        <v>30185.5</v>
      </c>
      <c r="U18" s="168"/>
      <c r="V18" s="49">
        <v>198.1</v>
      </c>
      <c r="W18" s="47">
        <f t="shared" ref="W18:W20" si="229">IF(ISBLANK(V18),"",X18/$A18)</f>
        <v>199.05699999999999</v>
      </c>
      <c r="X18" s="163">
        <f t="shared" ref="X18:X20" si="230">V18+X17</f>
        <v>1592.4559999999999</v>
      </c>
      <c r="Y18" s="169"/>
      <c r="Z18" s="170"/>
      <c r="AA18" s="171"/>
      <c r="AB18" s="172"/>
      <c r="AC18" s="49">
        <v>319.44</v>
      </c>
      <c r="AD18" s="50">
        <f t="shared" ref="AD18:AD20" si="231">IF(ISBLANK(AC18),"",AE18/$A18)</f>
        <v>300.74375000000003</v>
      </c>
      <c r="AE18" s="163">
        <f t="shared" ref="AE18:AE20" si="232">AC18+AE17</f>
        <v>2405.9500000000003</v>
      </c>
      <c r="AF18" s="49">
        <v>154145</v>
      </c>
      <c r="AG18" s="50">
        <f t="shared" ref="AG18:AG20" si="233">IF(ISBLANK(AF18),"",AH18/$A18)</f>
        <v>151627.125</v>
      </c>
      <c r="AH18" s="51">
        <f t="shared" ref="AH18:AH20" si="234">AF18+AH17</f>
        <v>1213017</v>
      </c>
      <c r="AI18" s="50">
        <f t="shared" ref="AI18:AI20" si="235">IF(AF18*0.1832=0,"",AF18*0.1832)</f>
        <v>28239.364000000001</v>
      </c>
      <c r="AJ18" s="50">
        <f t="shared" ref="AJ18:AJ20" si="236">IFERROR(AG18*0.1832,"")</f>
        <v>27778.0893</v>
      </c>
      <c r="AK18" s="50">
        <f t="shared" ref="AK18:AK20" si="237">AH18*0.1832</f>
        <v>222224.7144</v>
      </c>
      <c r="AL18" s="17"/>
      <c r="AM18" s="49">
        <v>132.22999999999999</v>
      </c>
      <c r="AN18" s="47">
        <f t="shared" ref="AN18:AN20" si="238">IF(ISBLANK(AM18),"",AO18/$A18)</f>
        <v>132.16874999999999</v>
      </c>
      <c r="AO18" s="163">
        <f t="shared" ref="AO18:AO20" si="239">AM18+AO17</f>
        <v>1057.3499999999999</v>
      </c>
      <c r="AP18" s="49">
        <v>110900</v>
      </c>
      <c r="AQ18" s="50">
        <f t="shared" ref="AQ18" si="240">IF(ISBLANK(AP18),"",AR18/$A18)</f>
        <v>108440.25</v>
      </c>
      <c r="AR18" s="51">
        <f t="shared" ref="AR18" si="241">AP18+AR17</f>
        <v>867522</v>
      </c>
      <c r="AS18" s="17"/>
      <c r="AT18" s="47">
        <f>borrador!G16/6.289</f>
        <v>593.17061536015262</v>
      </c>
      <c r="AU18" s="47">
        <f t="shared" ref="AU18" si="242">IF(ISBLANK(AT18),"",AV18/$A18)</f>
        <v>588.93266020034991</v>
      </c>
      <c r="AV18" s="51">
        <f t="shared" ref="AV18" si="243">AT18+AV17</f>
        <v>4711.4612816027993</v>
      </c>
      <c r="AW18" s="2"/>
      <c r="AX18" s="51">
        <f>borrador!H16/6.289</f>
        <v>427.76594053108602</v>
      </c>
      <c r="AY18" s="51">
        <f t="shared" ref="AY18" si="244">IF(ISBLANK(AX18),"",AZ18/$A18)</f>
        <v>433.18134838607091</v>
      </c>
      <c r="AZ18" s="51">
        <f t="shared" ref="AZ18" si="245">AX18+AZ17</f>
        <v>3465.4507870885673</v>
      </c>
      <c r="BA18" s="2"/>
      <c r="BB18" s="47">
        <f>borrador!E16/6.289</f>
        <v>8.1411989187470191</v>
      </c>
      <c r="BC18" s="47">
        <f t="shared" ref="BC18" si="246">IF(ISBLANK(BB18),"",BD18/$A18)</f>
        <v>9.332167276196536</v>
      </c>
      <c r="BD18" s="48">
        <f t="shared" ref="BD18" si="247">BB18+BD17</f>
        <v>74.657338209572288</v>
      </c>
      <c r="BE18" s="49">
        <f>borrador!F16*0.283*100</f>
        <v>262.48250000000002</v>
      </c>
      <c r="BF18" s="50">
        <f t="shared" ref="BF18" si="248">IF(ISBLANK(BE18),"",BG18/A18)</f>
        <v>262.19242499999996</v>
      </c>
      <c r="BG18" s="237">
        <f t="shared" ref="BG18" si="249">BE18+BG17</f>
        <v>2097.5393999999997</v>
      </c>
      <c r="BI18" s="199" t="s">
        <v>25</v>
      </c>
      <c r="BJ18" s="83"/>
      <c r="BK18" s="21">
        <v>18752.006415031843</v>
      </c>
      <c r="BL18" s="92">
        <f t="shared" si="4"/>
        <v>-18752.006415031843</v>
      </c>
      <c r="BM18" s="254"/>
      <c r="BN18" s="21">
        <v>13274.295821755628</v>
      </c>
      <c r="BO18" s="82">
        <f t="shared" si="0"/>
        <v>-13274.295821755628</v>
      </c>
      <c r="BP18" s="197"/>
      <c r="BQ18" s="83"/>
      <c r="BR18" s="21">
        <v>5444.1216129430404</v>
      </c>
      <c r="BS18" s="201">
        <f t="shared" si="1"/>
        <v>-5444.1216129430404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</row>
    <row r="19" spans="1:92" ht="15" customHeight="1" thickBot="1" x14ac:dyDescent="0.4">
      <c r="A19" s="245">
        <v>9</v>
      </c>
      <c r="B19" s="49">
        <v>606.76</v>
      </c>
      <c r="C19" s="47">
        <f t="shared" si="215"/>
        <v>593.74777777777774</v>
      </c>
      <c r="D19" s="163">
        <f t="shared" si="216"/>
        <v>5343.73</v>
      </c>
      <c r="E19" s="49">
        <v>407115</v>
      </c>
      <c r="F19" s="50">
        <f t="shared" ref="F19:F20" si="250">IF(ISBLANK(E19),"",G19/$A19)</f>
        <v>399937.44444444444</v>
      </c>
      <c r="G19" s="163">
        <f t="shared" ref="G19:G20" si="251">E19+G18</f>
        <v>3599437</v>
      </c>
      <c r="H19" s="168"/>
      <c r="I19" s="49">
        <v>55321</v>
      </c>
      <c r="J19" s="50">
        <f t="shared" ref="J19:J20" si="252">IF(ISBLANK(I19),"",K19/$A19)</f>
        <v>57531.888888888891</v>
      </c>
      <c r="K19" s="163">
        <f t="shared" ref="K19:K20" si="253">I19+K18</f>
        <v>517787</v>
      </c>
      <c r="L19" s="50">
        <f t="shared" ref="L19:L20" si="254">IF(ISBLANK(I19),"",I19*0.5)</f>
        <v>27660.5</v>
      </c>
      <c r="M19" s="50">
        <f t="shared" ref="M19:M20" si="255">IFERROR(J19*0.5,"")</f>
        <v>28765.944444444445</v>
      </c>
      <c r="N19" s="50">
        <f t="shared" ref="N19:N20" si="256">K19*0.5</f>
        <v>258893.5</v>
      </c>
      <c r="O19" s="49">
        <v>8558</v>
      </c>
      <c r="P19" s="50">
        <f t="shared" ref="P19:P20" si="257">IF(ISBLANK(O19),"",Q19/$A19)</f>
        <v>7658.7777777777774</v>
      </c>
      <c r="Q19" s="163">
        <f t="shared" ref="Q19:Q20" si="258">O19+Q18</f>
        <v>68929</v>
      </c>
      <c r="R19" s="50">
        <f t="shared" ref="R19:R20" si="259">IF(ISBLANK(O19),"",O19*0.5)</f>
        <v>4279</v>
      </c>
      <c r="S19" s="50">
        <f t="shared" ref="S19:S20" si="260">IFERROR(P19*0.5,"")</f>
        <v>3829.3888888888887</v>
      </c>
      <c r="T19" s="50">
        <f t="shared" ref="T19:T20" si="261">Q19*0.5</f>
        <v>34464.5</v>
      </c>
      <c r="U19" s="168"/>
      <c r="V19" s="49">
        <v>198.7</v>
      </c>
      <c r="W19" s="47">
        <f t="shared" si="229"/>
        <v>199.01733333333334</v>
      </c>
      <c r="X19" s="163">
        <f t="shared" si="230"/>
        <v>1791.1559999999999</v>
      </c>
      <c r="Y19" s="169"/>
      <c r="Z19" s="170"/>
      <c r="AA19" s="171"/>
      <c r="AB19" s="172"/>
      <c r="AC19" s="49">
        <v>304.63</v>
      </c>
      <c r="AD19" s="50">
        <f t="shared" si="231"/>
        <v>301.1755555555556</v>
      </c>
      <c r="AE19" s="163">
        <f t="shared" si="232"/>
        <v>2710.5800000000004</v>
      </c>
      <c r="AF19" s="49">
        <v>155753</v>
      </c>
      <c r="AG19" s="50">
        <f t="shared" si="233"/>
        <v>152085.55555555556</v>
      </c>
      <c r="AH19" s="51">
        <f t="shared" si="234"/>
        <v>1368770</v>
      </c>
      <c r="AI19" s="50">
        <f t="shared" si="235"/>
        <v>28533.9496</v>
      </c>
      <c r="AJ19" s="50">
        <f t="shared" si="236"/>
        <v>27862.073777777779</v>
      </c>
      <c r="AK19" s="50">
        <f t="shared" si="237"/>
        <v>250758.66399999999</v>
      </c>
      <c r="AL19" s="17"/>
      <c r="AM19" s="49">
        <v>137.16999999999999</v>
      </c>
      <c r="AN19" s="47">
        <f t="shared" si="238"/>
        <v>132.72444444444443</v>
      </c>
      <c r="AO19" s="163">
        <f t="shared" si="239"/>
        <v>1194.52</v>
      </c>
      <c r="AP19" s="49">
        <v>112193</v>
      </c>
      <c r="AQ19" s="50">
        <f t="shared" ref="AQ19:AQ20" si="262">IF(ISBLANK(AP19),"",AR19/$A19)</f>
        <v>108857.22222222222</v>
      </c>
      <c r="AR19" s="51">
        <f t="shared" ref="AR19:AR20" si="263">AP19+AR18</f>
        <v>979715</v>
      </c>
      <c r="AS19" s="17"/>
      <c r="AT19" s="47">
        <f>borrador!G17/6.289</f>
        <v>594.83065670217843</v>
      </c>
      <c r="AU19" s="47">
        <f t="shared" ref="AU19:AU20" si="264">IF(ISBLANK(AT19),"",AV19/$A19)</f>
        <v>589.58799314499754</v>
      </c>
      <c r="AV19" s="51">
        <f t="shared" ref="AV19:AV20" si="265">AT19+AV18</f>
        <v>5306.2919383049775</v>
      </c>
      <c r="AW19" s="2"/>
      <c r="AX19" s="51">
        <f>borrador!H17/6.289</f>
        <v>412.65543011607571</v>
      </c>
      <c r="AY19" s="51">
        <f t="shared" ref="AY19:AY20" si="266">IF(ISBLANK(AX19),"",AZ19/$A19)</f>
        <v>430.90069080051592</v>
      </c>
      <c r="AZ19" s="51">
        <f t="shared" ref="AZ19:AZ20" si="267">AX19+AZ18</f>
        <v>3878.1062172046431</v>
      </c>
      <c r="BA19" s="2"/>
      <c r="BB19" s="47">
        <f>borrador!E17/6.289</f>
        <v>7.7929718556209258</v>
      </c>
      <c r="BC19" s="47">
        <f t="shared" ref="BC19:BC20" si="268">IF(ISBLANK(BB19),"",BD19/$A19)</f>
        <v>9.1611455627992449</v>
      </c>
      <c r="BD19" s="48">
        <f t="shared" ref="BD19:BD20" si="269">BB19+BD18</f>
        <v>82.450310065193207</v>
      </c>
      <c r="BE19" s="49">
        <f>borrador!F17*0.283*100</f>
        <v>263.86919999999998</v>
      </c>
      <c r="BF19" s="50">
        <f t="shared" ref="BF19:BF20" si="270">IF(ISBLANK(BE19),"",BG19/A19)</f>
        <v>262.37873333333329</v>
      </c>
      <c r="BG19" s="237">
        <f t="shared" ref="BG19:BG20" si="271">BE19+BG18</f>
        <v>2361.4085999999998</v>
      </c>
      <c r="BI19" s="199" t="s">
        <v>11</v>
      </c>
      <c r="BJ19" s="83"/>
      <c r="BK19" s="21">
        <v>18326.587865016816</v>
      </c>
      <c r="BL19" s="92">
        <f t="shared" si="4"/>
        <v>-18326.587865016816</v>
      </c>
      <c r="BM19" s="254"/>
      <c r="BN19" s="21">
        <v>12666.674917451506</v>
      </c>
      <c r="BO19" s="82">
        <f t="shared" si="0"/>
        <v>-12666.674917451506</v>
      </c>
      <c r="BP19" s="197"/>
      <c r="BQ19" s="83"/>
      <c r="BR19" s="21">
        <v>5171.0319899184133</v>
      </c>
      <c r="BS19" s="201">
        <f t="shared" si="1"/>
        <v>-5171.0319899184133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</row>
    <row r="20" spans="1:92" ht="15" customHeight="1" thickBot="1" x14ac:dyDescent="0.4">
      <c r="A20" s="244">
        <v>10</v>
      </c>
      <c r="B20" s="49">
        <v>589.29999999999995</v>
      </c>
      <c r="C20" s="47">
        <f t="shared" si="215"/>
        <v>593.303</v>
      </c>
      <c r="D20" s="163">
        <f t="shared" si="216"/>
        <v>5933.03</v>
      </c>
      <c r="E20" s="49">
        <v>407645</v>
      </c>
      <c r="F20" s="50">
        <f t="shared" si="250"/>
        <v>400708.2</v>
      </c>
      <c r="G20" s="163">
        <f t="shared" si="251"/>
        <v>4007082</v>
      </c>
      <c r="H20" s="168"/>
      <c r="I20" s="49">
        <v>57437</v>
      </c>
      <c r="J20" s="50">
        <f t="shared" si="252"/>
        <v>57522.400000000001</v>
      </c>
      <c r="K20" s="163">
        <f t="shared" si="253"/>
        <v>575224</v>
      </c>
      <c r="L20" s="50">
        <f t="shared" si="254"/>
        <v>28718.5</v>
      </c>
      <c r="M20" s="50">
        <f t="shared" si="255"/>
        <v>28761.200000000001</v>
      </c>
      <c r="N20" s="50">
        <f t="shared" si="256"/>
        <v>287612</v>
      </c>
      <c r="O20" s="49">
        <v>5648</v>
      </c>
      <c r="P20" s="50">
        <f t="shared" si="257"/>
        <v>7457.7</v>
      </c>
      <c r="Q20" s="163">
        <f t="shared" si="258"/>
        <v>74577</v>
      </c>
      <c r="R20" s="50">
        <f t="shared" si="259"/>
        <v>2824</v>
      </c>
      <c r="S20" s="50">
        <f t="shared" si="260"/>
        <v>3728.85</v>
      </c>
      <c r="T20" s="50">
        <f t="shared" si="261"/>
        <v>37288.5</v>
      </c>
      <c r="U20" s="168"/>
      <c r="V20" s="49">
        <v>198</v>
      </c>
      <c r="W20" s="47">
        <f t="shared" si="229"/>
        <v>198.91559999999998</v>
      </c>
      <c r="X20" s="163">
        <f t="shared" si="230"/>
        <v>1989.1559999999999</v>
      </c>
      <c r="Y20" s="169"/>
      <c r="Z20" s="170"/>
      <c r="AA20" s="171"/>
      <c r="AB20" s="172"/>
      <c r="AC20" s="49">
        <v>314.41000000000003</v>
      </c>
      <c r="AD20" s="50">
        <f t="shared" si="231"/>
        <v>302.49900000000002</v>
      </c>
      <c r="AE20" s="163">
        <f t="shared" si="232"/>
        <v>3024.9900000000002</v>
      </c>
      <c r="AF20" s="49">
        <v>154825</v>
      </c>
      <c r="AG20" s="50">
        <f t="shared" si="233"/>
        <v>152359.5</v>
      </c>
      <c r="AH20" s="51">
        <f t="shared" si="234"/>
        <v>1523595</v>
      </c>
      <c r="AI20" s="50">
        <f t="shared" si="235"/>
        <v>28363.94</v>
      </c>
      <c r="AJ20" s="50">
        <f t="shared" si="236"/>
        <v>27912.260399999999</v>
      </c>
      <c r="AK20" s="50">
        <f t="shared" si="237"/>
        <v>279122.60399999999</v>
      </c>
      <c r="AL20" s="17"/>
      <c r="AM20" s="49">
        <v>130.9</v>
      </c>
      <c r="AN20" s="47">
        <f t="shared" si="238"/>
        <v>132.542</v>
      </c>
      <c r="AO20" s="163">
        <f t="shared" si="239"/>
        <v>1325.42</v>
      </c>
      <c r="AP20" s="49">
        <v>114482</v>
      </c>
      <c r="AQ20" s="50">
        <f t="shared" si="262"/>
        <v>109419.7</v>
      </c>
      <c r="AR20" s="51">
        <f t="shared" si="263"/>
        <v>1094197</v>
      </c>
      <c r="AS20" s="17"/>
      <c r="AT20" s="47">
        <f>borrador!G18/6.289</f>
        <v>594.71140085864204</v>
      </c>
      <c r="AU20" s="47">
        <f t="shared" si="264"/>
        <v>590.10033391636193</v>
      </c>
      <c r="AV20" s="51">
        <f t="shared" si="265"/>
        <v>5901.0033391636198</v>
      </c>
      <c r="AW20" s="2"/>
      <c r="AX20" s="51">
        <f>borrador!H18/6.289</f>
        <v>423.94657338209572</v>
      </c>
      <c r="AY20" s="51">
        <f t="shared" si="266"/>
        <v>430.20527905867385</v>
      </c>
      <c r="AZ20" s="51">
        <f t="shared" si="267"/>
        <v>4302.0527905867384</v>
      </c>
      <c r="BA20" s="2"/>
      <c r="BB20" s="47">
        <f>borrador!E18/6.289</f>
        <v>10.440451582127524</v>
      </c>
      <c r="BC20" s="47">
        <f t="shared" si="268"/>
        <v>9.289076164732073</v>
      </c>
      <c r="BD20" s="48">
        <f t="shared" si="269"/>
        <v>92.89076164732073</v>
      </c>
      <c r="BE20" s="49">
        <f>borrador!F18*0.283*100</f>
        <v>262.76549999999997</v>
      </c>
      <c r="BF20" s="50">
        <f t="shared" si="270"/>
        <v>262.41740999999996</v>
      </c>
      <c r="BG20" s="237">
        <f t="shared" si="271"/>
        <v>2624.1740999999997</v>
      </c>
      <c r="BI20" s="199" t="s">
        <v>12</v>
      </c>
      <c r="BJ20" s="83"/>
      <c r="BK20" s="21">
        <v>19544.509637499483</v>
      </c>
      <c r="BL20" s="92">
        <f t="shared" si="4"/>
        <v>-19544.509637499483</v>
      </c>
      <c r="BM20" s="254"/>
      <c r="BN20" s="21">
        <v>13559.125209225846</v>
      </c>
      <c r="BO20" s="82">
        <f t="shared" si="0"/>
        <v>-13559.125209225846</v>
      </c>
      <c r="BP20" s="197"/>
      <c r="BQ20" s="83"/>
      <c r="BR20" s="21">
        <v>5234.7764215776697</v>
      </c>
      <c r="BS20" s="201">
        <f t="shared" si="1"/>
        <v>-5234.7764215776697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</row>
    <row r="21" spans="1:92" ht="15" customHeight="1" thickBot="1" x14ac:dyDescent="0.4">
      <c r="A21" s="243">
        <v>11</v>
      </c>
      <c r="B21" s="49">
        <v>589.24</v>
      </c>
      <c r="C21" s="47">
        <f t="shared" ref="C21" si="272">IF(ISBLANK(B21),"",D21/$A21)</f>
        <v>592.93363636363631</v>
      </c>
      <c r="D21" s="163">
        <f t="shared" ref="D21" si="273">B21+D20</f>
        <v>6522.2699999999995</v>
      </c>
      <c r="E21" s="49">
        <v>401336</v>
      </c>
      <c r="F21" s="50">
        <f t="shared" ref="F21" si="274">IF(ISBLANK(E21),"",G21/$A21)</f>
        <v>400765.27272727271</v>
      </c>
      <c r="G21" s="163">
        <f t="shared" ref="G21" si="275">E21+G20</f>
        <v>4408418</v>
      </c>
      <c r="H21" s="168"/>
      <c r="I21" s="49">
        <v>57273</v>
      </c>
      <c r="J21" s="50">
        <f t="shared" ref="J21" si="276">IF(ISBLANK(I21),"",K21/$A21)</f>
        <v>57499.727272727272</v>
      </c>
      <c r="K21" s="163">
        <f t="shared" ref="K21" si="277">I21+K20</f>
        <v>632497</v>
      </c>
      <c r="L21" s="50">
        <f t="shared" ref="L21" si="278">IF(ISBLANK(I21),"",I21*0.5)</f>
        <v>28636.5</v>
      </c>
      <c r="M21" s="50">
        <f t="shared" ref="M21" si="279">IFERROR(J21*0.5,"")</f>
        <v>28749.863636363636</v>
      </c>
      <c r="N21" s="50">
        <f t="shared" ref="N21" si="280">K21*0.5</f>
        <v>316248.5</v>
      </c>
      <c r="O21" s="49">
        <v>5710</v>
      </c>
      <c r="P21" s="50">
        <f t="shared" ref="P21" si="281">IF(ISBLANK(O21),"",Q21/$A21)</f>
        <v>7298.818181818182</v>
      </c>
      <c r="Q21" s="163">
        <f t="shared" ref="Q21" si="282">O21+Q20</f>
        <v>80287</v>
      </c>
      <c r="R21" s="50">
        <f t="shared" ref="R21" si="283">IF(ISBLANK(O21),"",O21*0.5)</f>
        <v>2855</v>
      </c>
      <c r="S21" s="50">
        <f t="shared" ref="S21" si="284">IFERROR(P21*0.5,"")</f>
        <v>3649.409090909091</v>
      </c>
      <c r="T21" s="50">
        <f t="shared" ref="T21" si="285">Q21*0.5</f>
        <v>40143.5</v>
      </c>
      <c r="U21" s="168"/>
      <c r="V21" s="49">
        <v>194</v>
      </c>
      <c r="W21" s="47">
        <f t="shared" ref="W21" si="286">IF(ISBLANK(V21),"",X21/$A21)</f>
        <v>198.46872727272728</v>
      </c>
      <c r="X21" s="163">
        <f t="shared" ref="X21" si="287">V21+X20</f>
        <v>2183.1559999999999</v>
      </c>
      <c r="Y21" s="169"/>
      <c r="Z21" s="170"/>
      <c r="AA21" s="171"/>
      <c r="AB21" s="172"/>
      <c r="AC21" s="49">
        <v>309.31</v>
      </c>
      <c r="AD21" s="50">
        <f t="shared" ref="AD21" si="288">IF(ISBLANK(AC21),"",AE21/$A21)</f>
        <v>303.11818181818182</v>
      </c>
      <c r="AE21" s="163">
        <f t="shared" ref="AE21" si="289">AC21+AE20</f>
        <v>3334.3</v>
      </c>
      <c r="AF21" s="49">
        <v>153857</v>
      </c>
      <c r="AG21" s="50">
        <f t="shared" ref="AG21" si="290">IF(ISBLANK(AF21),"",AH21/$A21)</f>
        <v>152495.63636363635</v>
      </c>
      <c r="AH21" s="51">
        <f t="shared" ref="AH21" si="291">AF21+AH20</f>
        <v>1677452</v>
      </c>
      <c r="AI21" s="50">
        <f t="shared" ref="AI21" si="292">IF(AF21*0.1832=0,"",AF21*0.1832)</f>
        <v>28186.6024</v>
      </c>
      <c r="AJ21" s="50">
        <f t="shared" ref="AJ21" si="293">IFERROR(AG21*0.1832,"")</f>
        <v>27937.200581818179</v>
      </c>
      <c r="AK21" s="50">
        <f t="shared" ref="AK21" si="294">AH21*0.1832</f>
        <v>307309.20640000002</v>
      </c>
      <c r="AL21" s="17"/>
      <c r="AM21" s="49">
        <v>129.16999999999999</v>
      </c>
      <c r="AN21" s="47">
        <f t="shared" ref="AN21" si="295">IF(ISBLANK(AM21),"",AO21/$A21)</f>
        <v>132.23545454545456</v>
      </c>
      <c r="AO21" s="163">
        <f t="shared" ref="AO21" si="296">AM21+AO20</f>
        <v>1454.5900000000001</v>
      </c>
      <c r="AP21" s="49">
        <v>115964</v>
      </c>
      <c r="AQ21" s="50">
        <f t="shared" ref="AQ21" si="297">IF(ISBLANK(AP21),"",AR21/$A21)</f>
        <v>110014.63636363637</v>
      </c>
      <c r="AR21" s="51">
        <f t="shared" ref="AR21" si="298">AP21+AR20</f>
        <v>1210161</v>
      </c>
      <c r="AS21" s="17"/>
      <c r="AT21" s="47">
        <f>borrador!G19/6.289</f>
        <v>595.15662267451114</v>
      </c>
      <c r="AU21" s="47">
        <f t="shared" ref="AU21" si="299">IF(ISBLANK(AT21),"",AV21/$A21)</f>
        <v>590.55999653073911</v>
      </c>
      <c r="AV21" s="51">
        <f t="shared" ref="AV21" si="300">AT21+AV20</f>
        <v>6496.1599618381306</v>
      </c>
      <c r="AW21" s="2"/>
      <c r="AX21" s="51">
        <f>borrador!H19/6.289</f>
        <v>423.77961520114491</v>
      </c>
      <c r="AY21" s="51">
        <f t="shared" ref="AY21" si="301">IF(ISBLANK(AX21),"",AZ21/$A21)</f>
        <v>429.6211277988985</v>
      </c>
      <c r="AZ21" s="51">
        <f t="shared" ref="AZ21" si="302">AX21+AZ20</f>
        <v>4725.8324057878835</v>
      </c>
      <c r="BA21" s="2"/>
      <c r="BB21" s="47">
        <f>borrador!E19/6.289</f>
        <v>7.9487994911750679</v>
      </c>
      <c r="BC21" s="47">
        <f t="shared" ref="BC21" si="303">IF(ISBLANK(BB21),"",BD21/$A21)</f>
        <v>9.1672328307723454</v>
      </c>
      <c r="BD21" s="48">
        <f t="shared" ref="BD21" si="304">BB21+BD20</f>
        <v>100.8395611384958</v>
      </c>
      <c r="BE21" s="49">
        <f>borrador!F19*0.283*100</f>
        <v>262.51079999999996</v>
      </c>
      <c r="BF21" s="50">
        <f t="shared" ref="BF21" si="305">IF(ISBLANK(BE21),"",BG21/A21)</f>
        <v>262.42589999999996</v>
      </c>
      <c r="BG21" s="237">
        <f t="shared" ref="BG21" si="306">BE21+BG20</f>
        <v>2886.6848999999997</v>
      </c>
      <c r="BI21" s="85"/>
      <c r="BJ21" s="86"/>
      <c r="BK21" s="93">
        <f>SUM(BK9:BK20)</f>
        <v>219100.01031066882</v>
      </c>
      <c r="BL21" s="86"/>
      <c r="BM21" s="86"/>
      <c r="BN21" s="91">
        <f>SUM(BN9:BN20)</f>
        <v>151782.25261042145</v>
      </c>
      <c r="BO21" s="87"/>
      <c r="BP21" s="86"/>
      <c r="BQ21" s="86"/>
      <c r="BR21" s="93">
        <f>SUM(BR9:BR20)</f>
        <v>67429.819244975777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</row>
    <row r="22" spans="1:92" ht="15" customHeight="1" thickBot="1" x14ac:dyDescent="0.4">
      <c r="A22" s="243">
        <v>12</v>
      </c>
      <c r="B22" s="49">
        <v>573.09</v>
      </c>
      <c r="C22" s="47">
        <f t="shared" ref="C22" si="307">IF(ISBLANK(B22),"",D22/$A22)</f>
        <v>591.28</v>
      </c>
      <c r="D22" s="163">
        <f t="shared" ref="D22" si="308">B22+D21</f>
        <v>7095.36</v>
      </c>
      <c r="E22" s="49">
        <v>413666</v>
      </c>
      <c r="F22" s="50">
        <f t="shared" ref="F22" si="309">IF(ISBLANK(E22),"",G22/$A22)</f>
        <v>401840.33333333331</v>
      </c>
      <c r="G22" s="163">
        <f t="shared" ref="G22" si="310">E22+G21</f>
        <v>4822084</v>
      </c>
      <c r="H22" s="168"/>
      <c r="I22" s="49">
        <v>57046</v>
      </c>
      <c r="J22" s="50">
        <f t="shared" ref="J22" si="311">IF(ISBLANK(I22),"",K22/$A22)</f>
        <v>57461.916666666664</v>
      </c>
      <c r="K22" s="163">
        <f t="shared" ref="K22" si="312">I22+K21</f>
        <v>689543</v>
      </c>
      <c r="L22" s="50">
        <f t="shared" ref="L22" si="313">IF(ISBLANK(I22),"",I22*0.5)</f>
        <v>28523</v>
      </c>
      <c r="M22" s="50">
        <f t="shared" ref="M22" si="314">IFERROR(J22*0.5,"")</f>
        <v>28730.958333333332</v>
      </c>
      <c r="N22" s="50">
        <f t="shared" ref="N22" si="315">K22*0.5</f>
        <v>344771.5</v>
      </c>
      <c r="O22" s="49">
        <v>5590</v>
      </c>
      <c r="P22" s="50">
        <f t="shared" ref="P22" si="316">IF(ISBLANK(O22),"",Q22/$A22)</f>
        <v>7156.416666666667</v>
      </c>
      <c r="Q22" s="163">
        <f t="shared" ref="Q22" si="317">O22+Q21</f>
        <v>85877</v>
      </c>
      <c r="R22" s="50">
        <f t="shared" ref="R22" si="318">IF(ISBLANK(O22),"",O22*0.5)</f>
        <v>2795</v>
      </c>
      <c r="S22" s="50">
        <f t="shared" ref="S22" si="319">IFERROR(P22*0.5,"")</f>
        <v>3578.2083333333335</v>
      </c>
      <c r="T22" s="50">
        <f t="shared" ref="T22" si="320">Q22*0.5</f>
        <v>42938.5</v>
      </c>
      <c r="U22" s="168"/>
      <c r="V22" s="49">
        <v>189</v>
      </c>
      <c r="W22" s="47">
        <f t="shared" ref="W22" si="321">IF(ISBLANK(V22),"",X22/$A22)</f>
        <v>197.67966666666666</v>
      </c>
      <c r="X22" s="163">
        <f t="shared" ref="X22" si="322">V22+X21</f>
        <v>2372.1559999999999</v>
      </c>
      <c r="Y22" s="169"/>
      <c r="Z22" s="170"/>
      <c r="AA22" s="171"/>
      <c r="AB22" s="172"/>
      <c r="AC22" s="49">
        <v>301.64</v>
      </c>
      <c r="AD22" s="50">
        <f t="shared" ref="AD22" si="323">IF(ISBLANK(AC22),"",AE22/$A22)</f>
        <v>302.995</v>
      </c>
      <c r="AE22" s="163">
        <f t="shared" ref="AE22" si="324">AC22+AE21</f>
        <v>3635.94</v>
      </c>
      <c r="AF22" s="49">
        <v>154536</v>
      </c>
      <c r="AG22" s="50">
        <f t="shared" ref="AG22" si="325">IF(ISBLANK(AF22),"",AH22/$A22)</f>
        <v>152665.66666666666</v>
      </c>
      <c r="AH22" s="51">
        <f t="shared" ref="AH22" si="326">AF22+AH21</f>
        <v>1831988</v>
      </c>
      <c r="AI22" s="50">
        <f t="shared" ref="AI22" si="327">IF(AF22*0.1832=0,"",AF22*0.1832)</f>
        <v>28310.995200000001</v>
      </c>
      <c r="AJ22" s="50">
        <f t="shared" ref="AJ22" si="328">IFERROR(AG22*0.1832,"")</f>
        <v>27968.350133333333</v>
      </c>
      <c r="AK22" s="50">
        <f t="shared" ref="AK22" si="329">AH22*0.1832</f>
        <v>335620.20160000003</v>
      </c>
      <c r="AL22" s="17"/>
      <c r="AM22" s="49">
        <v>131</v>
      </c>
      <c r="AN22" s="47">
        <f t="shared" ref="AN22" si="330">IF(ISBLANK(AM22),"",AO22/$A22)</f>
        <v>132.13250000000002</v>
      </c>
      <c r="AO22" s="163">
        <f t="shared" ref="AO22" si="331">AM22+AO21</f>
        <v>1585.5900000000001</v>
      </c>
      <c r="AP22" s="49">
        <v>101901</v>
      </c>
      <c r="AQ22" s="50">
        <f t="shared" ref="AQ22" si="332">IF(ISBLANK(AP22),"",AR22/$A22)</f>
        <v>109338.5</v>
      </c>
      <c r="AR22" s="51">
        <f t="shared" ref="AR22" si="333">AP22+AR21</f>
        <v>1312062</v>
      </c>
      <c r="AS22" s="17"/>
      <c r="AT22" s="47">
        <f>borrador!G20/6.289</f>
        <v>594.80521545555735</v>
      </c>
      <c r="AU22" s="47">
        <f t="shared" ref="AU22" si="334">IF(ISBLANK(AT22),"",AV22/$A22)</f>
        <v>590.91376477447398</v>
      </c>
      <c r="AV22" s="51">
        <f t="shared" ref="AV22" si="335">AT22+AV21</f>
        <v>7090.9651772936877</v>
      </c>
      <c r="AW22" s="2"/>
      <c r="AX22" s="51">
        <f>borrador!H20/6.289</f>
        <v>419.99681984417242</v>
      </c>
      <c r="AY22" s="51">
        <f t="shared" ref="AY22" si="336">IF(ISBLANK(AX22),"",AZ22/$A22)</f>
        <v>428.81910213600463</v>
      </c>
      <c r="AZ22" s="51">
        <f t="shared" ref="AZ22" si="337">AX22+AZ21</f>
        <v>5145.8292256320556</v>
      </c>
      <c r="BA22" s="2"/>
      <c r="BB22" s="47">
        <f>borrador!E20/6.289</f>
        <v>11.448560979487995</v>
      </c>
      <c r="BC22" s="47">
        <f t="shared" ref="BC22" si="338">IF(ISBLANK(BB22),"",BD22/$A22)</f>
        <v>9.357343509831983</v>
      </c>
      <c r="BD22" s="48">
        <f t="shared" ref="BD22" si="339">BB22+BD21</f>
        <v>112.28812211798379</v>
      </c>
      <c r="BE22" s="49">
        <f>borrador!F20*0.283*100</f>
        <v>262.42589999999996</v>
      </c>
      <c r="BF22" s="50">
        <f t="shared" ref="BF22" si="340">IF(ISBLANK(BE22),"",BG22/A22)</f>
        <v>262.42589999999996</v>
      </c>
      <c r="BG22" s="237">
        <f t="shared" ref="BG22" si="341">BE22+BG21</f>
        <v>3149.1107999999995</v>
      </c>
      <c r="BJ22" s="8"/>
      <c r="CE22" s="226"/>
    </row>
    <row r="23" spans="1:92" ht="15" customHeight="1" thickBot="1" x14ac:dyDescent="0.4">
      <c r="A23" s="243">
        <v>13</v>
      </c>
      <c r="B23" s="49">
        <v>576.07000000000005</v>
      </c>
      <c r="C23" s="47">
        <f t="shared" ref="C23" si="342">IF(ISBLANK(B23),"",D23/$A23)</f>
        <v>590.1099999999999</v>
      </c>
      <c r="D23" s="163">
        <f t="shared" ref="D23" si="343">B23+D22</f>
        <v>7671.4299999999994</v>
      </c>
      <c r="E23" s="49">
        <v>411948</v>
      </c>
      <c r="F23" s="50">
        <f t="shared" ref="F23" si="344">IF(ISBLANK(E23),"",G23/$A23)</f>
        <v>402617.84615384613</v>
      </c>
      <c r="G23" s="163">
        <f t="shared" ref="G23" si="345">E23+G22</f>
        <v>5234032</v>
      </c>
      <c r="H23" s="168"/>
      <c r="I23" s="49">
        <v>56779</v>
      </c>
      <c r="J23" s="50">
        <f t="shared" ref="J23" si="346">IF(ISBLANK(I23),"",K23/$A23)</f>
        <v>57409.384615384617</v>
      </c>
      <c r="K23" s="163">
        <f t="shared" ref="K23" si="347">I23+K22</f>
        <v>746322</v>
      </c>
      <c r="L23" s="50">
        <f t="shared" ref="L23" si="348">IF(ISBLANK(I23),"",I23*0.5)</f>
        <v>28389.5</v>
      </c>
      <c r="M23" s="50">
        <f t="shared" ref="M23" si="349">IFERROR(J23*0.5,"")</f>
        <v>28704.692307692309</v>
      </c>
      <c r="N23" s="50">
        <f t="shared" ref="N23" si="350">K23*0.5</f>
        <v>373161</v>
      </c>
      <c r="O23" s="49">
        <v>5428</v>
      </c>
      <c r="P23" s="50">
        <f t="shared" ref="P23" si="351">IF(ISBLANK(O23),"",Q23/$A23)</f>
        <v>7023.4615384615381</v>
      </c>
      <c r="Q23" s="163">
        <f t="shared" ref="Q23" si="352">O23+Q22</f>
        <v>91305</v>
      </c>
      <c r="R23" s="50">
        <f t="shared" ref="R23" si="353">IF(ISBLANK(O23),"",O23*0.5)</f>
        <v>2714</v>
      </c>
      <c r="S23" s="50">
        <f t="shared" ref="S23" si="354">IFERROR(P23*0.5,"")</f>
        <v>3511.7307692307691</v>
      </c>
      <c r="T23" s="50">
        <f t="shared" ref="T23" si="355">Q23*0.5</f>
        <v>45652.5</v>
      </c>
      <c r="U23" s="168"/>
      <c r="V23" s="49">
        <v>189.4</v>
      </c>
      <c r="W23" s="47">
        <f t="shared" ref="W23" si="356">IF(ISBLANK(V23),"",X23/$A23)</f>
        <v>197.04276923076924</v>
      </c>
      <c r="X23" s="163">
        <f t="shared" ref="X23" si="357">V23+X22</f>
        <v>2561.556</v>
      </c>
      <c r="Y23" s="169"/>
      <c r="Z23" s="170"/>
      <c r="AA23" s="171"/>
      <c r="AB23" s="172"/>
      <c r="AC23" s="49">
        <v>281.92</v>
      </c>
      <c r="AD23" s="50">
        <f t="shared" ref="AD23" si="358">IF(ISBLANK(AC23),"",AE23/$A23)</f>
        <v>301.37384615384616</v>
      </c>
      <c r="AE23" s="163">
        <f t="shared" ref="AE23" si="359">AC23+AE22</f>
        <v>3917.86</v>
      </c>
      <c r="AF23" s="49">
        <v>157164</v>
      </c>
      <c r="AG23" s="50">
        <f t="shared" ref="AG23" si="360">IF(ISBLANK(AF23),"",AH23/$A23)</f>
        <v>153011.69230769231</v>
      </c>
      <c r="AH23" s="51">
        <f t="shared" ref="AH23" si="361">AF23+AH22</f>
        <v>1989152</v>
      </c>
      <c r="AI23" s="50">
        <f t="shared" ref="AI23" si="362">IF(AF23*0.1832=0,"",AF23*0.1832)</f>
        <v>28792.444800000001</v>
      </c>
      <c r="AJ23" s="50">
        <f t="shared" ref="AJ23" si="363">IFERROR(AG23*0.1832,"")</f>
        <v>28031.74203076923</v>
      </c>
      <c r="AK23" s="50">
        <f t="shared" ref="AK23" si="364">AH23*0.1832</f>
        <v>364412.64640000003</v>
      </c>
      <c r="AL23" s="17"/>
      <c r="AM23" s="49">
        <v>132.62</v>
      </c>
      <c r="AN23" s="47">
        <f t="shared" ref="AN23" si="365">IF(ISBLANK(AM23),"",AO23/$A23)</f>
        <v>132.17000000000002</v>
      </c>
      <c r="AO23" s="163">
        <f t="shared" ref="AO23" si="366">AM23+AO22</f>
        <v>1718.21</v>
      </c>
      <c r="AP23" s="49">
        <v>83050</v>
      </c>
      <c r="AQ23" s="50">
        <f t="shared" ref="AQ23" si="367">IF(ISBLANK(AP23),"",AR23/$A23)</f>
        <v>107316.30769230769</v>
      </c>
      <c r="AR23" s="51">
        <f t="shared" ref="AR23" si="368">AP23+AR22</f>
        <v>1395112</v>
      </c>
      <c r="AS23" s="17"/>
      <c r="AT23" s="47">
        <f>borrador!G21/6.289</f>
        <v>593.4631896962951</v>
      </c>
      <c r="AU23" s="47">
        <f t="shared" ref="AU23" si="369">IF(ISBLANK(AT23),"",AV23/$A23)</f>
        <v>591.10987438384484</v>
      </c>
      <c r="AV23" s="51">
        <f t="shared" ref="AV23" si="370">AT23+AV22</f>
        <v>7684.4283669899833</v>
      </c>
      <c r="AW23" s="2"/>
      <c r="AX23" s="51">
        <f>borrador!H21/6.289</f>
        <v>423.14994434727305</v>
      </c>
      <c r="AY23" s="51">
        <f t="shared" ref="AY23" si="371">IF(ISBLANK(AX23),"",AZ23/$A23)</f>
        <v>428.383013075333</v>
      </c>
      <c r="AZ23" s="51">
        <f t="shared" ref="AZ23" si="372">AX23+AZ22</f>
        <v>5568.9791699793286</v>
      </c>
      <c r="BA23" s="2"/>
      <c r="BB23" s="47">
        <f>borrador!E21/6.289</f>
        <v>8.6150421370647159</v>
      </c>
      <c r="BC23" s="47">
        <f t="shared" ref="BC23" si="373">IF(ISBLANK(BB23),"",BD23/$A23)</f>
        <v>9.3002434042345001</v>
      </c>
      <c r="BD23" s="48">
        <f t="shared" ref="BD23" si="374">BB23+BD22</f>
        <v>120.90316425504851</v>
      </c>
      <c r="BE23" s="49">
        <f>borrador!F21*0.283*100</f>
        <v>263.10509999999999</v>
      </c>
      <c r="BF23" s="50">
        <f t="shared" ref="BF23" si="375">IF(ISBLANK(BE23),"",BG23/A23)</f>
        <v>262.47814615384607</v>
      </c>
      <c r="BG23" s="237">
        <f t="shared" ref="BG23" si="376">BE23+BG22</f>
        <v>3412.2158999999992</v>
      </c>
      <c r="BI23" s="327" t="s">
        <v>118</v>
      </c>
      <c r="BJ23" s="328"/>
      <c r="BK23" s="328"/>
      <c r="BL23" s="328"/>
      <c r="BM23" s="328"/>
      <c r="BN23" s="328"/>
      <c r="BO23" s="328"/>
      <c r="BP23" s="328"/>
      <c r="BQ23" s="328"/>
      <c r="BR23" s="328"/>
      <c r="BS23" s="328"/>
      <c r="BT23" s="329"/>
      <c r="BU23" s="59"/>
      <c r="BV23" s="351" t="s">
        <v>121</v>
      </c>
      <c r="BW23" s="352"/>
      <c r="BX23" s="352"/>
      <c r="BY23" s="352"/>
      <c r="BZ23" s="352"/>
      <c r="CA23" s="352"/>
      <c r="CB23" s="353"/>
    </row>
    <row r="24" spans="1:92" ht="15" customHeight="1" thickBot="1" x14ac:dyDescent="0.4">
      <c r="A24" s="243">
        <v>14</v>
      </c>
      <c r="B24" s="49">
        <v>537.16999999999996</v>
      </c>
      <c r="C24" s="47">
        <f t="shared" ref="C24" si="377">IF(ISBLANK(B24),"",D24/$A24)</f>
        <v>586.32857142857131</v>
      </c>
      <c r="D24" s="163">
        <f t="shared" ref="D24" si="378">B24+D23</f>
        <v>8208.5999999999985</v>
      </c>
      <c r="E24" s="49">
        <v>412805</v>
      </c>
      <c r="F24" s="50">
        <f t="shared" ref="F24" si="379">IF(ISBLANK(E24),"",G24/$A24)</f>
        <v>403345.5</v>
      </c>
      <c r="G24" s="163">
        <f t="shared" ref="G24" si="380">E24+G23</f>
        <v>5646837</v>
      </c>
      <c r="H24" s="168"/>
      <c r="I24" s="49">
        <v>52999</v>
      </c>
      <c r="J24" s="50">
        <f t="shared" ref="J24" si="381">IF(ISBLANK(I24),"",K24/$A24)</f>
        <v>57094.357142857145</v>
      </c>
      <c r="K24" s="163">
        <f t="shared" ref="K24" si="382">I24+K23</f>
        <v>799321</v>
      </c>
      <c r="L24" s="50">
        <f t="shared" ref="L24" si="383">IF(ISBLANK(I24),"",I24*0.5)</f>
        <v>26499.5</v>
      </c>
      <c r="M24" s="50">
        <f t="shared" ref="M24" si="384">IFERROR(J24*0.5,"")</f>
        <v>28547.178571428572</v>
      </c>
      <c r="N24" s="50">
        <f t="shared" ref="N24" si="385">K24*0.5</f>
        <v>399660.5</v>
      </c>
      <c r="O24" s="49">
        <v>3164</v>
      </c>
      <c r="P24" s="50">
        <f t="shared" ref="P24" si="386">IF(ISBLANK(O24),"",Q24/$A24)</f>
        <v>6747.7857142857147</v>
      </c>
      <c r="Q24" s="163">
        <f t="shared" ref="Q24" si="387">O24+Q23</f>
        <v>94469</v>
      </c>
      <c r="R24" s="50">
        <f t="shared" ref="R24" si="388">IF(ISBLANK(O24),"",O24*0.5)</f>
        <v>1582</v>
      </c>
      <c r="S24" s="50">
        <f t="shared" ref="S24" si="389">IFERROR(P24*0.5,"")</f>
        <v>3373.8928571428573</v>
      </c>
      <c r="T24" s="50">
        <f t="shared" ref="T24" si="390">Q24*0.5</f>
        <v>47234.5</v>
      </c>
      <c r="U24" s="168"/>
      <c r="V24" s="49">
        <v>187.8</v>
      </c>
      <c r="W24" s="47">
        <f t="shared" ref="W24" si="391">IF(ISBLANK(V24),"",X24/$A24)</f>
        <v>196.38257142857145</v>
      </c>
      <c r="X24" s="163">
        <f t="shared" ref="X24" si="392">V24+X23</f>
        <v>2749.3560000000002</v>
      </c>
      <c r="Y24" s="169"/>
      <c r="Z24" s="170"/>
      <c r="AA24" s="171"/>
      <c r="AB24" s="172"/>
      <c r="AC24" s="49">
        <v>286.23</v>
      </c>
      <c r="AD24" s="50">
        <f t="shared" ref="AD24" si="393">IF(ISBLANK(AC24),"",AE24/$A24)</f>
        <v>300.29214285714289</v>
      </c>
      <c r="AE24" s="163">
        <f t="shared" ref="AE24" si="394">AC24+AE23</f>
        <v>4204.09</v>
      </c>
      <c r="AF24" s="49">
        <v>151566</v>
      </c>
      <c r="AG24" s="50">
        <f t="shared" ref="AG24" si="395">IF(ISBLANK(AF24),"",AH24/$A24)</f>
        <v>152908.42857142858</v>
      </c>
      <c r="AH24" s="51">
        <f t="shared" ref="AH24" si="396">AF24+AH23</f>
        <v>2140718</v>
      </c>
      <c r="AI24" s="50">
        <f t="shared" ref="AI24" si="397">IF(AF24*0.1832=0,"",AF24*0.1832)</f>
        <v>27766.891200000002</v>
      </c>
      <c r="AJ24" s="50">
        <f t="shared" ref="AJ24" si="398">IFERROR(AG24*0.1832,"")</f>
        <v>28012.824114285715</v>
      </c>
      <c r="AK24" s="50">
        <f t="shared" ref="AK24" si="399">AH24*0.1832</f>
        <v>392179.53759999998</v>
      </c>
      <c r="AL24" s="17"/>
      <c r="AM24" s="49">
        <v>109.91</v>
      </c>
      <c r="AN24" s="47">
        <f t="shared" ref="AN24" si="400">IF(ISBLANK(AM24),"",AO24/$A24)</f>
        <v>130.58000000000001</v>
      </c>
      <c r="AO24" s="163">
        <f t="shared" ref="AO24" si="401">AM24+AO23</f>
        <v>1828.1200000000001</v>
      </c>
      <c r="AP24" s="49">
        <v>72705</v>
      </c>
      <c r="AQ24" s="50">
        <f t="shared" ref="AQ24" si="402">IF(ISBLANK(AP24),"",AR24/$A24)</f>
        <v>104844.07142857143</v>
      </c>
      <c r="AR24" s="51">
        <f t="shared" ref="AR24" si="403">AP24+AR23</f>
        <v>1467817</v>
      </c>
      <c r="AS24" s="17"/>
      <c r="AT24" s="47">
        <f>borrador!G22/6.289</f>
        <v>591.93353474320247</v>
      </c>
      <c r="AU24" s="47">
        <f t="shared" ref="AU24" si="404">IF(ISBLANK(AT24),"",AV24/$A24)</f>
        <v>591.16870726665616</v>
      </c>
      <c r="AV24" s="51">
        <f t="shared" ref="AV24" si="405">AT24+AV23</f>
        <v>8276.3619017331857</v>
      </c>
      <c r="AW24" s="2"/>
      <c r="AX24" s="51">
        <f>borrador!H22/6.289</f>
        <v>423.30100174908569</v>
      </c>
      <c r="AY24" s="51">
        <f t="shared" ref="AY24" si="406">IF(ISBLANK(AX24),"",AZ24/$A24)</f>
        <v>428.02001226631535</v>
      </c>
      <c r="AZ24" s="51">
        <f t="shared" ref="AZ24" si="407">AX24+AZ23</f>
        <v>5992.2801717284146</v>
      </c>
      <c r="BA24" s="2"/>
      <c r="BB24" s="47">
        <f>borrador!E22/6.289</f>
        <v>7.856574972173636</v>
      </c>
      <c r="BC24" s="47">
        <f t="shared" ref="BC24" si="408">IF(ISBLANK(BB24),"",BD24/$A24)</f>
        <v>9.1971242305158682</v>
      </c>
      <c r="BD24" s="48">
        <f t="shared" ref="BD24" si="409">BB24+BD23</f>
        <v>128.75973922722216</v>
      </c>
      <c r="BE24" s="49">
        <f>borrador!F22*0.283*100</f>
        <v>262.90699999999998</v>
      </c>
      <c r="BF24" s="50">
        <f t="shared" ref="BF24" si="410">IF(ISBLANK(BE24),"",BG24/A24)</f>
        <v>262.50877857142854</v>
      </c>
      <c r="BG24" s="237">
        <f t="shared" ref="BG24" si="411">BE24+BG23</f>
        <v>3675.1228999999994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</row>
    <row r="25" spans="1:92" ht="15" customHeight="1" thickBot="1" x14ac:dyDescent="0.4">
      <c r="A25" s="243">
        <v>15</v>
      </c>
      <c r="B25" s="49">
        <v>567.01</v>
      </c>
      <c r="C25" s="47">
        <f t="shared" ref="C25" si="412">IF(ISBLANK(B25),"",D25/$A25)</f>
        <v>585.04066666666654</v>
      </c>
      <c r="D25" s="163">
        <f t="shared" ref="D25" si="413">B25+D24</f>
        <v>8775.6099999999988</v>
      </c>
      <c r="E25" s="49">
        <v>391914</v>
      </c>
      <c r="F25" s="50">
        <f t="shared" ref="F25" si="414">IF(ISBLANK(E25),"",G25/$A25)</f>
        <v>402583.4</v>
      </c>
      <c r="G25" s="163">
        <f t="shared" ref="G25" si="415">E25+G24</f>
        <v>6038751</v>
      </c>
      <c r="H25" s="168"/>
      <c r="I25" s="49">
        <v>56225</v>
      </c>
      <c r="J25" s="50">
        <f t="shared" ref="J25" si="416">IF(ISBLANK(I25),"",K25/$A25)</f>
        <v>57036.4</v>
      </c>
      <c r="K25" s="163">
        <f t="shared" ref="K25" si="417">I25+K24</f>
        <v>855546</v>
      </c>
      <c r="L25" s="50">
        <f t="shared" ref="L25" si="418">IF(ISBLANK(I25),"",I25*0.5)</f>
        <v>28112.5</v>
      </c>
      <c r="M25" s="50">
        <f t="shared" ref="M25" si="419">IFERROR(J25*0.5,"")</f>
        <v>28518.2</v>
      </c>
      <c r="N25" s="50">
        <f t="shared" ref="N25" si="420">K25*0.5</f>
        <v>427773</v>
      </c>
      <c r="O25" s="49">
        <v>4146</v>
      </c>
      <c r="P25" s="50">
        <f t="shared" ref="P25" si="421">IF(ISBLANK(O25),"",Q25/$A25)</f>
        <v>6574.333333333333</v>
      </c>
      <c r="Q25" s="163">
        <f t="shared" ref="Q25" si="422">O25+Q24</f>
        <v>98615</v>
      </c>
      <c r="R25" s="50">
        <f t="shared" ref="R25" si="423">IF(ISBLANK(O25),"",O25*0.5)</f>
        <v>2073</v>
      </c>
      <c r="S25" s="50">
        <f t="shared" ref="S25" si="424">IFERROR(P25*0.5,"")</f>
        <v>3287.1666666666665</v>
      </c>
      <c r="T25" s="50">
        <f t="shared" ref="T25" si="425">Q25*0.5</f>
        <v>49307.5</v>
      </c>
      <c r="U25" s="168"/>
      <c r="V25" s="49">
        <v>187</v>
      </c>
      <c r="W25" s="47">
        <f t="shared" ref="W25" si="426">IF(ISBLANK(V25),"",X25/$A25)</f>
        <v>195.75706666666667</v>
      </c>
      <c r="X25" s="163">
        <f t="shared" ref="X25" si="427">V25+X24</f>
        <v>2936.3560000000002</v>
      </c>
      <c r="Y25" s="169"/>
      <c r="Z25" s="170"/>
      <c r="AA25" s="171"/>
      <c r="AB25" s="172"/>
      <c r="AC25" s="49">
        <v>287.54000000000002</v>
      </c>
      <c r="AD25" s="50">
        <f t="shared" ref="AD25" si="428">IF(ISBLANK(AC25),"",AE25/$A25)</f>
        <v>299.44200000000001</v>
      </c>
      <c r="AE25" s="163">
        <f t="shared" ref="AE25" si="429">AC25+AE24</f>
        <v>4491.63</v>
      </c>
      <c r="AF25" s="49">
        <v>148727</v>
      </c>
      <c r="AG25" s="50">
        <f t="shared" ref="AG25" si="430">IF(ISBLANK(AF25),"",AH25/$A25)</f>
        <v>152629.66666666666</v>
      </c>
      <c r="AH25" s="51">
        <f t="shared" ref="AH25" si="431">AF25+AH24</f>
        <v>2289445</v>
      </c>
      <c r="AI25" s="50">
        <f t="shared" ref="AI25" si="432">IF(AF25*0.1832=0,"",AF25*0.1832)</f>
        <v>27246.786400000001</v>
      </c>
      <c r="AJ25" s="50">
        <f t="shared" ref="AJ25" si="433">IFERROR(AG25*0.1832,"")</f>
        <v>27961.754933333334</v>
      </c>
      <c r="AK25" s="50">
        <f t="shared" ref="AK25" si="434">AH25*0.1832</f>
        <v>419426.32400000002</v>
      </c>
      <c r="AL25" s="17"/>
      <c r="AM25" s="49">
        <v>129.63999999999999</v>
      </c>
      <c r="AN25" s="47">
        <f t="shared" ref="AN25" si="435">IF(ISBLANK(AM25),"",AO25/$A25)</f>
        <v>130.51733333333334</v>
      </c>
      <c r="AO25" s="163">
        <f t="shared" ref="AO25" si="436">AM25+AO24</f>
        <v>1957.7600000000002</v>
      </c>
      <c r="AP25" s="49">
        <v>114999</v>
      </c>
      <c r="AQ25" s="50">
        <f t="shared" ref="AQ25" si="437">IF(ISBLANK(AP25),"",AR25/$A25)</f>
        <v>105521.06666666667</v>
      </c>
      <c r="AR25" s="51">
        <f t="shared" ref="AR25" si="438">AP25+AR24</f>
        <v>1582816</v>
      </c>
      <c r="AS25" s="17"/>
      <c r="AT25" s="47">
        <f>borrador!G23/6.289</f>
        <v>591.66004134202581</v>
      </c>
      <c r="AU25" s="47">
        <f t="shared" ref="AU25" si="439">IF(ISBLANK(AT25),"",AV25/$A25)</f>
        <v>591.20146287168075</v>
      </c>
      <c r="AV25" s="51">
        <f t="shared" ref="AV25" si="440">AT25+AV24</f>
        <v>8868.0219430752113</v>
      </c>
      <c r="AW25" s="2"/>
      <c r="AX25" s="51">
        <f>borrador!H23/6.289</f>
        <v>409.94275719510262</v>
      </c>
      <c r="AY25" s="51">
        <f t="shared" ref="AY25" si="441">IF(ISBLANK(AX25),"",AZ25/$A25)</f>
        <v>426.81486192823451</v>
      </c>
      <c r="AZ25" s="51">
        <f t="shared" ref="AZ25" si="442">AX25+AZ24</f>
        <v>6402.2229289235174</v>
      </c>
      <c r="BA25" s="2"/>
      <c r="BB25" s="47">
        <f>borrador!E23/6.289</f>
        <v>10.116075687708697</v>
      </c>
      <c r="BC25" s="47">
        <f t="shared" ref="BC25" si="443">IF(ISBLANK(BB25),"",BD25/$A25)</f>
        <v>9.2583876609953908</v>
      </c>
      <c r="BD25" s="48">
        <f t="shared" ref="BD25" si="444">BB25+BD24</f>
        <v>138.87581491493086</v>
      </c>
      <c r="BE25" s="49">
        <f>borrador!F23*0.283*100</f>
        <v>262.79379999999992</v>
      </c>
      <c r="BF25" s="50">
        <f t="shared" ref="BF25" si="445">IF(ISBLANK(BE25),"",BG25/A25)</f>
        <v>262.52777999999995</v>
      </c>
      <c r="BG25" s="237">
        <f t="shared" ref="BG25" si="446">BE25+BG24</f>
        <v>3937.9166999999993</v>
      </c>
      <c r="BI25" s="189"/>
      <c r="BJ25" s="337"/>
      <c r="BK25" s="338"/>
      <c r="BL25" s="338"/>
      <c r="BM25" s="338"/>
      <c r="BN25" s="338"/>
      <c r="BO25" s="338"/>
      <c r="BP25" s="190"/>
      <c r="BQ25" s="339"/>
      <c r="BR25" s="340"/>
      <c r="BS25" s="341"/>
      <c r="BT25" s="69"/>
      <c r="BU25" s="15"/>
      <c r="BV25" s="342" t="s">
        <v>49</v>
      </c>
      <c r="BW25" s="343"/>
      <c r="BX25" s="343"/>
      <c r="BY25" s="343"/>
      <c r="BZ25" s="343"/>
      <c r="CA25" s="343"/>
      <c r="CB25" s="344"/>
    </row>
    <row r="26" spans="1:92" ht="15" customHeight="1" thickBot="1" x14ac:dyDescent="0.4">
      <c r="A26" s="46">
        <v>16</v>
      </c>
      <c r="B26" s="49">
        <v>611.88</v>
      </c>
      <c r="C26" s="47">
        <f t="shared" ref="C26" si="447">IF(ISBLANK(B26),"",D26/$A26)</f>
        <v>586.71812499999987</v>
      </c>
      <c r="D26" s="163">
        <f t="shared" ref="D26" si="448">B26+D25</f>
        <v>9387.489999999998</v>
      </c>
      <c r="E26" s="49">
        <v>393646</v>
      </c>
      <c r="F26" s="50">
        <f t="shared" ref="F26" si="449">IF(ISBLANK(E26),"",G26/$A26)</f>
        <v>402024.8125</v>
      </c>
      <c r="G26" s="163">
        <f t="shared" ref="G26" si="450">E26+G25</f>
        <v>6432397</v>
      </c>
      <c r="H26" s="168"/>
      <c r="I26" s="49">
        <v>55186</v>
      </c>
      <c r="J26" s="50">
        <f t="shared" ref="J26" si="451">IF(ISBLANK(I26),"",K26/$A26)</f>
        <v>56920.75</v>
      </c>
      <c r="K26" s="163">
        <f t="shared" ref="K26" si="452">I26+K25</f>
        <v>910732</v>
      </c>
      <c r="L26" s="50">
        <f t="shared" ref="L26" si="453">IF(ISBLANK(I26),"",I26*0.5)</f>
        <v>27593</v>
      </c>
      <c r="M26" s="50">
        <f t="shared" ref="M26" si="454">IFERROR(J26*0.5,"")</f>
        <v>28460.375</v>
      </c>
      <c r="N26" s="50">
        <f t="shared" ref="N26" si="455">K26*0.5</f>
        <v>455366</v>
      </c>
      <c r="O26" s="49">
        <v>4418</v>
      </c>
      <c r="P26" s="50">
        <f t="shared" ref="P26" si="456">IF(ISBLANK(O26),"",Q26/$A26)</f>
        <v>6439.5625</v>
      </c>
      <c r="Q26" s="163">
        <f t="shared" ref="Q26" si="457">O26+Q25</f>
        <v>103033</v>
      </c>
      <c r="R26" s="50">
        <f t="shared" ref="R26" si="458">IF(ISBLANK(O26),"",O26*0.5)</f>
        <v>2209</v>
      </c>
      <c r="S26" s="50">
        <f t="shared" ref="S26" si="459">IFERROR(P26*0.5,"")</f>
        <v>3219.78125</v>
      </c>
      <c r="T26" s="50">
        <f t="shared" ref="T26" si="460">Q26*0.5</f>
        <v>51516.5</v>
      </c>
      <c r="U26" s="168"/>
      <c r="V26" s="49">
        <v>187.2</v>
      </c>
      <c r="W26" s="47">
        <f t="shared" ref="W26" si="461">IF(ISBLANK(V26),"",X26/$A26)</f>
        <v>195.22225</v>
      </c>
      <c r="X26" s="163">
        <f t="shared" ref="X26" si="462">V26+X25</f>
        <v>3123.556</v>
      </c>
      <c r="Y26" s="169"/>
      <c r="Z26" s="170"/>
      <c r="AA26" s="171"/>
      <c r="AB26" s="172"/>
      <c r="AC26" s="49">
        <v>292.94</v>
      </c>
      <c r="AD26" s="50">
        <f t="shared" ref="AD26" si="463">IF(ISBLANK(AC26),"",AE26/$A26)</f>
        <v>299.03562499999998</v>
      </c>
      <c r="AE26" s="163">
        <f t="shared" ref="AE26" si="464">AC26+AE25</f>
        <v>4784.57</v>
      </c>
      <c r="AF26" s="49">
        <v>154122</v>
      </c>
      <c r="AG26" s="50">
        <f t="shared" ref="AG26" si="465">IF(ISBLANK(AF26),"",AH26/$A26)</f>
        <v>152722.9375</v>
      </c>
      <c r="AH26" s="51">
        <f t="shared" ref="AH26" si="466">AF26+AH25</f>
        <v>2443567</v>
      </c>
      <c r="AI26" s="50">
        <f t="shared" ref="AI26" si="467">IF(AF26*0.1832=0,"",AF26*0.1832)</f>
        <v>28235.150399999999</v>
      </c>
      <c r="AJ26" s="50">
        <f t="shared" ref="AJ26" si="468">IFERROR(AG26*0.1832,"")</f>
        <v>27978.84215</v>
      </c>
      <c r="AK26" s="50">
        <f t="shared" ref="AK26" si="469">AH26*0.1832</f>
        <v>447661.47440000001</v>
      </c>
      <c r="AL26" s="17"/>
      <c r="AM26" s="49">
        <v>138.43</v>
      </c>
      <c r="AN26" s="47">
        <f t="shared" ref="AN26" si="470">IF(ISBLANK(AM26),"",AO26/$A26)</f>
        <v>131.011875</v>
      </c>
      <c r="AO26" s="163">
        <f t="shared" ref="AO26" si="471">AM26+AO25</f>
        <v>2096.19</v>
      </c>
      <c r="AP26" s="49">
        <v>113593</v>
      </c>
      <c r="AQ26" s="50">
        <f t="shared" ref="AQ26" si="472">IF(ISBLANK(AP26),"",AR26/$A26)</f>
        <v>106025.5625</v>
      </c>
      <c r="AR26" s="51">
        <f t="shared" ref="AR26" si="473">AP26+AR25</f>
        <v>1696409</v>
      </c>
      <c r="AS26" s="17"/>
      <c r="AT26" s="47">
        <f>borrador!G24/6.289</f>
        <v>588.49737637144221</v>
      </c>
      <c r="AU26" s="47">
        <f t="shared" ref="AU26" si="474">IF(ISBLANK(AT26),"",AV26/$A26)</f>
        <v>591.03245746541586</v>
      </c>
      <c r="AV26" s="51">
        <f t="shared" ref="AV26" si="475">AT26+AV25</f>
        <v>9456.5193194466538</v>
      </c>
      <c r="AW26" s="2"/>
      <c r="AX26" s="51">
        <f>borrador!H24/6.289</f>
        <v>423.94180314835432</v>
      </c>
      <c r="AY26" s="51">
        <f t="shared" ref="AY26" si="476">IF(ISBLANK(AX26),"",AZ26/$A26)</f>
        <v>426.63529575449201</v>
      </c>
      <c r="AZ26" s="51">
        <f t="shared" ref="AZ26" si="477">AX26+AZ25</f>
        <v>6826.1647320718721</v>
      </c>
      <c r="BA26" s="2"/>
      <c r="BB26" s="47">
        <f>borrador!E24/6.289</f>
        <v>9.0507234854507885</v>
      </c>
      <c r="BC26" s="47">
        <f t="shared" ref="BC26" si="478">IF(ISBLANK(BB26),"",BD26/$A26)</f>
        <v>9.2454086500238528</v>
      </c>
      <c r="BD26" s="48">
        <f t="shared" ref="BD26" si="479">BB26+BD25</f>
        <v>147.92653840038165</v>
      </c>
      <c r="BE26" s="49">
        <f>borrador!F24*0.283*100</f>
        <v>262.65229999999997</v>
      </c>
      <c r="BF26" s="50">
        <f t="shared" ref="BF26" si="480">IF(ISBLANK(BE26),"",BG26/A26)</f>
        <v>262.53556249999997</v>
      </c>
      <c r="BG26" s="237">
        <f t="shared" ref="BG26" si="481">BE26+BG25</f>
        <v>4200.5689999999995</v>
      </c>
      <c r="BI26" s="115" t="s">
        <v>45</v>
      </c>
      <c r="BJ26" s="332" t="s">
        <v>50</v>
      </c>
      <c r="BK26" s="333"/>
      <c r="BL26" s="333"/>
      <c r="BM26" s="333"/>
      <c r="BN26" s="333"/>
      <c r="BO26" s="333"/>
      <c r="BP26" s="191"/>
      <c r="BQ26" s="334" t="s">
        <v>100</v>
      </c>
      <c r="BR26" s="335"/>
      <c r="BS26" s="336"/>
      <c r="BT26" s="70"/>
      <c r="BU26" s="15"/>
      <c r="BV26" s="345"/>
      <c r="BW26" s="346"/>
      <c r="BX26" s="346"/>
      <c r="BY26" s="346"/>
      <c r="BZ26" s="346"/>
      <c r="CA26" s="346"/>
      <c r="CB26" s="347"/>
    </row>
    <row r="27" spans="1:92" ht="15" customHeight="1" thickBot="1" x14ac:dyDescent="0.4">
      <c r="A27" s="46">
        <v>17</v>
      </c>
      <c r="B27" s="49">
        <v>623.5</v>
      </c>
      <c r="C27" s="47">
        <f t="shared" ref="C27" si="482">IF(ISBLANK(B27),"",D27/$A27)</f>
        <v>588.88176470588223</v>
      </c>
      <c r="D27" s="163">
        <f t="shared" ref="D27" si="483">B27+D26</f>
        <v>10010.989999999998</v>
      </c>
      <c r="E27" s="49">
        <v>389654</v>
      </c>
      <c r="F27" s="50">
        <f t="shared" ref="F27" si="484">IF(ISBLANK(E27),"",G27/$A27)</f>
        <v>401297.1176470588</v>
      </c>
      <c r="G27" s="163">
        <f t="shared" ref="G27" si="485">E27+G26</f>
        <v>6822051</v>
      </c>
      <c r="H27" s="168"/>
      <c r="I27" s="49">
        <v>56169</v>
      </c>
      <c r="J27" s="50">
        <f t="shared" ref="J27" si="486">IF(ISBLANK(I27),"",K27/$A27)</f>
        <v>56876.529411764706</v>
      </c>
      <c r="K27" s="163">
        <f t="shared" ref="K27" si="487">I27+K26</f>
        <v>966901</v>
      </c>
      <c r="L27" s="50">
        <f t="shared" ref="L27" si="488">IF(ISBLANK(I27),"",I27*0.5)</f>
        <v>28084.5</v>
      </c>
      <c r="M27" s="50">
        <f t="shared" ref="M27" si="489">IFERROR(J27*0.5,"")</f>
        <v>28438.264705882353</v>
      </c>
      <c r="N27" s="50">
        <f t="shared" ref="N27" si="490">K27*0.5</f>
        <v>483450.5</v>
      </c>
      <c r="O27" s="49">
        <v>5182</v>
      </c>
      <c r="P27" s="50">
        <f t="shared" ref="P27" si="491">IF(ISBLANK(O27),"",Q27/$A27)</f>
        <v>6365.588235294118</v>
      </c>
      <c r="Q27" s="163">
        <f t="shared" ref="Q27" si="492">O27+Q26</f>
        <v>108215</v>
      </c>
      <c r="R27" s="50">
        <f t="shared" ref="R27" si="493">IF(ISBLANK(O27),"",O27*0.5)</f>
        <v>2591</v>
      </c>
      <c r="S27" s="50">
        <f t="shared" ref="S27" si="494">IFERROR(P27*0.5,"")</f>
        <v>3182.794117647059</v>
      </c>
      <c r="T27" s="50">
        <f t="shared" ref="T27" si="495">Q27*0.5</f>
        <v>54107.5</v>
      </c>
      <c r="U27" s="168"/>
      <c r="V27" s="49">
        <v>186.1</v>
      </c>
      <c r="W27" s="47">
        <f t="shared" ref="W27" si="496">IF(ISBLANK(V27),"",X27/$A27)</f>
        <v>194.68564705882352</v>
      </c>
      <c r="X27" s="163">
        <f t="shared" ref="X27" si="497">V27+X26</f>
        <v>3309.6559999999999</v>
      </c>
      <c r="Y27" s="169"/>
      <c r="Z27" s="170"/>
      <c r="AA27" s="171"/>
      <c r="AB27" s="172"/>
      <c r="AC27" s="49">
        <v>293.81</v>
      </c>
      <c r="AD27" s="50">
        <f t="shared" ref="AD27" si="498">IF(ISBLANK(AC27),"",AE27/$A27)</f>
        <v>298.72823529411767</v>
      </c>
      <c r="AE27" s="163">
        <f t="shared" ref="AE27" si="499">AC27+AE26</f>
        <v>5078.38</v>
      </c>
      <c r="AF27" s="49">
        <v>150944</v>
      </c>
      <c r="AG27" s="50">
        <f t="shared" ref="AG27" si="500">IF(ISBLANK(AF27),"",AH27/$A27)</f>
        <v>152618.29411764705</v>
      </c>
      <c r="AH27" s="51">
        <f t="shared" ref="AH27" si="501">AF27+AH26</f>
        <v>2594511</v>
      </c>
      <c r="AI27" s="50">
        <f t="shared" ref="AI27" si="502">IF(AF27*0.1832=0,"",AF27*0.1832)</f>
        <v>27652.9408</v>
      </c>
      <c r="AJ27" s="50">
        <f t="shared" ref="AJ27" si="503">IFERROR(AG27*0.1832,"")</f>
        <v>27959.67148235294</v>
      </c>
      <c r="AK27" s="50">
        <f t="shared" ref="AK27" si="504">AH27*0.1832</f>
        <v>475314.41519999999</v>
      </c>
      <c r="AL27" s="17"/>
      <c r="AM27" s="49">
        <v>139.94999999999999</v>
      </c>
      <c r="AN27" s="47">
        <f t="shared" ref="AN27" si="505">IF(ISBLANK(AM27),"",AO27/$A27)</f>
        <v>131.53764705882352</v>
      </c>
      <c r="AO27" s="163">
        <f t="shared" ref="AO27" si="506">AM27+AO26</f>
        <v>2236.14</v>
      </c>
      <c r="AP27" s="49">
        <v>113918</v>
      </c>
      <c r="AQ27" s="50">
        <f t="shared" ref="AQ27" si="507">IF(ISBLANK(AP27),"",AR27/$A27)</f>
        <v>106489.82352941176</v>
      </c>
      <c r="AR27" s="51">
        <f t="shared" ref="AR27" si="508">AP27+AR26</f>
        <v>1810327</v>
      </c>
      <c r="AS27" s="17"/>
      <c r="AT27" s="47">
        <f>borrador!G25/6.289</f>
        <v>580.96517729368747</v>
      </c>
      <c r="AU27" s="47">
        <f t="shared" ref="AU27" si="509">IF(ISBLANK(AT27),"",AV27/$A27)</f>
        <v>590.44026451413765</v>
      </c>
      <c r="AV27" s="51">
        <f t="shared" ref="AV27" si="510">AT27+AV26</f>
        <v>10037.484496740341</v>
      </c>
      <c r="AW27" s="2"/>
      <c r="AX27" s="51">
        <f>borrador!H25/6.289</f>
        <v>423.13722372396251</v>
      </c>
      <c r="AY27" s="51">
        <f t="shared" ref="AY27" si="511">IF(ISBLANK(AX27),"",AZ27/$A27)</f>
        <v>426.42952681151968</v>
      </c>
      <c r="AZ27" s="51">
        <f t="shared" ref="AZ27" si="512">AX27+AZ26</f>
        <v>7249.3019557958341</v>
      </c>
      <c r="BA27" s="2"/>
      <c r="BB27" s="47">
        <f>borrador!E25/6.289</f>
        <v>9.3750993798696136</v>
      </c>
      <c r="BC27" s="47">
        <f t="shared" ref="BC27" si="513">IF(ISBLANK(BB27),"",BD27/$A27)</f>
        <v>9.2530375164853691</v>
      </c>
      <c r="BD27" s="48">
        <f t="shared" ref="BD27" si="514">BB27+BD26</f>
        <v>157.30163778025127</v>
      </c>
      <c r="BE27" s="49">
        <f>borrador!F25*0.283*100</f>
        <v>262.48250000000002</v>
      </c>
      <c r="BF27" s="50">
        <f t="shared" ref="BF27" si="515">IF(ISBLANK(BE27),"",BG27/A27)</f>
        <v>262.53244117647057</v>
      </c>
      <c r="BG27" s="237">
        <f t="shared" ref="BG27" si="516">BE27+BG26</f>
        <v>4463.0514999999996</v>
      </c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48"/>
      <c r="BW27" s="349"/>
      <c r="BX27" s="349"/>
      <c r="BY27" s="349"/>
      <c r="BZ27" s="349"/>
      <c r="CA27" s="349"/>
      <c r="CB27" s="350"/>
    </row>
    <row r="28" spans="1:92" ht="15.75" customHeight="1" thickBot="1" x14ac:dyDescent="0.4">
      <c r="A28" s="46">
        <v>18</v>
      </c>
      <c r="B28" s="49">
        <v>614.51</v>
      </c>
      <c r="C28" s="47">
        <f t="shared" ref="C28" si="517">IF(ISBLANK(B28),"",D28/$A28)</f>
        <v>590.30555555555543</v>
      </c>
      <c r="D28" s="163">
        <f t="shared" ref="D28" si="518">B28+D27</f>
        <v>10625.499999999998</v>
      </c>
      <c r="E28" s="49">
        <v>396722</v>
      </c>
      <c r="F28" s="50">
        <f t="shared" ref="F28" si="519">IF(ISBLANK(E28),"",G28/$A28)</f>
        <v>401042.94444444444</v>
      </c>
      <c r="G28" s="163">
        <f t="shared" ref="G28" si="520">E28+G27</f>
        <v>7218773</v>
      </c>
      <c r="H28" s="168"/>
      <c r="I28" s="49">
        <v>56373</v>
      </c>
      <c r="J28" s="50">
        <f t="shared" ref="J28" si="521">IF(ISBLANK(I28),"",K28/$A28)</f>
        <v>56848.555555555555</v>
      </c>
      <c r="K28" s="163">
        <f t="shared" ref="K28" si="522">I28+K27</f>
        <v>1023274</v>
      </c>
      <c r="L28" s="50">
        <f t="shared" ref="L28" si="523">IF(ISBLANK(I28),"",I28*0.5)</f>
        <v>28186.5</v>
      </c>
      <c r="M28" s="50">
        <f t="shared" ref="M28" si="524">IFERROR(J28*0.5,"")</f>
        <v>28424.277777777777</v>
      </c>
      <c r="N28" s="50">
        <f t="shared" ref="N28" si="525">K28*0.5</f>
        <v>511637</v>
      </c>
      <c r="O28" s="49">
        <v>4703</v>
      </c>
      <c r="P28" s="50">
        <f t="shared" ref="P28" si="526">IF(ISBLANK(O28),"",Q28/$A28)</f>
        <v>6273.2222222222226</v>
      </c>
      <c r="Q28" s="163">
        <f t="shared" ref="Q28" si="527">O28+Q27</f>
        <v>112918</v>
      </c>
      <c r="R28" s="50">
        <f t="shared" ref="R28" si="528">IF(ISBLANK(O28),"",O28*0.5)</f>
        <v>2351.5</v>
      </c>
      <c r="S28" s="50">
        <f t="shared" ref="S28" si="529">IFERROR(P28*0.5,"")</f>
        <v>3136.6111111111113</v>
      </c>
      <c r="T28" s="50">
        <f t="shared" ref="T28" si="530">Q28*0.5</f>
        <v>56459</v>
      </c>
      <c r="U28" s="168"/>
      <c r="V28" s="49">
        <v>186.7</v>
      </c>
      <c r="W28" s="47">
        <f t="shared" ref="W28" si="531">IF(ISBLANK(V28),"",X28/$A28)</f>
        <v>194.24199999999999</v>
      </c>
      <c r="X28" s="163">
        <f t="shared" ref="X28" si="532">V28+X27</f>
        <v>3496.3559999999998</v>
      </c>
      <c r="Y28" s="169"/>
      <c r="Z28" s="170"/>
      <c r="AA28" s="171"/>
      <c r="AB28" s="172"/>
      <c r="AC28" s="49">
        <v>277.31</v>
      </c>
      <c r="AD28" s="50">
        <f t="shared" ref="AD28" si="533">IF(ISBLANK(AC28),"",AE28/$A28)</f>
        <v>297.53833333333336</v>
      </c>
      <c r="AE28" s="163">
        <f t="shared" ref="AE28" si="534">AC28+AE27</f>
        <v>5355.6900000000005</v>
      </c>
      <c r="AF28" s="49">
        <v>152104</v>
      </c>
      <c r="AG28" s="50">
        <f t="shared" ref="AG28" si="535">IF(ISBLANK(AF28),"",AH28/$A28)</f>
        <v>152589.72222222222</v>
      </c>
      <c r="AH28" s="51">
        <f t="shared" ref="AH28" si="536">AF28+AH27</f>
        <v>2746615</v>
      </c>
      <c r="AI28" s="50">
        <f t="shared" ref="AI28" si="537">IF(AF28*0.1832=0,"",AF28*0.1832)</f>
        <v>27865.452799999999</v>
      </c>
      <c r="AJ28" s="50">
        <f t="shared" ref="AJ28" si="538">IFERROR(AG28*0.1832,"")</f>
        <v>27954.43711111111</v>
      </c>
      <c r="AK28" s="50">
        <f t="shared" ref="AK28" si="539">AH28*0.1832</f>
        <v>503179.86800000002</v>
      </c>
      <c r="AL28" s="17"/>
      <c r="AM28" s="49">
        <v>131.47999999999999</v>
      </c>
      <c r="AN28" s="47">
        <f t="shared" ref="AN28" si="540">IF(ISBLANK(AM28),"",AO28/$A28)</f>
        <v>131.53444444444443</v>
      </c>
      <c r="AO28" s="163">
        <f t="shared" ref="AO28" si="541">AM28+AO27</f>
        <v>2367.62</v>
      </c>
      <c r="AP28" s="49">
        <v>108999</v>
      </c>
      <c r="AQ28" s="50">
        <f t="shared" ref="AQ28" si="542">IF(ISBLANK(AP28),"",AR28/$A28)</f>
        <v>106629.22222222222</v>
      </c>
      <c r="AR28" s="51">
        <f t="shared" ref="AR28" si="543">AP28+AR27</f>
        <v>1919326</v>
      </c>
      <c r="AS28" s="17"/>
      <c r="AT28" s="47">
        <f>borrador!G26/6.289</f>
        <v>579.87438384480845</v>
      </c>
      <c r="AU28" s="47">
        <f t="shared" ref="AU28" si="544">IF(ISBLANK(AT28),"",AV28/$A28)</f>
        <v>589.85327114361939</v>
      </c>
      <c r="AV28" s="51">
        <f t="shared" ref="AV28" si="545">AT28+AV27</f>
        <v>10617.358880585149</v>
      </c>
      <c r="AW28" s="2"/>
      <c r="AX28" s="51">
        <f>borrador!H26/6.289</f>
        <v>422.83033868659561</v>
      </c>
      <c r="AY28" s="51">
        <f t="shared" ref="AY28" si="546">IF(ISBLANK(AX28),"",AZ28/$A28)</f>
        <v>426.22957191569054</v>
      </c>
      <c r="AZ28" s="51">
        <f t="shared" ref="AZ28" si="547">AX28+AZ27</f>
        <v>7672.1322944824296</v>
      </c>
      <c r="BA28" s="2"/>
      <c r="BB28" s="47">
        <f>borrador!E26/6.289</f>
        <v>9.4307521068532374</v>
      </c>
      <c r="BC28" s="47">
        <f t="shared" ref="BC28" si="548">IF(ISBLANK(BB28),"",BD28/$A28)</f>
        <v>9.2629105492835837</v>
      </c>
      <c r="BD28" s="48">
        <f t="shared" ref="BD28" si="549">BB28+BD27</f>
        <v>166.73238988710452</v>
      </c>
      <c r="BE28" s="49">
        <f>borrador!F26*0.283*100</f>
        <v>262.42589999999996</v>
      </c>
      <c r="BF28" s="50">
        <f t="shared" ref="BF28" si="550">IF(ISBLANK(BE28),"",BG28/A28)</f>
        <v>262.52652222222218</v>
      </c>
      <c r="BG28" s="237">
        <f t="shared" ref="BG28" si="551">BE28+BG27</f>
        <v>4725.4773999999998</v>
      </c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</row>
    <row r="29" spans="1:92" ht="15" customHeight="1" thickBot="1" x14ac:dyDescent="0.4">
      <c r="A29" s="46">
        <v>19</v>
      </c>
      <c r="B29" s="49">
        <v>622.91999999999996</v>
      </c>
      <c r="C29" s="47">
        <f t="shared" ref="C29" si="552">IF(ISBLANK(B29),"",D29/$A29)</f>
        <v>592.02210526315775</v>
      </c>
      <c r="D29" s="163">
        <f t="shared" ref="D29" si="553">B29+D28</f>
        <v>11248.419999999998</v>
      </c>
      <c r="E29" s="49">
        <v>396845</v>
      </c>
      <c r="F29" s="50">
        <f t="shared" ref="F29" si="554">IF(ISBLANK(E29),"",G29/$A29)</f>
        <v>400822</v>
      </c>
      <c r="G29" s="163">
        <f t="shared" ref="G29" si="555">E29+G28</f>
        <v>7615618</v>
      </c>
      <c r="H29" s="168"/>
      <c r="I29" s="49">
        <v>54389</v>
      </c>
      <c r="J29" s="50">
        <f t="shared" ref="J29" si="556">IF(ISBLANK(I29),"",K29/$A29)</f>
        <v>56719.105263157893</v>
      </c>
      <c r="K29" s="163">
        <f t="shared" ref="K29" si="557">I29+K28</f>
        <v>1077663</v>
      </c>
      <c r="L29" s="50">
        <f t="shared" ref="L29" si="558">IF(ISBLANK(I29),"",I29*0.5)</f>
        <v>27194.5</v>
      </c>
      <c r="M29" s="50">
        <f t="shared" ref="M29" si="559">IFERROR(J29*0.5,"")</f>
        <v>28359.552631578947</v>
      </c>
      <c r="N29" s="50">
        <f t="shared" ref="N29" si="560">K29*0.5</f>
        <v>538831.5</v>
      </c>
      <c r="O29" s="49">
        <v>2630</v>
      </c>
      <c r="P29" s="50">
        <f t="shared" ref="P29" si="561">IF(ISBLANK(O29),"",Q29/$A29)</f>
        <v>6081.4736842105267</v>
      </c>
      <c r="Q29" s="163">
        <f t="shared" ref="Q29" si="562">O29+Q28</f>
        <v>115548</v>
      </c>
      <c r="R29" s="50">
        <f t="shared" ref="R29" si="563">IF(ISBLANK(O29),"",O29*0.5)</f>
        <v>1315</v>
      </c>
      <c r="S29" s="50">
        <f t="shared" ref="S29" si="564">IFERROR(P29*0.5,"")</f>
        <v>3040.7368421052633</v>
      </c>
      <c r="T29" s="50">
        <f t="shared" ref="T29" si="565">Q29*0.5</f>
        <v>57774</v>
      </c>
      <c r="U29" s="168"/>
      <c r="V29" s="49">
        <v>186.7</v>
      </c>
      <c r="W29" s="47">
        <f t="shared" ref="W29" si="566">IF(ISBLANK(V29),"",X29/$A29)</f>
        <v>193.84505263157894</v>
      </c>
      <c r="X29" s="163">
        <f t="shared" ref="X29" si="567">V29+X28</f>
        <v>3683.0559999999996</v>
      </c>
      <c r="Y29" s="169"/>
      <c r="Z29" s="170"/>
      <c r="AA29" s="171"/>
      <c r="AB29" s="172"/>
      <c r="AC29" s="49">
        <v>295.38</v>
      </c>
      <c r="AD29" s="50">
        <f t="shared" ref="AD29" si="568">IF(ISBLANK(AC29),"",AE29/$A29)</f>
        <v>297.42473684210529</v>
      </c>
      <c r="AE29" s="163">
        <f t="shared" ref="AE29" si="569">AC29+AE28</f>
        <v>5651.0700000000006</v>
      </c>
      <c r="AF29" s="49">
        <v>145993</v>
      </c>
      <c r="AG29" s="50">
        <f t="shared" ref="AG29" si="570">IF(ISBLANK(AF29),"",AH29/$A29)</f>
        <v>152242.52631578947</v>
      </c>
      <c r="AH29" s="51">
        <f t="shared" ref="AH29" si="571">AF29+AH28</f>
        <v>2892608</v>
      </c>
      <c r="AI29" s="50">
        <f t="shared" ref="AI29" si="572">IF(AF29*0.1832=0,"",AF29*0.1832)</f>
        <v>26745.917600000001</v>
      </c>
      <c r="AJ29" s="50">
        <f t="shared" ref="AJ29" si="573">IFERROR(AG29*0.1832,"")</f>
        <v>27890.83082105263</v>
      </c>
      <c r="AK29" s="50">
        <f t="shared" ref="AK29" si="574">AH29*0.1832</f>
        <v>529925.78560000006</v>
      </c>
      <c r="AL29" s="17"/>
      <c r="AM29" s="49">
        <v>133.97</v>
      </c>
      <c r="AN29" s="47">
        <f t="shared" ref="AN29" si="575">IF(ISBLANK(AM29),"",AO29/$A29)</f>
        <v>131.66263157894736</v>
      </c>
      <c r="AO29" s="163">
        <f t="shared" ref="AO29" si="576">AM29+AO28</f>
        <v>2501.5899999999997</v>
      </c>
      <c r="AP29" s="49">
        <v>105529</v>
      </c>
      <c r="AQ29" s="50">
        <f t="shared" ref="AQ29" si="577">IF(ISBLANK(AP29),"",AR29/$A29)</f>
        <v>106571.31578947368</v>
      </c>
      <c r="AR29" s="51">
        <f t="shared" ref="AR29" si="578">AP29+AR28</f>
        <v>2024855</v>
      </c>
      <c r="AS29" s="17"/>
      <c r="AT29" s="47">
        <f>borrador!G27/6.289</f>
        <v>573.75735411035146</v>
      </c>
      <c r="AU29" s="47">
        <f t="shared" ref="AU29" si="579">IF(ISBLANK(AT29),"",AV29/$A29)</f>
        <v>589.00611761555263</v>
      </c>
      <c r="AV29" s="51">
        <f t="shared" ref="AV29" si="580">AT29+AV28</f>
        <v>11191.116234695501</v>
      </c>
      <c r="AW29" s="2"/>
      <c r="AX29" s="51">
        <f>borrador!H27/6.289</f>
        <v>422.39783749403722</v>
      </c>
      <c r="AY29" s="51">
        <f t="shared" ref="AY29" si="581">IF(ISBLANK(AX29),"",AZ29/$A29)</f>
        <v>426.02790168297196</v>
      </c>
      <c r="AZ29" s="51">
        <f t="shared" ref="AZ29" si="582">AX29+AZ28</f>
        <v>8094.5301319764667</v>
      </c>
      <c r="BA29" s="2"/>
      <c r="BB29" s="47">
        <f>borrador!E27/6.289</f>
        <v>8.1570996978851955</v>
      </c>
      <c r="BC29" s="47">
        <f t="shared" ref="BC29" si="583">IF(ISBLANK(BB29),"",BD29/$A29)</f>
        <v>9.2047099781573536</v>
      </c>
      <c r="BD29" s="48">
        <f t="shared" ref="BD29" si="584">BB29+BD28</f>
        <v>174.88948958498972</v>
      </c>
      <c r="BE29" s="49">
        <f>borrador!F27*0.283*100</f>
        <v>261.97309999999999</v>
      </c>
      <c r="BF29" s="50">
        <f t="shared" ref="BF29" si="585">IF(ISBLANK(BE29),"",BG29/A29)</f>
        <v>262.49739473684212</v>
      </c>
      <c r="BG29" s="237">
        <f t="shared" ref="BG29" si="586">BE29+BG28</f>
        <v>4987.4504999999999</v>
      </c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</row>
    <row r="30" spans="1:92" ht="13.5" customHeight="1" thickBot="1" x14ac:dyDescent="0.4">
      <c r="A30" s="46">
        <v>20</v>
      </c>
      <c r="B30" s="49">
        <v>615.4</v>
      </c>
      <c r="C30" s="47">
        <f t="shared" ref="C30" si="587">IF(ISBLANK(B30),"",D30/$A30)</f>
        <v>593.19099999999992</v>
      </c>
      <c r="D30" s="163">
        <f t="shared" ref="D30" si="588">B30+D29</f>
        <v>11863.819999999998</v>
      </c>
      <c r="E30" s="49">
        <v>382990</v>
      </c>
      <c r="F30" s="50">
        <f t="shared" ref="F30" si="589">IF(ISBLANK(E30),"",G30/$A30)</f>
        <v>399930.4</v>
      </c>
      <c r="G30" s="163">
        <f t="shared" ref="G30" si="590">E30+G29</f>
        <v>7998608</v>
      </c>
      <c r="H30" s="168"/>
      <c r="I30" s="49">
        <v>51574</v>
      </c>
      <c r="J30" s="50">
        <f t="shared" ref="J30" si="591">IF(ISBLANK(I30),"",K30/$A30)</f>
        <v>56461.85</v>
      </c>
      <c r="K30" s="163">
        <f t="shared" ref="K30" si="592">I30+K29</f>
        <v>1129237</v>
      </c>
      <c r="L30" s="50">
        <f t="shared" ref="L30" si="593">IF(ISBLANK(I30),"",I30*0.5)</f>
        <v>25787</v>
      </c>
      <c r="M30" s="50">
        <f t="shared" ref="M30" si="594">IFERROR(J30*0.5,"")</f>
        <v>28230.924999999999</v>
      </c>
      <c r="N30" s="50">
        <f t="shared" ref="N30" si="595">K30*0.5</f>
        <v>564618.5</v>
      </c>
      <c r="O30" s="49">
        <v>5016</v>
      </c>
      <c r="P30" s="50">
        <f t="shared" ref="P30" si="596">IF(ISBLANK(O30),"",Q30/$A30)</f>
        <v>6028.2</v>
      </c>
      <c r="Q30" s="163">
        <f t="shared" ref="Q30" si="597">O30+Q29</f>
        <v>120564</v>
      </c>
      <c r="R30" s="50">
        <f t="shared" ref="R30" si="598">IF(ISBLANK(O30),"",O30*0.5)</f>
        <v>2508</v>
      </c>
      <c r="S30" s="50">
        <f t="shared" ref="S30" si="599">IFERROR(P30*0.5,"")</f>
        <v>3014.1</v>
      </c>
      <c r="T30" s="50">
        <f t="shared" ref="T30" si="600">Q30*0.5</f>
        <v>60282</v>
      </c>
      <c r="U30" s="173"/>
      <c r="V30" s="49">
        <v>184.6</v>
      </c>
      <c r="W30" s="47">
        <f t="shared" ref="W30" si="601">IF(ISBLANK(V30),"",X30/$A30)</f>
        <v>193.38279999999997</v>
      </c>
      <c r="X30" s="163">
        <f t="shared" ref="X30" si="602">V30+X29</f>
        <v>3867.6559999999995</v>
      </c>
      <c r="Y30" s="117"/>
      <c r="Z30" s="118"/>
      <c r="AA30" s="119"/>
      <c r="AB30" s="120"/>
      <c r="AC30" s="49">
        <v>189.83</v>
      </c>
      <c r="AD30" s="50">
        <f t="shared" ref="AD30" si="603">IF(ISBLANK(AC30),"",AE30/$A30)</f>
        <v>292.04500000000002</v>
      </c>
      <c r="AE30" s="163">
        <f t="shared" ref="AE30" si="604">AC30+AE29</f>
        <v>5840.9000000000005</v>
      </c>
      <c r="AF30" s="49">
        <v>148578</v>
      </c>
      <c r="AG30" s="50">
        <f t="shared" ref="AG30" si="605">IF(ISBLANK(AF30),"",AH30/$A30)</f>
        <v>152059.29999999999</v>
      </c>
      <c r="AH30" s="51">
        <f t="shared" ref="AH30" si="606">AF30+AH29</f>
        <v>3041186</v>
      </c>
      <c r="AI30" s="50">
        <f t="shared" ref="AI30" si="607">IF(AF30*0.1832=0,"",AF30*0.1832)</f>
        <v>27219.489600000001</v>
      </c>
      <c r="AJ30" s="50">
        <f t="shared" ref="AJ30" si="608">IFERROR(AG30*0.1832,"")</f>
        <v>27857.263759999998</v>
      </c>
      <c r="AK30" s="50">
        <f t="shared" ref="AK30" si="609">AH30*0.1832</f>
        <v>557145.27520000003</v>
      </c>
      <c r="AL30" s="17"/>
      <c r="AM30" s="49">
        <v>117.85</v>
      </c>
      <c r="AN30" s="47">
        <f t="shared" ref="AN30" si="610">IF(ISBLANK(AM30),"",AO30/$A30)</f>
        <v>130.97199999999998</v>
      </c>
      <c r="AO30" s="163">
        <f t="shared" ref="AO30" si="611">AM30+AO29</f>
        <v>2619.4399999999996</v>
      </c>
      <c r="AP30" s="49">
        <v>101592</v>
      </c>
      <c r="AQ30" s="50">
        <f t="shared" ref="AQ30" si="612">IF(ISBLANK(AP30),"",AR30/$A30)</f>
        <v>106322.35</v>
      </c>
      <c r="AR30" s="51">
        <f t="shared" ref="AR30" si="613">AP30+AR29</f>
        <v>2126447</v>
      </c>
      <c r="AS30" s="17"/>
      <c r="AT30" s="47">
        <f>borrador!G28/6.289</f>
        <v>570.46271267292093</v>
      </c>
      <c r="AU30" s="47">
        <f t="shared" ref="AU30" si="614">IF(ISBLANK(AT30),"",AV30/$A30)</f>
        <v>588.07894736842104</v>
      </c>
      <c r="AV30" s="51">
        <f t="shared" ref="AV30" si="615">AT30+AV29</f>
        <v>11761.578947368422</v>
      </c>
      <c r="AW30" s="2"/>
      <c r="AX30" s="51">
        <f>borrador!H28/6.289</f>
        <v>421.92399427571951</v>
      </c>
      <c r="AY30" s="51">
        <f t="shared" ref="AY30" si="616">IF(ISBLANK(AX30),"",AZ30/$A30)</f>
        <v>425.82270631260934</v>
      </c>
      <c r="AZ30" s="51">
        <f t="shared" ref="AZ30" si="617">AX30+AZ29</f>
        <v>8516.4541262521871</v>
      </c>
      <c r="BA30" s="2"/>
      <c r="BB30" s="47">
        <f>borrador!E28/6.289</f>
        <v>10.470663062490061</v>
      </c>
      <c r="BC30" s="47">
        <f t="shared" ref="BC30" si="618">IF(ISBLANK(BB30),"",BD30/$A30)</f>
        <v>9.2680076323739886</v>
      </c>
      <c r="BD30" s="48">
        <f t="shared" ref="BD30" si="619">BB30+BD29</f>
        <v>185.36015264747977</v>
      </c>
      <c r="BE30" s="49">
        <f>borrador!F28*0.283*100</f>
        <v>261.1241</v>
      </c>
      <c r="BF30" s="50">
        <f t="shared" ref="BF30" si="620">IF(ISBLANK(BE30),"",BG30/A30)</f>
        <v>262.42872999999997</v>
      </c>
      <c r="BG30" s="237">
        <f t="shared" ref="BG30" si="621">BE30+BG29</f>
        <v>5248.5745999999999</v>
      </c>
      <c r="BI30" s="199" t="s">
        <v>5</v>
      </c>
      <c r="BJ30" s="81"/>
      <c r="BK30" s="21">
        <v>9801.9145875398317</v>
      </c>
      <c r="BL30" s="92">
        <f t="shared" ref="BL30:BL41" si="622">BJ30-BK30</f>
        <v>-9801.9145875398317</v>
      </c>
      <c r="BM30" s="253"/>
      <c r="BN30" s="21">
        <v>4900.1360709150122</v>
      </c>
      <c r="BO30" s="82">
        <f t="shared" ref="BO30:BO41" si="623">BM30-BN30</f>
        <v>-4900.1360709150122</v>
      </c>
      <c r="BP30" s="197"/>
      <c r="BQ30" s="253"/>
      <c r="BR30" s="21">
        <v>1816.1857753044235</v>
      </c>
      <c r="BS30" s="220">
        <f t="shared" ref="BS30:BS41" si="624">BQ30-BR30</f>
        <v>-1816.1857753044235</v>
      </c>
      <c r="BT30" s="5"/>
      <c r="BU30" s="15"/>
      <c r="BV30" s="214"/>
      <c r="BW30" s="107">
        <v>714.99298071006911</v>
      </c>
      <c r="BX30" s="84">
        <f t="shared" ref="BX30:BX41" si="625">BV30-BW30</f>
        <v>-714.99298071006911</v>
      </c>
      <c r="BY30" s="207"/>
      <c r="BZ30" s="83"/>
      <c r="CA30" s="109">
        <v>7144.2438277909851</v>
      </c>
      <c r="CB30" s="215">
        <f t="shared" ref="CB30:CB41" si="626">BZ30-CA30</f>
        <v>-7144.2438277909851</v>
      </c>
    </row>
    <row r="31" spans="1:92" ht="15" customHeight="1" thickBot="1" x14ac:dyDescent="0.4">
      <c r="A31" s="46">
        <v>21</v>
      </c>
      <c r="B31" s="49">
        <v>615.41999999999996</v>
      </c>
      <c r="C31" s="47">
        <f t="shared" ref="C31" si="627">IF(ISBLANK(B31),"",D31/$A31)</f>
        <v>594.24952380952368</v>
      </c>
      <c r="D31" s="163">
        <f t="shared" ref="D31" si="628">B31+D30</f>
        <v>12479.239999999998</v>
      </c>
      <c r="E31" s="49">
        <v>358070</v>
      </c>
      <c r="F31" s="50">
        <f t="shared" ref="F31" si="629">IF(ISBLANK(E31),"",G31/$A31)</f>
        <v>397937.04761904763</v>
      </c>
      <c r="G31" s="163">
        <f t="shared" ref="G31" si="630">E31+G30</f>
        <v>8356678</v>
      </c>
      <c r="H31" s="168"/>
      <c r="I31" s="49">
        <v>61474</v>
      </c>
      <c r="J31" s="50">
        <f t="shared" ref="J31" si="631">IF(ISBLANK(I31),"",K31/$A31)</f>
        <v>56700.523809523809</v>
      </c>
      <c r="K31" s="163">
        <f t="shared" ref="K31" si="632">I31+K30</f>
        <v>1190711</v>
      </c>
      <c r="L31" s="50">
        <f t="shared" ref="L31" si="633">IF(ISBLANK(I31),"",I31*0.5)</f>
        <v>30737</v>
      </c>
      <c r="M31" s="50">
        <f t="shared" ref="M31" si="634">IFERROR(J31*0.5,"")</f>
        <v>28350.261904761905</v>
      </c>
      <c r="N31" s="50">
        <f t="shared" ref="N31" si="635">K31*0.5</f>
        <v>595355.5</v>
      </c>
      <c r="O31" s="49">
        <v>15888</v>
      </c>
      <c r="P31" s="50">
        <f t="shared" ref="P31" si="636">IF(ISBLANK(O31),"",Q31/$A31)</f>
        <v>6497.7142857142853</v>
      </c>
      <c r="Q31" s="163">
        <f t="shared" ref="Q31" si="637">O31+Q30</f>
        <v>136452</v>
      </c>
      <c r="R31" s="50">
        <f t="shared" ref="R31" si="638">IF(ISBLANK(O31),"",O31*0.5)</f>
        <v>7944</v>
      </c>
      <c r="S31" s="50">
        <f t="shared" ref="S31" si="639">IFERROR(P31*0.5,"")</f>
        <v>3248.8571428571427</v>
      </c>
      <c r="T31" s="50">
        <f t="shared" ref="T31" si="640">Q31*0.5</f>
        <v>68226</v>
      </c>
      <c r="U31" s="173"/>
      <c r="V31" s="49">
        <v>184.6</v>
      </c>
      <c r="W31" s="47">
        <f t="shared" ref="W31" si="641">IF(ISBLANK(V31),"",X31/$A31)</f>
        <v>192.96457142857139</v>
      </c>
      <c r="X31" s="163">
        <f t="shared" ref="X31" si="642">V31+X30</f>
        <v>4052.2559999999994</v>
      </c>
      <c r="Y31" s="117"/>
      <c r="Z31" s="118"/>
      <c r="AA31" s="119"/>
      <c r="AB31" s="120"/>
      <c r="AC31" s="49">
        <v>296.83</v>
      </c>
      <c r="AD31" s="50">
        <f t="shared" ref="AD31" si="643">IF(ISBLANK(AC31),"",AE31/$A31)</f>
        <v>292.27285714285716</v>
      </c>
      <c r="AE31" s="163">
        <f t="shared" ref="AE31" si="644">AC31+AE30</f>
        <v>6137.7300000000005</v>
      </c>
      <c r="AF31" s="49">
        <v>154571</v>
      </c>
      <c r="AG31" s="50">
        <f t="shared" ref="AG31" si="645">IF(ISBLANK(AF31),"",AH31/$A31)</f>
        <v>152178.90476190476</v>
      </c>
      <c r="AH31" s="51">
        <f t="shared" ref="AH31" si="646">AF31+AH30</f>
        <v>3195757</v>
      </c>
      <c r="AI31" s="50">
        <f t="shared" ref="AI31" si="647">IF(AF31*0.1832=0,"",AF31*0.1832)</f>
        <v>28317.407200000001</v>
      </c>
      <c r="AJ31" s="50">
        <f t="shared" ref="AJ31" si="648">IFERROR(AG31*0.1832,"")</f>
        <v>27879.175352380953</v>
      </c>
      <c r="AK31" s="50">
        <f t="shared" ref="AK31" si="649">AH31*0.1832</f>
        <v>585462.68240000005</v>
      </c>
      <c r="AL31" s="17"/>
      <c r="AM31" s="49">
        <v>103.21</v>
      </c>
      <c r="AN31" s="47">
        <f t="shared" ref="AN31" si="650">IF(ISBLANK(AM31),"",AO31/$A31)</f>
        <v>129.64999999999998</v>
      </c>
      <c r="AO31" s="163">
        <f t="shared" ref="AO31" si="651">AM31+AO30</f>
        <v>2722.6499999999996</v>
      </c>
      <c r="AP31" s="49">
        <v>100060</v>
      </c>
      <c r="AQ31" s="50">
        <f t="shared" ref="AQ31" si="652">IF(ISBLANK(AP31),"",AR31/$A31)</f>
        <v>106024.14285714286</v>
      </c>
      <c r="AR31" s="51">
        <f t="shared" ref="AR31" si="653">AP31+AR30</f>
        <v>2226507</v>
      </c>
      <c r="AS31" s="17"/>
      <c r="AT31" s="47">
        <f>borrador!G29/6.289</f>
        <v>608.19049133407543</v>
      </c>
      <c r="AU31" s="47">
        <f t="shared" ref="AU31" si="654">IF(ISBLANK(AT31),"",AV31/$A31)</f>
        <v>589.03663993821408</v>
      </c>
      <c r="AV31" s="51">
        <f t="shared" ref="AV31" si="655">AT31+AV30</f>
        <v>12369.769438702497</v>
      </c>
      <c r="AW31" s="2"/>
      <c r="AX31" s="51">
        <f>borrador!H29/6.289</f>
        <v>421.42629988869453</v>
      </c>
      <c r="AY31" s="51">
        <f t="shared" ref="AY31" si="656">IF(ISBLANK(AX31),"",AZ31/$A31)</f>
        <v>425.6133536257563</v>
      </c>
      <c r="AZ31" s="51">
        <f t="shared" ref="AZ31" si="657">AX31+AZ30</f>
        <v>8937.8804261408823</v>
      </c>
      <c r="BA31" s="2"/>
      <c r="BB31" s="47">
        <f>borrador!E29/6.289</f>
        <v>7.9774208936237878</v>
      </c>
      <c r="BC31" s="47">
        <f t="shared" ref="BC31" si="658">IF(ISBLANK(BB31),"",BD31/$A31)</f>
        <v>9.2065511210049316</v>
      </c>
      <c r="BD31" s="48">
        <f t="shared" ref="BD31" si="659">BB31+BD30</f>
        <v>193.33757354110355</v>
      </c>
      <c r="BE31" s="49">
        <f>borrador!F29*0.283*100</f>
        <v>261.74669999999998</v>
      </c>
      <c r="BF31" s="50">
        <f t="shared" ref="BF31" si="660">IF(ISBLANK(BE31),"",BG31/A31)</f>
        <v>262.39625238095238</v>
      </c>
      <c r="BG31" s="237">
        <f t="shared" ref="BG31" si="661">BE31+BG30</f>
        <v>5510.3212999999996</v>
      </c>
      <c r="BI31" s="199" t="s">
        <v>6</v>
      </c>
      <c r="BJ31" s="81"/>
      <c r="BK31" s="21">
        <v>8963.5767707149025</v>
      </c>
      <c r="BL31" s="92">
        <f t="shared" si="622"/>
        <v>-8963.5767707149025</v>
      </c>
      <c r="BM31" s="254"/>
      <c r="BN31" s="21">
        <v>4462.7581629957967</v>
      </c>
      <c r="BO31" s="82">
        <f t="shared" si="623"/>
        <v>-4462.7581629957967</v>
      </c>
      <c r="BP31" s="197"/>
      <c r="BQ31" s="254"/>
      <c r="BR31" s="21">
        <v>1583.6143697070756</v>
      </c>
      <c r="BS31" s="220">
        <f t="shared" si="624"/>
        <v>-1583.6143697070756</v>
      </c>
      <c r="BT31" s="5"/>
      <c r="BU31" s="15"/>
      <c r="BV31" s="214"/>
      <c r="BW31" s="107">
        <v>1047.0284476001661</v>
      </c>
      <c r="BX31" s="84">
        <f t="shared" si="625"/>
        <v>-1047.0284476001661</v>
      </c>
      <c r="BY31" s="207"/>
      <c r="BZ31" s="83"/>
      <c r="CA31" s="109">
        <v>12012.914276065794</v>
      </c>
      <c r="CB31" s="215">
        <f t="shared" si="626"/>
        <v>-12012.914276065794</v>
      </c>
    </row>
    <row r="32" spans="1:92" ht="15" customHeight="1" thickBot="1" x14ac:dyDescent="0.4">
      <c r="A32" s="46">
        <v>22</v>
      </c>
      <c r="B32" s="49">
        <v>617.22</v>
      </c>
      <c r="C32" s="47">
        <f t="shared" ref="C32:C33" si="662">IF(ISBLANK(B32),"",D32/$A32)</f>
        <v>595.29363636363621</v>
      </c>
      <c r="D32" s="163">
        <f t="shared" ref="D32:D33" si="663">B32+D31</f>
        <v>13096.459999999997</v>
      </c>
      <c r="E32" s="49">
        <v>398840</v>
      </c>
      <c r="F32" s="50">
        <f t="shared" ref="F32:F33" si="664">IF(ISBLANK(E32),"",G32/$A32)</f>
        <v>397978.09090909088</v>
      </c>
      <c r="G32" s="163">
        <f t="shared" ref="G32:G33" si="665">E32+G31</f>
        <v>8755518</v>
      </c>
      <c r="H32" s="168"/>
      <c r="I32" s="49">
        <v>61810</v>
      </c>
      <c r="J32" s="50">
        <f t="shared" ref="J32:J33" si="666">IF(ISBLANK(I32),"",K32/$A32)</f>
        <v>56932.772727272728</v>
      </c>
      <c r="K32" s="163">
        <f t="shared" ref="K32:K33" si="667">I32+K31</f>
        <v>1252521</v>
      </c>
      <c r="L32" s="50">
        <f t="shared" ref="L32:L33" si="668">IF(ISBLANK(I32),"",I32*0.5)</f>
        <v>30905</v>
      </c>
      <c r="M32" s="50">
        <f t="shared" ref="M32:M33" si="669">IFERROR(J32*0.5,"")</f>
        <v>28466.386363636364</v>
      </c>
      <c r="N32" s="50">
        <f t="shared" ref="N32:N33" si="670">K32*0.5</f>
        <v>626260.5</v>
      </c>
      <c r="O32" s="49">
        <v>15557</v>
      </c>
      <c r="P32" s="50">
        <f t="shared" ref="P32:P34" si="671">IF(ISBLANK(O32),"",Q32/$A32)</f>
        <v>6909.5</v>
      </c>
      <c r="Q32" s="163">
        <f t="shared" ref="Q32:Q34" si="672">O32+Q31</f>
        <v>152009</v>
      </c>
      <c r="R32" s="50">
        <f t="shared" ref="R32:R34" si="673">IF(ISBLANK(O32),"",O32*0.5)</f>
        <v>7778.5</v>
      </c>
      <c r="S32" s="50">
        <f t="shared" ref="S32:S34" si="674">IFERROR(P32*0.5,"")</f>
        <v>3454.75</v>
      </c>
      <c r="T32" s="50">
        <f t="shared" ref="T32:T34" si="675">Q32*0.5</f>
        <v>76004.5</v>
      </c>
      <c r="U32" s="173"/>
      <c r="V32" s="49">
        <v>185.5</v>
      </c>
      <c r="W32" s="47">
        <f t="shared" ref="W32:W34" si="676">IF(ISBLANK(V32),"",X32/$A32)</f>
        <v>192.62527272727269</v>
      </c>
      <c r="X32" s="163">
        <f t="shared" ref="X32:X34" si="677">V32+X31</f>
        <v>4237.7559999999994</v>
      </c>
      <c r="Y32" s="117"/>
      <c r="Z32" s="118"/>
      <c r="AA32" s="119"/>
      <c r="AB32" s="120"/>
      <c r="AC32" s="49">
        <v>293.72000000000003</v>
      </c>
      <c r="AD32" s="50">
        <f t="shared" ref="AD32:AD34" si="678">IF(ISBLANK(AC32),"",AE32/$A32)</f>
        <v>292.3386363636364</v>
      </c>
      <c r="AE32" s="163">
        <f t="shared" ref="AE32:AE34" si="679">AC32+AE31</f>
        <v>6431.4500000000007</v>
      </c>
      <c r="AF32" s="49">
        <v>156091</v>
      </c>
      <c r="AG32" s="50">
        <f t="shared" ref="AG32:AG34" si="680">IF(ISBLANK(AF32),"",AH32/$A32)</f>
        <v>152356.72727272726</v>
      </c>
      <c r="AH32" s="51">
        <f t="shared" ref="AH32:AH34" si="681">AF32+AH31</f>
        <v>3351848</v>
      </c>
      <c r="AI32" s="50">
        <f t="shared" ref="AI32:AI34" si="682">IF(AF32*0.1832=0,"",AF32*0.1832)</f>
        <v>28595.871200000001</v>
      </c>
      <c r="AJ32" s="50">
        <f t="shared" ref="AJ32:AJ34" si="683">IFERROR(AG32*0.1832,"")</f>
        <v>27911.752436363637</v>
      </c>
      <c r="AK32" s="50">
        <f t="shared" ref="AK32:AK34" si="684">AH32*0.1832</f>
        <v>614058.55359999998</v>
      </c>
      <c r="AL32" s="17"/>
      <c r="AM32" s="49">
        <v>124.16</v>
      </c>
      <c r="AN32" s="47">
        <f t="shared" ref="AN32:AN34" si="685">IF(ISBLANK(AM32),"",AO32/$A32)</f>
        <v>129.40045454545452</v>
      </c>
      <c r="AO32" s="163">
        <f t="shared" ref="AO32:AO34" si="686">AM32+AO31</f>
        <v>2846.8099999999995</v>
      </c>
      <c r="AP32" s="49">
        <v>84275</v>
      </c>
      <c r="AQ32" s="50">
        <f t="shared" ref="AQ32:AQ34" si="687">IF(ISBLANK(AP32),"",AR32/$A32)</f>
        <v>105035.54545454546</v>
      </c>
      <c r="AR32" s="51">
        <f t="shared" ref="AR32:AR34" si="688">AP32+AR31</f>
        <v>2310782</v>
      </c>
      <c r="AS32" s="17"/>
      <c r="AT32" s="47">
        <f>borrador!G30/6.289</f>
        <v>664.74797265066002</v>
      </c>
      <c r="AU32" s="47">
        <f t="shared" ref="AU32:AU34" si="689">IF(ISBLANK(AT32),"",AV32/$A32)</f>
        <v>592.47806415241621</v>
      </c>
      <c r="AV32" s="51">
        <f t="shared" ref="AV32:AV34" si="690">AT32+AV31</f>
        <v>13034.517411353158</v>
      </c>
      <c r="AW32" s="2"/>
      <c r="AX32" s="51">
        <f>borrador!H30/6.289</f>
        <v>422.6729209731277</v>
      </c>
      <c r="AY32" s="51">
        <f t="shared" ref="AY32:AY34" si="691">IF(ISBLANK(AX32),"",AZ32/$A32)</f>
        <v>425.47969759609134</v>
      </c>
      <c r="AZ32" s="51">
        <f t="shared" ref="AZ32:AZ34" si="692">AX32+AZ31</f>
        <v>9360.5533471140097</v>
      </c>
      <c r="BA32" s="2"/>
      <c r="BB32" s="47">
        <f>borrador!E30/6.289</f>
        <v>8.2207028144379084</v>
      </c>
      <c r="BC32" s="47">
        <f t="shared" ref="BC32:BC34" si="693">IF(ISBLANK(BB32),"",BD32/$A32)</f>
        <v>9.1617398343427947</v>
      </c>
      <c r="BD32" s="48">
        <f t="shared" ref="BD32:BD34" si="694">BB32+BD31</f>
        <v>201.55827635554147</v>
      </c>
      <c r="BE32" s="49">
        <f>borrador!F30*0.283*100</f>
        <v>261.57689999999997</v>
      </c>
      <c r="BF32" s="50">
        <f t="shared" ref="BF32:BF34" si="695">IF(ISBLANK(BE32),"",BG32/A32)</f>
        <v>262.35900909090907</v>
      </c>
      <c r="BG32" s="237">
        <f t="shared" ref="BG32:BG34" si="696">BE32+BG31</f>
        <v>5771.8981999999996</v>
      </c>
      <c r="BI32" s="199" t="s">
        <v>7</v>
      </c>
      <c r="BJ32" s="81"/>
      <c r="BK32" s="21">
        <v>10030.647453244723</v>
      </c>
      <c r="BL32" s="92">
        <f t="shared" si="622"/>
        <v>-10030.647453244723</v>
      </c>
      <c r="BM32" s="254"/>
      <c r="BN32" s="21">
        <v>4980.4230613322788</v>
      </c>
      <c r="BO32" s="82">
        <f t="shared" si="623"/>
        <v>-4980.4230613322788</v>
      </c>
      <c r="BP32" s="197"/>
      <c r="BQ32" s="254"/>
      <c r="BR32" s="21">
        <v>1693.1915254073704</v>
      </c>
      <c r="BS32" s="220">
        <f t="shared" si="624"/>
        <v>-1693.1915254073704</v>
      </c>
      <c r="BT32" s="5"/>
      <c r="BU32" s="15"/>
      <c r="BV32" s="214"/>
      <c r="BW32" s="107">
        <v>1082.6177579290948</v>
      </c>
      <c r="BX32" s="84">
        <f t="shared" si="625"/>
        <v>-1082.6177579290948</v>
      </c>
      <c r="BY32" s="207"/>
      <c r="BZ32" s="83"/>
      <c r="CA32" s="109">
        <v>12456.896493386255</v>
      </c>
      <c r="CB32" s="215">
        <f t="shared" si="626"/>
        <v>-12456.896493386255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</row>
    <row r="33" spans="1:92" ht="15" customHeight="1" thickBot="1" x14ac:dyDescent="0.4">
      <c r="A33" s="46">
        <v>23</v>
      </c>
      <c r="B33" s="49">
        <v>609.75</v>
      </c>
      <c r="C33" s="47">
        <f t="shared" si="662"/>
        <v>595.92217391304337</v>
      </c>
      <c r="D33" s="163">
        <f t="shared" si="663"/>
        <v>13706.209999999997</v>
      </c>
      <c r="E33" s="49">
        <v>412102</v>
      </c>
      <c r="F33" s="50">
        <f t="shared" si="664"/>
        <v>398592.17391304346</v>
      </c>
      <c r="G33" s="163">
        <f t="shared" si="665"/>
        <v>9167620</v>
      </c>
      <c r="H33" s="173"/>
      <c r="I33" s="49">
        <v>60270</v>
      </c>
      <c r="J33" s="50">
        <f t="shared" si="666"/>
        <v>57077.869565217392</v>
      </c>
      <c r="K33" s="163">
        <f t="shared" si="667"/>
        <v>1312791</v>
      </c>
      <c r="L33" s="50">
        <f t="shared" si="668"/>
        <v>30135</v>
      </c>
      <c r="M33" s="50">
        <f t="shared" si="669"/>
        <v>28538.934782608696</v>
      </c>
      <c r="N33" s="50">
        <f t="shared" si="670"/>
        <v>656395.5</v>
      </c>
      <c r="O33" s="49">
        <v>9369</v>
      </c>
      <c r="P33" s="50">
        <f t="shared" si="671"/>
        <v>7016.434782608696</v>
      </c>
      <c r="Q33" s="163">
        <f t="shared" si="672"/>
        <v>161378</v>
      </c>
      <c r="R33" s="50">
        <f t="shared" si="673"/>
        <v>4684.5</v>
      </c>
      <c r="S33" s="50">
        <f t="shared" si="674"/>
        <v>3508.217391304348</v>
      </c>
      <c r="T33" s="50">
        <f t="shared" si="675"/>
        <v>80689</v>
      </c>
      <c r="U33" s="173"/>
      <c r="V33" s="49">
        <v>190.6</v>
      </c>
      <c r="W33" s="47">
        <f t="shared" si="676"/>
        <v>192.53721739130432</v>
      </c>
      <c r="X33" s="163">
        <f t="shared" si="677"/>
        <v>4428.3559999999998</v>
      </c>
      <c r="Y33" s="117"/>
      <c r="Z33" s="118"/>
      <c r="AA33" s="119"/>
      <c r="AB33" s="120"/>
      <c r="AC33" s="49">
        <v>285.19</v>
      </c>
      <c r="AD33" s="50">
        <f t="shared" si="678"/>
        <v>292.02782608695651</v>
      </c>
      <c r="AE33" s="163">
        <f t="shared" si="679"/>
        <v>6716.64</v>
      </c>
      <c r="AF33" s="49">
        <v>156781</v>
      </c>
      <c r="AG33" s="50">
        <f t="shared" si="680"/>
        <v>152549.08695652173</v>
      </c>
      <c r="AH33" s="51">
        <f t="shared" si="681"/>
        <v>3508629</v>
      </c>
      <c r="AI33" s="50">
        <f t="shared" si="682"/>
        <v>28722.279200000001</v>
      </c>
      <c r="AJ33" s="50">
        <f t="shared" si="683"/>
        <v>27946.99273043478</v>
      </c>
      <c r="AK33" s="50">
        <f t="shared" si="684"/>
        <v>642780.83279999997</v>
      </c>
      <c r="AL33" s="17"/>
      <c r="AM33" s="49">
        <v>124.79</v>
      </c>
      <c r="AN33" s="47">
        <f t="shared" si="685"/>
        <v>129.19999999999999</v>
      </c>
      <c r="AO33" s="163">
        <f t="shared" si="686"/>
        <v>2971.5999999999995</v>
      </c>
      <c r="AP33" s="49">
        <v>111680</v>
      </c>
      <c r="AQ33" s="50">
        <f t="shared" si="687"/>
        <v>105324.43478260869</v>
      </c>
      <c r="AR33" s="51">
        <f t="shared" si="688"/>
        <v>2422462</v>
      </c>
      <c r="AS33" s="17"/>
      <c r="AT33" s="47">
        <f>borrador!G31/6.289</f>
        <v>669.35283828907632</v>
      </c>
      <c r="AU33" s="47">
        <f t="shared" si="689"/>
        <v>595.82044563661884</v>
      </c>
      <c r="AV33" s="51">
        <f t="shared" si="690"/>
        <v>13703.870249642234</v>
      </c>
      <c r="AW33" s="2"/>
      <c r="AX33" s="51">
        <f>borrador!H31/6.289</f>
        <v>422.53617427253937</v>
      </c>
      <c r="AY33" s="51">
        <f t="shared" si="691"/>
        <v>425.35171832115435</v>
      </c>
      <c r="AZ33" s="51">
        <f t="shared" si="692"/>
        <v>9783.0895213865497</v>
      </c>
      <c r="BA33" s="2"/>
      <c r="BB33" s="47">
        <f>borrador!E31/6.289</f>
        <v>9.2701542375576409</v>
      </c>
      <c r="BC33" s="47">
        <f t="shared" si="693"/>
        <v>9.1664535040477872</v>
      </c>
      <c r="BD33" s="48">
        <f t="shared" si="694"/>
        <v>210.82843059309911</v>
      </c>
      <c r="BE33" s="49">
        <f>borrador!F31*0.283*100</f>
        <v>261.1241</v>
      </c>
      <c r="BF33" s="50">
        <f t="shared" si="695"/>
        <v>262.30531739130436</v>
      </c>
      <c r="BG33" s="237">
        <f t="shared" si="696"/>
        <v>6033.0222999999996</v>
      </c>
      <c r="BI33" s="199" t="s">
        <v>8</v>
      </c>
      <c r="BJ33" s="81"/>
      <c r="BK33" s="21">
        <v>9972.3536653604879</v>
      </c>
      <c r="BL33" s="92">
        <f t="shared" si="622"/>
        <v>-9972.3536653604879</v>
      </c>
      <c r="BM33" s="254"/>
      <c r="BN33" s="21">
        <v>4992.321976957579</v>
      </c>
      <c r="BO33" s="82">
        <f t="shared" si="623"/>
        <v>-4992.321976957579</v>
      </c>
      <c r="BP33" s="197"/>
      <c r="BQ33" s="254"/>
      <c r="BR33" s="21">
        <v>1971.3672978400978</v>
      </c>
      <c r="BS33" s="220">
        <f t="shared" si="624"/>
        <v>-1971.3672978400978</v>
      </c>
      <c r="BT33" s="5"/>
      <c r="BU33" s="15"/>
      <c r="BV33" s="214"/>
      <c r="BW33" s="107">
        <v>1182.9133153465684</v>
      </c>
      <c r="BX33" s="84">
        <f t="shared" si="625"/>
        <v>-1182.9133153465684</v>
      </c>
      <c r="BY33" s="207"/>
      <c r="BZ33" s="83"/>
      <c r="CA33" s="107">
        <v>14101.986661586783</v>
      </c>
      <c r="CB33" s="215">
        <f t="shared" si="626"/>
        <v>-14101.986661586783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</row>
    <row r="34" spans="1:92" ht="15" customHeight="1" thickBot="1" x14ac:dyDescent="0.4">
      <c r="A34" s="46">
        <v>24</v>
      </c>
      <c r="B34" s="49">
        <v>608.05999999999995</v>
      </c>
      <c r="C34" s="47">
        <f t="shared" ref="C34" si="697">IF(ISBLANK(B34),"",D34/$A34)</f>
        <v>596.42791666666653</v>
      </c>
      <c r="D34" s="163">
        <f t="shared" ref="D34" si="698">B34+D33</f>
        <v>14314.269999999997</v>
      </c>
      <c r="E34" s="49">
        <v>409624</v>
      </c>
      <c r="F34" s="50">
        <f t="shared" ref="F34" si="699">IF(ISBLANK(E34),"",G34/$A34)</f>
        <v>399051.83333333331</v>
      </c>
      <c r="G34" s="163">
        <f t="shared" ref="G34" si="700">E34+G33</f>
        <v>9577244</v>
      </c>
      <c r="H34" s="173"/>
      <c r="I34" s="49">
        <v>61910</v>
      </c>
      <c r="J34" s="50">
        <f t="shared" ref="J34" si="701">IF(ISBLANK(I34),"",K34/$A34)</f>
        <v>57279.208333333336</v>
      </c>
      <c r="K34" s="163">
        <f t="shared" ref="K34" si="702">I34+K33</f>
        <v>1374701</v>
      </c>
      <c r="L34" s="50">
        <f t="shared" ref="L34" si="703">IF(ISBLANK(I34),"",I34*0.5)</f>
        <v>30955</v>
      </c>
      <c r="M34" s="50">
        <f t="shared" ref="M34" si="704">IFERROR(J34*0.5,"")</f>
        <v>28639.604166666668</v>
      </c>
      <c r="N34" s="50">
        <f t="shared" ref="N34" si="705">K34*0.5</f>
        <v>687350.5</v>
      </c>
      <c r="O34" s="49">
        <v>7875</v>
      </c>
      <c r="P34" s="50">
        <f t="shared" si="671"/>
        <v>7052.208333333333</v>
      </c>
      <c r="Q34" s="163">
        <f t="shared" si="672"/>
        <v>169253</v>
      </c>
      <c r="R34" s="50">
        <f t="shared" si="673"/>
        <v>3937.5</v>
      </c>
      <c r="S34" s="50">
        <f t="shared" si="674"/>
        <v>3526.1041666666665</v>
      </c>
      <c r="T34" s="50">
        <f t="shared" si="675"/>
        <v>84626.5</v>
      </c>
      <c r="U34" s="173"/>
      <c r="V34" s="49">
        <v>189.7</v>
      </c>
      <c r="W34" s="47">
        <f t="shared" si="676"/>
        <v>192.41899999999998</v>
      </c>
      <c r="X34" s="163">
        <f t="shared" si="677"/>
        <v>4618.0559999999996</v>
      </c>
      <c r="Y34" s="117"/>
      <c r="Z34" s="118"/>
      <c r="AA34" s="119"/>
      <c r="AB34" s="120"/>
      <c r="AC34" s="49">
        <v>291</v>
      </c>
      <c r="AD34" s="50">
        <f t="shared" si="678"/>
        <v>291.98500000000001</v>
      </c>
      <c r="AE34" s="163">
        <f t="shared" si="679"/>
        <v>7007.64</v>
      </c>
      <c r="AF34" s="49">
        <v>157545</v>
      </c>
      <c r="AG34" s="50">
        <f t="shared" si="680"/>
        <v>152757.25</v>
      </c>
      <c r="AH34" s="51">
        <f t="shared" si="681"/>
        <v>3666174</v>
      </c>
      <c r="AI34" s="50">
        <f t="shared" si="682"/>
        <v>28862.243999999999</v>
      </c>
      <c r="AJ34" s="50">
        <f t="shared" si="683"/>
        <v>27985.128199999999</v>
      </c>
      <c r="AK34" s="50">
        <f t="shared" si="684"/>
        <v>671643.07680000004</v>
      </c>
      <c r="AL34" s="17"/>
      <c r="AM34" s="49">
        <v>130.24</v>
      </c>
      <c r="AN34" s="47">
        <f t="shared" si="685"/>
        <v>129.24333333333331</v>
      </c>
      <c r="AO34" s="163">
        <f t="shared" si="686"/>
        <v>3101.8399999999992</v>
      </c>
      <c r="AP34" s="49">
        <v>113296</v>
      </c>
      <c r="AQ34" s="50">
        <f t="shared" si="687"/>
        <v>105656.58333333333</v>
      </c>
      <c r="AR34" s="51">
        <f t="shared" si="688"/>
        <v>2535758</v>
      </c>
      <c r="AS34" s="17"/>
      <c r="AT34" s="47">
        <f>borrador!G32/6.289</f>
        <v>669.02210208300198</v>
      </c>
      <c r="AU34" s="47">
        <f t="shared" si="689"/>
        <v>598.87051465521813</v>
      </c>
      <c r="AV34" s="51">
        <f t="shared" si="690"/>
        <v>14372.892351725235</v>
      </c>
      <c r="AW34" s="2"/>
      <c r="AX34" s="51">
        <f>borrador!H32/6.289</f>
        <v>422.69677214183497</v>
      </c>
      <c r="AY34" s="51">
        <f t="shared" si="691"/>
        <v>425.24109556368268</v>
      </c>
      <c r="AZ34" s="51">
        <f t="shared" si="692"/>
        <v>10205.786293528385</v>
      </c>
      <c r="BA34" s="2"/>
      <c r="BB34" s="47">
        <f>borrador!E32/6.289</f>
        <v>8.5228176180632857</v>
      </c>
      <c r="BC34" s="47">
        <f t="shared" si="693"/>
        <v>9.1396353421317666</v>
      </c>
      <c r="BD34" s="48">
        <f t="shared" si="694"/>
        <v>219.35124821116239</v>
      </c>
      <c r="BE34" s="49">
        <f>borrador!F32*0.283*100</f>
        <v>261.1241</v>
      </c>
      <c r="BF34" s="50">
        <f t="shared" si="695"/>
        <v>262.2561</v>
      </c>
      <c r="BG34" s="237">
        <f t="shared" si="696"/>
        <v>6294.1463999999996</v>
      </c>
      <c r="BI34" s="199" t="s">
        <v>9</v>
      </c>
      <c r="BJ34" s="81"/>
      <c r="BK34" s="21">
        <v>10559.38129531788</v>
      </c>
      <c r="BL34" s="92">
        <f t="shared" si="622"/>
        <v>-10559.38129531788</v>
      </c>
      <c r="BM34" s="254"/>
      <c r="BN34" s="21">
        <v>5444.6415661926649</v>
      </c>
      <c r="BO34" s="82">
        <f t="shared" si="623"/>
        <v>-5444.6415661926649</v>
      </c>
      <c r="BP34" s="197"/>
      <c r="BQ34" s="254"/>
      <c r="BR34" s="21">
        <v>1965.1262146158649</v>
      </c>
      <c r="BS34" s="220">
        <f t="shared" si="624"/>
        <v>-1965.1262146158649</v>
      </c>
      <c r="BT34" s="5"/>
      <c r="BU34" s="15"/>
      <c r="BV34" s="214"/>
      <c r="BW34" s="107">
        <v>1193.6099818595474</v>
      </c>
      <c r="BX34" s="84">
        <f t="shared" si="625"/>
        <v>-1193.6099818595474</v>
      </c>
      <c r="BY34" s="207"/>
      <c r="BZ34" s="83"/>
      <c r="CA34" s="107">
        <v>14314.411886949427</v>
      </c>
      <c r="CB34" s="215">
        <f t="shared" si="626"/>
        <v>-14314.411886949427</v>
      </c>
    </row>
    <row r="35" spans="1:92" ht="15" customHeight="1" thickBot="1" x14ac:dyDescent="0.4">
      <c r="A35" s="46">
        <v>25</v>
      </c>
      <c r="B35" s="49">
        <v>585.20000000000005</v>
      </c>
      <c r="C35" s="47">
        <f t="shared" ref="C35" si="706">IF(ISBLANK(B35),"",D35/$A35)</f>
        <v>595.97879999999986</v>
      </c>
      <c r="D35" s="163">
        <f t="shared" ref="D35" si="707">B35+D34</f>
        <v>14899.469999999998</v>
      </c>
      <c r="E35" s="49">
        <v>401876</v>
      </c>
      <c r="F35" s="50">
        <f t="shared" ref="F35" si="708">IF(ISBLANK(E35),"",G35/$A35)</f>
        <v>399164.8</v>
      </c>
      <c r="G35" s="163">
        <f t="shared" ref="G35" si="709">E35+G34</f>
        <v>9979120</v>
      </c>
      <c r="H35" s="173"/>
      <c r="I35" s="49">
        <v>60510</v>
      </c>
      <c r="J35" s="50">
        <f t="shared" ref="J35" si="710">IF(ISBLANK(I35),"",K35/$A35)</f>
        <v>57408.44</v>
      </c>
      <c r="K35" s="163">
        <f t="shared" ref="K35" si="711">I35+K34</f>
        <v>1435211</v>
      </c>
      <c r="L35" s="50">
        <f t="shared" ref="L35" si="712">IF(ISBLANK(I35),"",I35*0.5)</f>
        <v>30255</v>
      </c>
      <c r="M35" s="50">
        <f t="shared" ref="M35" si="713">IFERROR(J35*0.5,"")</f>
        <v>28704.22</v>
      </c>
      <c r="N35" s="50">
        <f t="shared" ref="N35" si="714">K35*0.5</f>
        <v>717605.5</v>
      </c>
      <c r="O35" s="49">
        <v>8320</v>
      </c>
      <c r="P35" s="50">
        <f t="shared" ref="P35" si="715">IF(ISBLANK(O35),"",Q35/$A35)</f>
        <v>7102.92</v>
      </c>
      <c r="Q35" s="163">
        <f t="shared" ref="Q35" si="716">O35+Q34</f>
        <v>177573</v>
      </c>
      <c r="R35" s="50">
        <f t="shared" ref="R35" si="717">IF(ISBLANK(O35),"",O35*0.5)</f>
        <v>4160</v>
      </c>
      <c r="S35" s="50">
        <f t="shared" ref="S35" si="718">IFERROR(P35*0.5,"")</f>
        <v>3551.46</v>
      </c>
      <c r="T35" s="50">
        <f t="shared" ref="T35" si="719">Q35*0.5</f>
        <v>88786.5</v>
      </c>
      <c r="U35" s="173"/>
      <c r="V35" s="49">
        <v>193.9</v>
      </c>
      <c r="W35" s="47">
        <f t="shared" ref="W35" si="720">IF(ISBLANK(V35),"",X35/$A35)</f>
        <v>192.47823999999997</v>
      </c>
      <c r="X35" s="163">
        <f t="shared" ref="X35" si="721">V35+X34</f>
        <v>4811.9559999999992</v>
      </c>
      <c r="Y35" s="117"/>
      <c r="Z35" s="118"/>
      <c r="AA35" s="119"/>
      <c r="AB35" s="120"/>
      <c r="AC35" s="49">
        <v>285.88</v>
      </c>
      <c r="AD35" s="50">
        <f t="shared" ref="AD35" si="722">IF(ISBLANK(AC35),"",AE35/$A35)</f>
        <v>291.74080000000004</v>
      </c>
      <c r="AE35" s="163">
        <f t="shared" ref="AE35" si="723">AC35+AE34</f>
        <v>7293.52</v>
      </c>
      <c r="AF35" s="49">
        <v>153153</v>
      </c>
      <c r="AG35" s="50">
        <f t="shared" ref="AG35" si="724">IF(ISBLANK(AF35),"",AH35/$A35)</f>
        <v>152773.07999999999</v>
      </c>
      <c r="AH35" s="51">
        <f t="shared" ref="AH35" si="725">AF35+AH34</f>
        <v>3819327</v>
      </c>
      <c r="AI35" s="50">
        <f t="shared" ref="AI35" si="726">IF(AF35*0.1832=0,"",AF35*0.1832)</f>
        <v>28057.6296</v>
      </c>
      <c r="AJ35" s="50">
        <f t="shared" ref="AJ35" si="727">IFERROR(AG35*0.1832,"")</f>
        <v>27988.028255999998</v>
      </c>
      <c r="AK35" s="50">
        <f t="shared" ref="AK35" si="728">AH35*0.1832</f>
        <v>699700.70640000002</v>
      </c>
      <c r="AL35" s="17"/>
      <c r="AM35" s="49">
        <v>124.23</v>
      </c>
      <c r="AN35" s="47">
        <f t="shared" ref="AN35" si="729">IF(ISBLANK(AM35),"",AO35/$A35)</f>
        <v>129.04279999999997</v>
      </c>
      <c r="AO35" s="163">
        <f t="shared" ref="AO35" si="730">AM35+AO34</f>
        <v>3226.0699999999993</v>
      </c>
      <c r="AP35" s="49">
        <v>116255</v>
      </c>
      <c r="AQ35" s="50">
        <f t="shared" ref="AQ35" si="731">IF(ISBLANK(AP35),"",AR35/$A35)</f>
        <v>106080.52</v>
      </c>
      <c r="AR35" s="51">
        <f t="shared" ref="AR35" si="732">AP35+AR34</f>
        <v>2652013</v>
      </c>
      <c r="AS35" s="17"/>
      <c r="AT35" s="47">
        <f>borrador!G33/6.289</f>
        <v>670.03657179201775</v>
      </c>
      <c r="AU35" s="47">
        <f t="shared" ref="AU35" si="733">IF(ISBLANK(AT35),"",AV35/$A35)</f>
        <v>601.71715694069007</v>
      </c>
      <c r="AV35" s="51">
        <f t="shared" ref="AV35" si="734">AT35+AV34</f>
        <v>15042.928923517253</v>
      </c>
      <c r="AW35" s="2"/>
      <c r="AX35" s="51">
        <f>borrador!H33/6.289</f>
        <v>422.36444585784704</v>
      </c>
      <c r="AY35" s="51">
        <f t="shared" ref="AY35" si="735">IF(ISBLANK(AX35),"",AZ35/$A35)</f>
        <v>425.12602957544931</v>
      </c>
      <c r="AZ35" s="51">
        <f t="shared" ref="AZ35" si="736">AX35+AZ34</f>
        <v>10628.150739386232</v>
      </c>
      <c r="BA35" s="2"/>
      <c r="BB35" s="47">
        <f>borrador!E33/6.289</f>
        <v>10.149467323898872</v>
      </c>
      <c r="BC35" s="47">
        <f t="shared" ref="BC35" si="737">IF(ISBLANK(BB35),"",BD35/$A35)</f>
        <v>9.1800286214024496</v>
      </c>
      <c r="BD35" s="48">
        <f t="shared" ref="BD35" si="738">BB35+BD34</f>
        <v>229.50071553506126</v>
      </c>
      <c r="BE35" s="49">
        <f>borrador!F33*0.283*100</f>
        <v>260.75619999999998</v>
      </c>
      <c r="BF35" s="50">
        <f t="shared" ref="BF35" si="739">IF(ISBLANK(BE35),"",BG35/A35)</f>
        <v>262.19610399999999</v>
      </c>
      <c r="BG35" s="237">
        <f t="shared" ref="BG35" si="740">BE35+BG34</f>
        <v>6554.9025999999994</v>
      </c>
      <c r="BI35" s="199" t="s">
        <v>22</v>
      </c>
      <c r="BJ35" s="81"/>
      <c r="BK35" s="21">
        <v>10554.353866119576</v>
      </c>
      <c r="BL35" s="92">
        <f t="shared" si="622"/>
        <v>-10554.353866119576</v>
      </c>
      <c r="BM35" s="270"/>
      <c r="BN35" s="21">
        <v>5572.7632000577723</v>
      </c>
      <c r="BO35" s="82">
        <f t="shared" si="623"/>
        <v>-5572.7632000577723</v>
      </c>
      <c r="BP35" s="197"/>
      <c r="BQ35" s="254"/>
      <c r="BR35" s="21">
        <v>1835.1057112562673</v>
      </c>
      <c r="BS35" s="220">
        <f t="shared" si="624"/>
        <v>-1835.1057112562673</v>
      </c>
      <c r="BT35" s="5"/>
      <c r="BU35" s="15"/>
      <c r="BV35" s="214"/>
      <c r="BW35" s="107">
        <v>1299.9120800151356</v>
      </c>
      <c r="BX35" s="84">
        <f t="shared" si="625"/>
        <v>-1299.9120800151356</v>
      </c>
      <c r="BY35" s="207"/>
      <c r="BZ35" s="83"/>
      <c r="CA35" s="107">
        <v>16098.577615919468</v>
      </c>
      <c r="CB35" s="215">
        <f t="shared" si="626"/>
        <v>-16098.577615919468</v>
      </c>
    </row>
    <row r="36" spans="1:92" ht="15" customHeight="1" thickBot="1" x14ac:dyDescent="0.4">
      <c r="A36" s="46">
        <v>26</v>
      </c>
      <c r="B36" s="49">
        <v>622.5</v>
      </c>
      <c r="C36" s="47">
        <f t="shared" ref="C36" si="741">IF(ISBLANK(B36),"",D36/$A36)</f>
        <v>596.9988461538461</v>
      </c>
      <c r="D36" s="163">
        <f t="shared" ref="D36" si="742">B36+D35</f>
        <v>15521.969999999998</v>
      </c>
      <c r="E36" s="49">
        <v>403719</v>
      </c>
      <c r="F36" s="50">
        <f t="shared" ref="F36" si="743">IF(ISBLANK(E36),"",G36/$A36)</f>
        <v>399339.96153846156</v>
      </c>
      <c r="G36" s="163">
        <f t="shared" ref="G36" si="744">E36+G35</f>
        <v>10382839</v>
      </c>
      <c r="H36" s="173"/>
      <c r="I36" s="49">
        <v>59688</v>
      </c>
      <c r="J36" s="50">
        <f t="shared" ref="J36" si="745">IF(ISBLANK(I36),"",K36/$A36)</f>
        <v>57496.115384615383</v>
      </c>
      <c r="K36" s="163">
        <f t="shared" ref="K36" si="746">I36+K35</f>
        <v>1494899</v>
      </c>
      <c r="L36" s="50">
        <f t="shared" ref="L36" si="747">IF(ISBLANK(I36),"",I36*0.5)</f>
        <v>29844</v>
      </c>
      <c r="M36" s="50">
        <f t="shared" ref="M36" si="748">IFERROR(J36*0.5,"")</f>
        <v>28748.057692307691</v>
      </c>
      <c r="N36" s="50">
        <f t="shared" ref="N36" si="749">K36*0.5</f>
        <v>747449.5</v>
      </c>
      <c r="O36" s="49">
        <v>8574</v>
      </c>
      <c r="P36" s="50">
        <f t="shared" ref="P36" si="750">IF(ISBLANK(O36),"",Q36/$A36)</f>
        <v>7159.5</v>
      </c>
      <c r="Q36" s="163">
        <f t="shared" ref="Q36" si="751">O36+Q35</f>
        <v>186147</v>
      </c>
      <c r="R36" s="50">
        <f t="shared" ref="R36" si="752">IF(ISBLANK(O36),"",O36*0.5)</f>
        <v>4287</v>
      </c>
      <c r="S36" s="50">
        <f t="shared" ref="S36" si="753">IFERROR(P36*0.5,"")</f>
        <v>3579.75</v>
      </c>
      <c r="T36" s="50">
        <f t="shared" ref="T36" si="754">Q36*0.5</f>
        <v>93073.5</v>
      </c>
      <c r="U36" s="173"/>
      <c r="V36" s="49">
        <v>194.5</v>
      </c>
      <c r="W36" s="47">
        <f t="shared" ref="W36" si="755">IF(ISBLANK(V36),"",X36/$A36)</f>
        <v>192.55599999999998</v>
      </c>
      <c r="X36" s="163">
        <f t="shared" ref="X36" si="756">V36+X35</f>
        <v>5006.4559999999992</v>
      </c>
      <c r="Y36" s="117"/>
      <c r="Z36" s="118"/>
      <c r="AA36" s="119"/>
      <c r="AB36" s="120"/>
      <c r="AC36" s="49">
        <v>288.27</v>
      </c>
      <c r="AD36" s="50">
        <f t="shared" ref="AD36" si="757">IF(ISBLANK(AC36),"",AE36/$A36)</f>
        <v>291.6073076923077</v>
      </c>
      <c r="AE36" s="163">
        <f t="shared" ref="AE36" si="758">AC36+AE35</f>
        <v>7581.7900000000009</v>
      </c>
      <c r="AF36" s="49">
        <v>154765</v>
      </c>
      <c r="AG36" s="50">
        <f t="shared" ref="AG36" si="759">IF(ISBLANK(AF36),"",AH36/$A36)</f>
        <v>152849.69230769231</v>
      </c>
      <c r="AH36" s="51">
        <f t="shared" ref="AH36" si="760">AF36+AH35</f>
        <v>3974092</v>
      </c>
      <c r="AI36" s="50">
        <f t="shared" ref="AI36" si="761">IF(AF36*0.1832=0,"",AF36*0.1832)</f>
        <v>28352.948</v>
      </c>
      <c r="AJ36" s="50">
        <f t="shared" ref="AJ36" si="762">IFERROR(AG36*0.1832,"")</f>
        <v>28002.063630769233</v>
      </c>
      <c r="AK36" s="50">
        <f t="shared" ref="AK36" si="763">AH36*0.1832</f>
        <v>728053.6544</v>
      </c>
      <c r="AL36" s="17"/>
      <c r="AM36" s="49">
        <v>136.88999999999999</v>
      </c>
      <c r="AN36" s="47">
        <f t="shared" ref="AN36" si="764">IF(ISBLANK(AM36),"",AO36/$A36)</f>
        <v>129.34461538461534</v>
      </c>
      <c r="AO36" s="163">
        <f t="shared" ref="AO36" si="765">AM36+AO35</f>
        <v>3362.9599999999991</v>
      </c>
      <c r="AP36" s="49">
        <v>114633</v>
      </c>
      <c r="AQ36" s="50">
        <f t="shared" ref="AQ36" si="766">IF(ISBLANK(AP36),"",AR36/$A36)</f>
        <v>106409.46153846153</v>
      </c>
      <c r="AR36" s="51">
        <f t="shared" ref="AR36" si="767">AP36+AR35</f>
        <v>2766646</v>
      </c>
      <c r="AS36" s="17"/>
      <c r="AT36" s="47">
        <f>borrador!G34/6.289</f>
        <v>670.28462394657345</v>
      </c>
      <c r="AU36" s="47">
        <f t="shared" ref="AU36" si="768">IF(ISBLANK(AT36),"",AV36/$A36)</f>
        <v>604.35436721014719</v>
      </c>
      <c r="AV36" s="51">
        <f t="shared" ref="AV36" si="769">AT36+AV35</f>
        <v>15713.213547463827</v>
      </c>
      <c r="AW36" s="2"/>
      <c r="AX36" s="51">
        <f>borrador!H34/6.289</f>
        <v>422.69200190809352</v>
      </c>
      <c r="AY36" s="51">
        <f t="shared" ref="AY36" si="770">IF(ISBLANK(AX36),"",AZ36/$A36)</f>
        <v>425.03241312670485</v>
      </c>
      <c r="AZ36" s="51">
        <f t="shared" ref="AZ36" si="771">AX36+AZ35</f>
        <v>11050.842741294326</v>
      </c>
      <c r="BA36" s="2"/>
      <c r="BB36" s="47">
        <f>borrador!E34/6.289</f>
        <v>9.4641437430434099</v>
      </c>
      <c r="BC36" s="47">
        <f t="shared" ref="BC36" si="772">IF(ISBLANK(BB36),"",BD36/$A36)</f>
        <v>9.19095612608095</v>
      </c>
      <c r="BD36" s="48">
        <f t="shared" ref="BD36" si="773">BB36+BD35</f>
        <v>238.96485927810468</v>
      </c>
      <c r="BE36" s="49">
        <f>borrador!F34*0.283*100</f>
        <v>260.86939999999998</v>
      </c>
      <c r="BF36" s="50">
        <f t="shared" ref="BF36" si="774">IF(ISBLANK(BE36),"",BG36/A36)</f>
        <v>262.14507692307689</v>
      </c>
      <c r="BG36" s="237">
        <f t="shared" ref="BG36" si="775">BE36+BG35</f>
        <v>6815.771999999999</v>
      </c>
      <c r="BI36" s="199" t="s">
        <v>23</v>
      </c>
      <c r="BJ36" s="81"/>
      <c r="BK36" s="21">
        <v>11059.387897326431</v>
      </c>
      <c r="BL36" s="92">
        <f t="shared" si="622"/>
        <v>-11059.387897326431</v>
      </c>
      <c r="BM36" s="254"/>
      <c r="BN36" s="21">
        <v>5973.8421106670085</v>
      </c>
      <c r="BO36" s="82">
        <f t="shared" si="623"/>
        <v>-5973.8421106670085</v>
      </c>
      <c r="BP36" s="197"/>
      <c r="BQ36" s="254"/>
      <c r="BR36" s="21">
        <v>1830.3720490908759</v>
      </c>
      <c r="BS36" s="220">
        <f t="shared" si="624"/>
        <v>-1830.3720490908759</v>
      </c>
      <c r="BT36" s="5"/>
      <c r="BU36" s="15"/>
      <c r="BV36" s="214"/>
      <c r="BW36" s="107">
        <v>1313.7694143384299</v>
      </c>
      <c r="BX36" s="84">
        <f t="shared" si="625"/>
        <v>-1313.7694143384299</v>
      </c>
      <c r="BY36" s="207"/>
      <c r="BZ36" s="83"/>
      <c r="CA36" s="107">
        <v>16382.86827351331</v>
      </c>
      <c r="CB36" s="215">
        <f t="shared" si="626"/>
        <v>-16382.86827351331</v>
      </c>
    </row>
    <row r="37" spans="1:92" ht="13.5" customHeight="1" thickBot="1" x14ac:dyDescent="0.4">
      <c r="A37" s="46">
        <v>27</v>
      </c>
      <c r="B37" s="49">
        <v>610.24</v>
      </c>
      <c r="C37" s="47">
        <f t="shared" ref="C37" si="776">IF(ISBLANK(B37),"",D37/$A37)</f>
        <v>597.48925925925914</v>
      </c>
      <c r="D37" s="163">
        <f t="shared" ref="D37" si="777">B37+D36</f>
        <v>16132.209999999997</v>
      </c>
      <c r="E37" s="49">
        <v>399735</v>
      </c>
      <c r="F37" s="50">
        <f t="shared" ref="F37" si="778">IF(ISBLANK(E37),"",G37/$A37)</f>
        <v>399354.59259259258</v>
      </c>
      <c r="G37" s="163">
        <f t="shared" ref="G37" si="779">E37+G36</f>
        <v>10782574</v>
      </c>
      <c r="H37" s="173"/>
      <c r="I37" s="49">
        <v>61134</v>
      </c>
      <c r="J37" s="50">
        <f t="shared" ref="J37" si="780">IF(ISBLANK(I37),"",K37/$A37)</f>
        <v>57630.851851851854</v>
      </c>
      <c r="K37" s="163">
        <f t="shared" ref="K37" si="781">I37+K36</f>
        <v>1556033</v>
      </c>
      <c r="L37" s="50">
        <f t="shared" ref="L37" si="782">IF(ISBLANK(I37),"",I37*0.5)</f>
        <v>30567</v>
      </c>
      <c r="M37" s="50">
        <f t="shared" ref="M37" si="783">IFERROR(J37*0.5,"")</f>
        <v>28815.425925925927</v>
      </c>
      <c r="N37" s="50">
        <f t="shared" ref="N37" si="784">K37*0.5</f>
        <v>778016.5</v>
      </c>
      <c r="O37" s="49">
        <v>8566</v>
      </c>
      <c r="P37" s="50">
        <f t="shared" ref="P37" si="785">IF(ISBLANK(O37),"",Q37/$A37)</f>
        <v>7211.5925925925922</v>
      </c>
      <c r="Q37" s="163">
        <f t="shared" ref="Q37" si="786">O37+Q36</f>
        <v>194713</v>
      </c>
      <c r="R37" s="50">
        <f t="shared" ref="R37" si="787">IF(ISBLANK(O37),"",O37*0.5)</f>
        <v>4283</v>
      </c>
      <c r="S37" s="50">
        <f t="shared" ref="S37" si="788">IFERROR(P37*0.5,"")</f>
        <v>3605.7962962962961</v>
      </c>
      <c r="T37" s="50">
        <f t="shared" ref="T37" si="789">Q37*0.5</f>
        <v>97356.5</v>
      </c>
      <c r="U37" s="173"/>
      <c r="V37" s="49">
        <v>191.6</v>
      </c>
      <c r="W37" s="47">
        <f t="shared" ref="W37" si="790">IF(ISBLANK(V37),"",X37/$A37)</f>
        <v>192.52059259259258</v>
      </c>
      <c r="X37" s="163">
        <f t="shared" ref="X37" si="791">V37+X36</f>
        <v>5198.0559999999996</v>
      </c>
      <c r="Y37" s="117"/>
      <c r="Z37" s="118"/>
      <c r="AA37" s="119"/>
      <c r="AB37" s="120"/>
      <c r="AC37" s="49">
        <v>308.12</v>
      </c>
      <c r="AD37" s="50">
        <f t="shared" ref="AD37" si="792">IF(ISBLANK(AC37),"",AE37/$A37)</f>
        <v>292.2188888888889</v>
      </c>
      <c r="AE37" s="163">
        <f t="shared" ref="AE37" si="793">AC37+AE36</f>
        <v>7889.9100000000008</v>
      </c>
      <c r="AF37" s="49">
        <v>156550</v>
      </c>
      <c r="AG37" s="50">
        <f t="shared" ref="AG37" si="794">IF(ISBLANK(AF37),"",AH37/$A37)</f>
        <v>152986.74074074073</v>
      </c>
      <c r="AH37" s="51">
        <f t="shared" ref="AH37" si="795">AF37+AH36</f>
        <v>4130642</v>
      </c>
      <c r="AI37" s="50">
        <f t="shared" ref="AI37" si="796">IF(AF37*0.1832=0,"",AF37*0.1832)</f>
        <v>28679.96</v>
      </c>
      <c r="AJ37" s="50">
        <f t="shared" ref="AJ37" si="797">IFERROR(AG37*0.1832,"")</f>
        <v>28027.170903703704</v>
      </c>
      <c r="AK37" s="50">
        <f t="shared" ref="AK37" si="798">AH37*0.1832</f>
        <v>756733.61439999996</v>
      </c>
      <c r="AL37" s="17"/>
      <c r="AM37" s="49">
        <v>131.69999999999999</v>
      </c>
      <c r="AN37" s="47">
        <f t="shared" ref="AN37" si="799">IF(ISBLANK(AM37),"",AO37/$A37)</f>
        <v>129.4318518518518</v>
      </c>
      <c r="AO37" s="163">
        <f t="shared" ref="AO37" si="800">AM37+AO36</f>
        <v>3494.6599999999989</v>
      </c>
      <c r="AP37" s="49">
        <v>113218</v>
      </c>
      <c r="AQ37" s="50">
        <f t="shared" ref="AQ37" si="801">IF(ISBLANK(AP37),"",AR37/$A37)</f>
        <v>106661.62962962964</v>
      </c>
      <c r="AR37" s="51">
        <f t="shared" ref="AR37" si="802">AP37+AR36</f>
        <v>2879864</v>
      </c>
      <c r="AS37" s="17"/>
      <c r="AT37" s="47">
        <f>borrador!G35/6.289</f>
        <v>677.41930354587373</v>
      </c>
      <c r="AU37" s="47">
        <f t="shared" ref="AU37" si="803">IF(ISBLANK(AT37),"",AV37/$A37)</f>
        <v>607.06047596332223</v>
      </c>
      <c r="AV37" s="51">
        <f t="shared" ref="AV37" si="804">AT37+AV36</f>
        <v>16390.632851009701</v>
      </c>
      <c r="AW37" s="2"/>
      <c r="AX37" s="51">
        <f>borrador!H35/6.289</f>
        <v>422.67610112895534</v>
      </c>
      <c r="AY37" s="51">
        <f t="shared" ref="AY37" si="805">IF(ISBLANK(AX37),"",AZ37/$A37)</f>
        <v>424.94514231197331</v>
      </c>
      <c r="AZ37" s="51">
        <f t="shared" ref="AZ37" si="806">AX37+AZ36</f>
        <v>11473.51884242328</v>
      </c>
      <c r="BA37" s="2"/>
      <c r="BB37" s="47">
        <f>borrador!E35/6.289</f>
        <v>8.6341230720305298</v>
      </c>
      <c r="BC37" s="47">
        <f t="shared" ref="BC37" si="807">IF(ISBLANK(BB37),"",BD37/$A37)</f>
        <v>9.1703326796346367</v>
      </c>
      <c r="BD37" s="48">
        <f t="shared" ref="BD37" si="808">BB37+BD36</f>
        <v>247.5989823501352</v>
      </c>
      <c r="BE37" s="49">
        <f>borrador!F35*0.283*100</f>
        <v>260.72789999999998</v>
      </c>
      <c r="BF37" s="50">
        <f t="shared" ref="BF37" si="809">IF(ISBLANK(BE37),"",BG37/A37)</f>
        <v>262.09258888888883</v>
      </c>
      <c r="BG37" s="237">
        <f t="shared" ref="BG37" si="810">BE37+BG36</f>
        <v>7076.4998999999989</v>
      </c>
      <c r="BI37" s="199" t="s">
        <v>17</v>
      </c>
      <c r="BJ37" s="81"/>
      <c r="BK37" s="21">
        <v>11101.075707872222</v>
      </c>
      <c r="BL37" s="92">
        <f t="shared" si="622"/>
        <v>-11101.075707872222</v>
      </c>
      <c r="BM37" s="254"/>
      <c r="BN37" s="21">
        <v>6052.2746939036369</v>
      </c>
      <c r="BO37" s="82">
        <f t="shared" si="623"/>
        <v>-6052.2746939036369</v>
      </c>
      <c r="BP37" s="197"/>
      <c r="BQ37" s="254"/>
      <c r="BR37" s="21">
        <v>1767.2672236712367</v>
      </c>
      <c r="BS37" s="220">
        <f t="shared" si="624"/>
        <v>-1767.2672236712367</v>
      </c>
      <c r="BT37" s="5"/>
      <c r="BU37" s="15"/>
      <c r="BV37" s="214"/>
      <c r="BW37" s="107">
        <v>1284.1484877921591</v>
      </c>
      <c r="BX37" s="84">
        <f t="shared" si="625"/>
        <v>-1284.1484877921591</v>
      </c>
      <c r="BY37" s="207"/>
      <c r="BZ37" s="83"/>
      <c r="CA37" s="107">
        <v>16128.697029100895</v>
      </c>
      <c r="CB37" s="215">
        <f t="shared" si="626"/>
        <v>-16128.697029100895</v>
      </c>
    </row>
    <row r="38" spans="1:92" ht="15" customHeight="1" x14ac:dyDescent="0.35">
      <c r="A38" s="46">
        <v>28</v>
      </c>
      <c r="B38" s="49">
        <v>604.70000000000005</v>
      </c>
      <c r="C38" s="47">
        <f t="shared" ref="C38" si="811">IF(ISBLANK(B38),"",D38/$A38)</f>
        <v>597.74678571428558</v>
      </c>
      <c r="D38" s="163">
        <f t="shared" ref="D38" si="812">B38+D37</f>
        <v>16736.909999999996</v>
      </c>
      <c r="E38" s="49">
        <v>392056</v>
      </c>
      <c r="F38" s="50">
        <f t="shared" ref="F38" si="813">IF(ISBLANK(E38),"",G38/$A38)</f>
        <v>399093.92857142858</v>
      </c>
      <c r="G38" s="163">
        <f t="shared" ref="G38" si="814">E38+G37</f>
        <v>11174630</v>
      </c>
      <c r="H38" s="173"/>
      <c r="I38" s="49">
        <v>61388</v>
      </c>
      <c r="J38" s="50">
        <f t="shared" ref="J38" si="815">IF(ISBLANK(I38),"",K38/$A38)</f>
        <v>57765.035714285717</v>
      </c>
      <c r="K38" s="163">
        <f t="shared" ref="K38" si="816">I38+K37</f>
        <v>1617421</v>
      </c>
      <c r="L38" s="50">
        <f t="shared" ref="L38" si="817">IF(ISBLANK(I38),"",I38*0.5)</f>
        <v>30694</v>
      </c>
      <c r="M38" s="50">
        <f t="shared" ref="M38" si="818">IFERROR(J38*0.5,"")</f>
        <v>28882.517857142859</v>
      </c>
      <c r="N38" s="50">
        <f t="shared" ref="N38" si="819">K38*0.5</f>
        <v>808710.5</v>
      </c>
      <c r="O38" s="49">
        <v>8500</v>
      </c>
      <c r="P38" s="50">
        <f t="shared" ref="P38" si="820">IF(ISBLANK(O38),"",Q38/$A38)</f>
        <v>7257.6071428571431</v>
      </c>
      <c r="Q38" s="163">
        <f t="shared" ref="Q38" si="821">O38+Q37</f>
        <v>203213</v>
      </c>
      <c r="R38" s="50">
        <f t="shared" ref="R38" si="822">IF(ISBLANK(O38),"",O38*0.5)</f>
        <v>4250</v>
      </c>
      <c r="S38" s="50">
        <f t="shared" ref="S38" si="823">IFERROR(P38*0.5,"")</f>
        <v>3628.8035714285716</v>
      </c>
      <c r="T38" s="50">
        <f t="shared" ref="T38" si="824">Q38*0.5</f>
        <v>101606.5</v>
      </c>
      <c r="U38" s="173"/>
      <c r="V38" s="49">
        <v>193.6</v>
      </c>
      <c r="W38" s="47">
        <f t="shared" ref="W38" si="825">IF(ISBLANK(V38),"",X38/$A38)</f>
        <v>192.55914285714286</v>
      </c>
      <c r="X38" s="163">
        <f t="shared" ref="X38" si="826">V38+X37</f>
        <v>5391.6559999999999</v>
      </c>
      <c r="Y38" s="2"/>
      <c r="Z38" s="53"/>
      <c r="AA38" s="54"/>
      <c r="AB38" s="52"/>
      <c r="AC38" s="49">
        <v>304.18466000000001</v>
      </c>
      <c r="AD38" s="50">
        <f t="shared" ref="AD38" si="827">IF(ISBLANK(AC38),"",AE38/$A38)</f>
        <v>292.64623785714286</v>
      </c>
      <c r="AE38" s="163">
        <f t="shared" ref="AE38" si="828">AC38+AE37</f>
        <v>8194.0946600000007</v>
      </c>
      <c r="AF38" s="49">
        <v>148212</v>
      </c>
      <c r="AG38" s="50">
        <f t="shared" ref="AG38" si="829">IF(ISBLANK(AF38),"",AH38/$A38)</f>
        <v>152816.21428571429</v>
      </c>
      <c r="AH38" s="51">
        <f t="shared" ref="AH38" si="830">AF38+AH37</f>
        <v>4278854</v>
      </c>
      <c r="AI38" s="50">
        <f t="shared" ref="AI38" si="831">IF(AF38*0.1832=0,"",AF38*0.1832)</f>
        <v>27152.438399999999</v>
      </c>
      <c r="AJ38" s="50">
        <f t="shared" ref="AJ38" si="832">IFERROR(AG38*0.1832,"")</f>
        <v>27995.930457142858</v>
      </c>
      <c r="AK38" s="50">
        <f t="shared" ref="AK38" si="833">AH38*0.1832</f>
        <v>783886.05280000006</v>
      </c>
      <c r="AL38" s="17"/>
      <c r="AM38" s="49">
        <v>124.87</v>
      </c>
      <c r="AN38" s="47">
        <f t="shared" ref="AN38" si="834">IF(ISBLANK(AM38),"",AO38/$A38)</f>
        <v>129.26892857142852</v>
      </c>
      <c r="AO38" s="163">
        <f t="shared" ref="AO38" si="835">AM38+AO37</f>
        <v>3619.5299999999988</v>
      </c>
      <c r="AP38" s="49">
        <v>112026</v>
      </c>
      <c r="AQ38" s="50">
        <f t="shared" ref="AQ38" si="836">IF(ISBLANK(AP38),"",AR38/$A38)</f>
        <v>106853.21428571429</v>
      </c>
      <c r="AR38" s="51">
        <f t="shared" ref="AR38" si="837">AP38+AR37</f>
        <v>2991890</v>
      </c>
      <c r="AS38" s="17"/>
      <c r="AT38" s="47">
        <f>borrador!G36/6.289</f>
        <v>670.08268405151853</v>
      </c>
      <c r="AU38" s="47">
        <f t="shared" ref="AU38" si="838">IF(ISBLANK(AT38),"",AV38/$A38)</f>
        <v>609.31126910932926</v>
      </c>
      <c r="AV38" s="51">
        <f t="shared" ref="AV38" si="839">AT38+AV37</f>
        <v>17060.715535061219</v>
      </c>
      <c r="AW38" s="2"/>
      <c r="AX38" s="51">
        <f>borrador!H36/6.289</f>
        <v>422.82079821911276</v>
      </c>
      <c r="AY38" s="51">
        <f t="shared" ref="AY38" si="840">IF(ISBLANK(AX38),"",AZ38/$A38)</f>
        <v>424.86927288008548</v>
      </c>
      <c r="AZ38" s="51">
        <f t="shared" ref="AZ38" si="841">AX38+AZ37</f>
        <v>11896.339640642393</v>
      </c>
      <c r="BA38" s="2"/>
      <c r="BB38" s="47">
        <f>borrador!E36/6.289</f>
        <v>7.8390841151216408</v>
      </c>
      <c r="BC38" s="47">
        <f t="shared" ref="BC38" si="842">IF(ISBLANK(BB38),"",BD38/$A38)</f>
        <v>9.1227880880448868</v>
      </c>
      <c r="BD38" s="48">
        <f t="shared" ref="BD38" si="843">BB38+BD37</f>
        <v>255.43806646525684</v>
      </c>
      <c r="BE38" s="49">
        <f>borrador!F36*0.283*100</f>
        <v>257.75639999999999</v>
      </c>
      <c r="BF38" s="50">
        <f t="shared" ref="BF38" si="844">IF(ISBLANK(BE38),"",BG38/A38)</f>
        <v>261.93772499999994</v>
      </c>
      <c r="BG38" s="237">
        <f t="shared" ref="BG38" si="845">BE38+BG37</f>
        <v>7334.2562999999991</v>
      </c>
      <c r="BI38" s="199" t="s">
        <v>10</v>
      </c>
      <c r="BJ38" s="81"/>
      <c r="BK38" s="21">
        <v>10779.263002463777</v>
      </c>
      <c r="BL38" s="92">
        <f t="shared" si="622"/>
        <v>-10779.263002463777</v>
      </c>
      <c r="BM38" s="254"/>
      <c r="BN38" s="21">
        <v>5872.3145003282016</v>
      </c>
      <c r="BO38" s="82">
        <f t="shared" si="623"/>
        <v>-5872.3145003282016</v>
      </c>
      <c r="BP38" s="197"/>
      <c r="BQ38" s="254"/>
      <c r="BR38" s="21">
        <v>1651.7637108019353</v>
      </c>
      <c r="BS38" s="220">
        <f t="shared" si="624"/>
        <v>-1651.7637108019353</v>
      </c>
      <c r="BT38" s="5"/>
      <c r="BU38" s="15"/>
      <c r="BV38" s="214"/>
      <c r="BW38" s="107">
        <v>1208.7646526683636</v>
      </c>
      <c r="BX38" s="84">
        <f t="shared" si="625"/>
        <v>-1208.7646526683636</v>
      </c>
      <c r="BY38" s="207"/>
      <c r="BZ38" s="83"/>
      <c r="CA38" s="107">
        <v>15277.645896647065</v>
      </c>
      <c r="CB38" s="215">
        <f t="shared" si="626"/>
        <v>-15277.645896647065</v>
      </c>
    </row>
    <row r="39" spans="1:92" ht="15" customHeight="1" x14ac:dyDescent="0.35">
      <c r="A39" s="46">
        <v>29</v>
      </c>
      <c r="B39" s="49">
        <v>633.5</v>
      </c>
      <c r="C39" s="47">
        <f t="shared" ref="C39:C40" si="846">IF(ISBLANK(B39),"",D39/$A39)</f>
        <v>598.97965517241369</v>
      </c>
      <c r="D39" s="163">
        <f t="shared" ref="D39:D40" si="847">B39+D38</f>
        <v>17370.409999999996</v>
      </c>
      <c r="E39" s="49">
        <v>383812</v>
      </c>
      <c r="F39" s="50">
        <f t="shared" ref="F39:F40" si="848">IF(ISBLANK(E39),"",G39/$A39)</f>
        <v>398566.96551724139</v>
      </c>
      <c r="G39" s="163">
        <f t="shared" ref="G39:G40" si="849">E39+G38</f>
        <v>11558442</v>
      </c>
      <c r="H39" s="173"/>
      <c r="I39" s="49">
        <v>59647</v>
      </c>
      <c r="J39" s="50">
        <f t="shared" ref="J39:J40" si="850">IF(ISBLANK(I39),"",K39/$A39)</f>
        <v>57829.931034482761</v>
      </c>
      <c r="K39" s="163">
        <f t="shared" ref="K39:K40" si="851">I39+K38</f>
        <v>1677068</v>
      </c>
      <c r="L39" s="50">
        <f t="shared" ref="L39:L40" si="852">IF(ISBLANK(I39),"",I39*0.5)</f>
        <v>29823.5</v>
      </c>
      <c r="M39" s="50">
        <f t="shared" ref="M39:M40" si="853">IFERROR(J39*0.5,"")</f>
        <v>28914.96551724138</v>
      </c>
      <c r="N39" s="50">
        <f t="shared" ref="N39:N40" si="854">K39*0.5</f>
        <v>838534</v>
      </c>
      <c r="O39" s="49">
        <v>8850</v>
      </c>
      <c r="P39" s="50">
        <f t="shared" ref="P39:P40" si="855">IF(ISBLANK(O39),"",Q39/$A39)</f>
        <v>7312.5172413793107</v>
      </c>
      <c r="Q39" s="163">
        <f t="shared" ref="Q39:Q40" si="856">O39+Q38</f>
        <v>212063</v>
      </c>
      <c r="R39" s="50">
        <f t="shared" ref="R39:R40" si="857">IF(ISBLANK(O39),"",O39*0.5)</f>
        <v>4425</v>
      </c>
      <c r="S39" s="50">
        <f t="shared" ref="S39:S40" si="858">IFERROR(P39*0.5,"")</f>
        <v>3656.2586206896553</v>
      </c>
      <c r="T39" s="50">
        <f t="shared" ref="T39:T40" si="859">Q39*0.5</f>
        <v>106031.5</v>
      </c>
      <c r="U39" s="173"/>
      <c r="V39" s="49">
        <v>193.5</v>
      </c>
      <c r="W39" s="47">
        <f t="shared" ref="W39:W40" si="860">IF(ISBLANK(V39),"",X39/$A39)</f>
        <v>192.59158620689655</v>
      </c>
      <c r="X39" s="163">
        <f t="shared" ref="X39:X40" si="861">V39+X38</f>
        <v>5585.1559999999999</v>
      </c>
      <c r="Y39" s="2"/>
      <c r="Z39" s="53"/>
      <c r="AA39" s="54"/>
      <c r="AB39" s="52"/>
      <c r="AC39" s="49">
        <v>304.23</v>
      </c>
      <c r="AD39" s="50">
        <f t="shared" ref="AD39:AD40" si="862">IF(ISBLANK(AC39),"",AE39/$A39)</f>
        <v>293.0456779310345</v>
      </c>
      <c r="AE39" s="163">
        <f t="shared" ref="AE39:AE40" si="863">AC39+AE38</f>
        <v>8498.3246600000002</v>
      </c>
      <c r="AF39" s="49">
        <v>154804</v>
      </c>
      <c r="AG39" s="50">
        <f t="shared" ref="AG39:AG41" si="864">IF(ISBLANK(AF39),"",AH39/$A39)</f>
        <v>152884.75862068965</v>
      </c>
      <c r="AH39" s="51">
        <f t="shared" ref="AH39:AH41" si="865">AF39+AH38</f>
        <v>4433658</v>
      </c>
      <c r="AI39" s="50">
        <f t="shared" ref="AI39:AI41" si="866">IF(AF39*0.1832=0,"",AF39*0.1832)</f>
        <v>28360.092799999999</v>
      </c>
      <c r="AJ39" s="50">
        <f t="shared" ref="AJ39:AJ41" si="867">IFERROR(AG39*0.1832,"")</f>
        <v>28008.487779310344</v>
      </c>
      <c r="AK39" s="50">
        <f t="shared" ref="AK39:AK41" si="868">AH39*0.1832</f>
        <v>812246.14560000005</v>
      </c>
      <c r="AL39" s="17"/>
      <c r="AM39" s="49">
        <v>130.81</v>
      </c>
      <c r="AN39" s="47">
        <f t="shared" ref="AN39:AN41" si="869">IF(ISBLANK(AM39),"",AO39/$A39)</f>
        <v>129.32206896551719</v>
      </c>
      <c r="AO39" s="163">
        <f t="shared" ref="AO39:AO41" si="870">AM39+AO38</f>
        <v>3750.3399999999988</v>
      </c>
      <c r="AP39" s="49">
        <v>110342</v>
      </c>
      <c r="AQ39" s="50">
        <f t="shared" ref="AQ39:AQ41" si="871">IF(ISBLANK(AP39),"",AR39/$A39)</f>
        <v>106973.5172413793</v>
      </c>
      <c r="AR39" s="51">
        <f t="shared" ref="AR39:AR41" si="872">AP39+AR38</f>
        <v>3102232</v>
      </c>
      <c r="AS39" s="17"/>
      <c r="AT39" s="47">
        <f>borrador!G37/6.289</f>
        <v>666.92001908093505</v>
      </c>
      <c r="AU39" s="47">
        <f t="shared" ref="AU39:AU41" si="873">IF(ISBLANK(AT39),"",AV39/$A39)</f>
        <v>611.29777772903981</v>
      </c>
      <c r="AV39" s="51">
        <f t="shared" ref="AV39:AV41" si="874">AT39+AV38</f>
        <v>17727.635554142154</v>
      </c>
      <c r="AW39" s="2"/>
      <c r="AX39" s="51">
        <f>borrador!H37/6.289</f>
        <v>422.9988869454603</v>
      </c>
      <c r="AY39" s="51">
        <f t="shared" ref="AY39:AY41" si="875">IF(ISBLANK(AX39),"",AZ39/$A39)</f>
        <v>424.80477681337425</v>
      </c>
      <c r="AZ39" s="51">
        <f t="shared" ref="AZ39:AZ41" si="876">AX39+AZ38</f>
        <v>12319.338527587854</v>
      </c>
      <c r="BA39" s="2"/>
      <c r="BB39" s="47">
        <f>borrador!E37/6.289</f>
        <v>10.352997296867548</v>
      </c>
      <c r="BC39" s="47">
        <f t="shared" ref="BC39:BC41" si="877">IF(ISBLANK(BB39),"",BD39/$A39)</f>
        <v>9.1652090952456682</v>
      </c>
      <c r="BD39" s="48">
        <f t="shared" ref="BD39:BD41" si="878">BB39+BD38</f>
        <v>265.79106376212439</v>
      </c>
      <c r="BE39" s="49">
        <f>borrador!F37*0.283*100</f>
        <v>252.91709999999995</v>
      </c>
      <c r="BF39" s="50">
        <f t="shared" ref="BF39:BF41" si="879">IF(ISBLANK(BE39),"",BG39/A39)</f>
        <v>261.62666896551718</v>
      </c>
      <c r="BG39" s="237">
        <f t="shared" ref="BG39:BG41" si="880">BE39+BG38</f>
        <v>7587.1733999999988</v>
      </c>
      <c r="BI39" s="199" t="s">
        <v>25</v>
      </c>
      <c r="BJ39" s="81"/>
      <c r="BK39" s="21">
        <v>11157.159529517237</v>
      </c>
      <c r="BL39" s="92">
        <f t="shared" si="622"/>
        <v>-11157.159529517237</v>
      </c>
      <c r="BM39" s="254"/>
      <c r="BN39" s="21">
        <v>6087.579337493291</v>
      </c>
      <c r="BO39" s="82">
        <f t="shared" si="623"/>
        <v>-6087.579337493291</v>
      </c>
      <c r="BP39" s="197"/>
      <c r="BQ39" s="254"/>
      <c r="BR39" s="21">
        <v>2795.5735691705136</v>
      </c>
      <c r="BS39" s="220">
        <f t="shared" si="624"/>
        <v>-2795.5735691705136</v>
      </c>
      <c r="BT39" s="5"/>
      <c r="BU39" s="15"/>
      <c r="BV39" s="214"/>
      <c r="BW39" s="107">
        <v>1215.1479933416113</v>
      </c>
      <c r="BX39" s="84">
        <f t="shared" si="625"/>
        <v>-1215.1479933416113</v>
      </c>
      <c r="BY39" s="207"/>
      <c r="BZ39" s="83"/>
      <c r="CA39" s="107">
        <v>15450.20609576125</v>
      </c>
      <c r="CB39" s="215">
        <f t="shared" si="626"/>
        <v>-15450.20609576125</v>
      </c>
    </row>
    <row r="40" spans="1:92" ht="14.25" customHeight="1" x14ac:dyDescent="0.35">
      <c r="A40" s="46">
        <v>30</v>
      </c>
      <c r="B40" s="49">
        <v>597.76</v>
      </c>
      <c r="C40" s="47">
        <f t="shared" si="846"/>
        <v>598.93899999999985</v>
      </c>
      <c r="D40" s="163">
        <f t="shared" si="847"/>
        <v>17968.169999999995</v>
      </c>
      <c r="E40" s="49">
        <v>389577</v>
      </c>
      <c r="F40" s="50">
        <f t="shared" si="848"/>
        <v>398267.3</v>
      </c>
      <c r="G40" s="163">
        <f t="shared" si="849"/>
        <v>11948019</v>
      </c>
      <c r="H40" s="173"/>
      <c r="I40" s="49">
        <v>60127</v>
      </c>
      <c r="J40" s="50">
        <f t="shared" si="850"/>
        <v>57906.5</v>
      </c>
      <c r="K40" s="163">
        <f t="shared" si="851"/>
        <v>1737195</v>
      </c>
      <c r="L40" s="50">
        <f t="shared" si="852"/>
        <v>30063.5</v>
      </c>
      <c r="M40" s="50">
        <f t="shared" si="853"/>
        <v>28953.25</v>
      </c>
      <c r="N40" s="50">
        <f t="shared" si="854"/>
        <v>868597.5</v>
      </c>
      <c r="O40" s="49">
        <v>10711</v>
      </c>
      <c r="P40" s="50">
        <f t="shared" si="855"/>
        <v>7425.8</v>
      </c>
      <c r="Q40" s="163">
        <f t="shared" si="856"/>
        <v>222774</v>
      </c>
      <c r="R40" s="50">
        <f t="shared" si="857"/>
        <v>5355.5</v>
      </c>
      <c r="S40" s="50">
        <f t="shared" si="858"/>
        <v>3712.9</v>
      </c>
      <c r="T40" s="50">
        <f t="shared" si="859"/>
        <v>111387</v>
      </c>
      <c r="U40" s="173"/>
      <c r="V40" s="49">
        <v>191.4</v>
      </c>
      <c r="W40" s="47">
        <f t="shared" si="860"/>
        <v>192.55186666666665</v>
      </c>
      <c r="X40" s="163">
        <f t="shared" si="861"/>
        <v>5776.5559999999996</v>
      </c>
      <c r="Y40" s="2"/>
      <c r="Z40" s="53"/>
      <c r="AA40" s="54"/>
      <c r="AB40" s="52"/>
      <c r="AC40" s="49">
        <v>311.74</v>
      </c>
      <c r="AD40" s="50">
        <f t="shared" si="862"/>
        <v>293.66882199999998</v>
      </c>
      <c r="AE40" s="163">
        <f t="shared" si="863"/>
        <v>8810.06466</v>
      </c>
      <c r="AF40" s="49">
        <v>153118</v>
      </c>
      <c r="AG40" s="50">
        <f t="shared" si="864"/>
        <v>152892.53333333333</v>
      </c>
      <c r="AH40" s="51">
        <f t="shared" si="865"/>
        <v>4586776</v>
      </c>
      <c r="AI40" s="50">
        <f t="shared" si="866"/>
        <v>28051.2176</v>
      </c>
      <c r="AJ40" s="50">
        <f t="shared" si="867"/>
        <v>28009.912106666667</v>
      </c>
      <c r="AK40" s="50">
        <f t="shared" si="868"/>
        <v>840297.36320000002</v>
      </c>
      <c r="AL40" s="17"/>
      <c r="AM40" s="49">
        <v>130.99</v>
      </c>
      <c r="AN40" s="47">
        <f t="shared" si="869"/>
        <v>129.37766666666664</v>
      </c>
      <c r="AO40" s="163">
        <f t="shared" si="870"/>
        <v>3881.329999999999</v>
      </c>
      <c r="AP40" s="49">
        <v>110336</v>
      </c>
      <c r="AQ40" s="50">
        <f t="shared" si="871"/>
        <v>107085.6</v>
      </c>
      <c r="AR40" s="51">
        <f t="shared" si="872"/>
        <v>3212568</v>
      </c>
      <c r="AS40" s="17"/>
      <c r="AT40" s="47">
        <f>borrador!G38/6.289</f>
        <v>673.19605660677371</v>
      </c>
      <c r="AU40" s="47">
        <f t="shared" si="873"/>
        <v>613.36105369163101</v>
      </c>
      <c r="AV40" s="51">
        <f t="shared" si="874"/>
        <v>18400.83161074893</v>
      </c>
      <c r="AW40" s="2"/>
      <c r="AX40" s="51">
        <f>borrador!H38/6.289</f>
        <v>423.19764668468753</v>
      </c>
      <c r="AY40" s="51">
        <f t="shared" si="875"/>
        <v>424.75120580908475</v>
      </c>
      <c r="AZ40" s="51">
        <f t="shared" si="876"/>
        <v>12742.536174272542</v>
      </c>
      <c r="BA40" s="2"/>
      <c r="BB40" s="47">
        <f>borrador!E38/6.289</f>
        <v>8.2652249960248056</v>
      </c>
      <c r="BC40" s="47">
        <f t="shared" si="877"/>
        <v>9.1352096252716404</v>
      </c>
      <c r="BD40" s="48">
        <f t="shared" si="878"/>
        <v>274.05628875814921</v>
      </c>
      <c r="BE40" s="49">
        <f>borrador!F38*0.283*100</f>
        <v>256.11500000000001</v>
      </c>
      <c r="BF40" s="50">
        <f t="shared" si="879"/>
        <v>261.44294666666661</v>
      </c>
      <c r="BG40" s="237">
        <f t="shared" si="880"/>
        <v>7843.2883999999985</v>
      </c>
      <c r="BI40" s="199" t="s">
        <v>11</v>
      </c>
      <c r="BJ40" s="81"/>
      <c r="BK40" s="21">
        <v>10743.073388846915</v>
      </c>
      <c r="BL40" s="92">
        <f t="shared" si="622"/>
        <v>-10743.073388846915</v>
      </c>
      <c r="BM40" s="254"/>
      <c r="BN40" s="21">
        <v>5832.3583361673891</v>
      </c>
      <c r="BO40" s="82">
        <f t="shared" si="623"/>
        <v>-5832.3583361673891</v>
      </c>
      <c r="BP40" s="197"/>
      <c r="BQ40" s="254"/>
      <c r="BR40" s="21">
        <v>2603.1652017662027</v>
      </c>
      <c r="BS40" s="220">
        <f t="shared" si="624"/>
        <v>-2603.1652017662027</v>
      </c>
      <c r="BT40" s="5"/>
      <c r="BU40" s="15"/>
      <c r="BV40" s="214"/>
      <c r="BW40" s="107">
        <v>1153.3893710620828</v>
      </c>
      <c r="BX40" s="84">
        <f t="shared" si="625"/>
        <v>-1153.3893710620828</v>
      </c>
      <c r="BY40" s="207"/>
      <c r="BZ40" s="83"/>
      <c r="CA40" s="107">
        <v>14780.364315283223</v>
      </c>
      <c r="CB40" s="215">
        <f t="shared" si="626"/>
        <v>-14780.364315283223</v>
      </c>
    </row>
    <row r="41" spans="1:92" ht="15" customHeight="1" thickBot="1" x14ac:dyDescent="0.4">
      <c r="A41" s="46">
        <v>31</v>
      </c>
      <c r="B41" s="179">
        <v>614.99</v>
      </c>
      <c r="C41" s="180">
        <f t="shared" ref="C41" si="881">IF(ISBLANK(B41),"",D41/$A41)</f>
        <v>599.45677419354831</v>
      </c>
      <c r="D41" s="178">
        <f t="shared" ref="D41" si="882">B41+D40</f>
        <v>18583.159999999996</v>
      </c>
      <c r="E41" s="179">
        <v>390757</v>
      </c>
      <c r="F41" s="180">
        <f t="shared" ref="F41" si="883">IF(ISBLANK(E41),"",G41/$A41)</f>
        <v>398025.03225806454</v>
      </c>
      <c r="G41" s="178">
        <f t="shared" ref="G41" si="884">E41+G40</f>
        <v>12338776</v>
      </c>
      <c r="H41" s="181"/>
      <c r="I41" s="179">
        <v>60153</v>
      </c>
      <c r="J41" s="50">
        <f t="shared" ref="J41" si="885">IF(ISBLANK(I41),"",K41/$A41)</f>
        <v>57978.967741935485</v>
      </c>
      <c r="K41" s="163">
        <f t="shared" ref="K41" si="886">I41+K40</f>
        <v>1797348</v>
      </c>
      <c r="L41" s="50">
        <f t="shared" ref="L41" si="887">IF(ISBLANK(I41),"",I41*0.5)</f>
        <v>30076.5</v>
      </c>
      <c r="M41" s="50">
        <f t="shared" ref="M41" si="888">IFERROR(J41*0.5,"")</f>
        <v>28989.483870967742</v>
      </c>
      <c r="N41" s="50">
        <f t="shared" ref="N41" si="889">K41*0.5</f>
        <v>898674</v>
      </c>
      <c r="O41" s="179">
        <v>10322</v>
      </c>
      <c r="P41" s="50">
        <f t="shared" ref="P41" si="890">IF(ISBLANK(O41),"",Q41/$A41)</f>
        <v>7519.2258064516127</v>
      </c>
      <c r="Q41" s="163">
        <f t="shared" ref="Q41" si="891">O41+Q40</f>
        <v>233096</v>
      </c>
      <c r="R41" s="50">
        <f t="shared" ref="R41" si="892">IF(ISBLANK(O41),"",O41*0.5)</f>
        <v>5161</v>
      </c>
      <c r="S41" s="50">
        <f t="shared" ref="S41" si="893">IFERROR(P41*0.5,"")</f>
        <v>3759.6129032258063</v>
      </c>
      <c r="T41" s="50">
        <f t="shared" ref="T41" si="894">Q41*0.5</f>
        <v>116548</v>
      </c>
      <c r="U41" s="181"/>
      <c r="V41" s="179">
        <v>187.5</v>
      </c>
      <c r="W41" s="177">
        <f t="shared" ref="W41" si="895">IF(ISBLANK(V41),"",X41/$A41)</f>
        <v>192.38890322580644</v>
      </c>
      <c r="X41" s="178">
        <f t="shared" ref="X41" si="896">V41+X40</f>
        <v>5964.0559999999996</v>
      </c>
      <c r="Y41" s="117"/>
      <c r="Z41" s="118"/>
      <c r="AA41" s="119"/>
      <c r="AB41" s="120"/>
      <c r="AC41" s="179">
        <v>289.77999999999997</v>
      </c>
      <c r="AD41" s="180">
        <f t="shared" ref="AD41" si="897">IF(ISBLANK(AC41),"",AE41/$A41)</f>
        <v>293.54337612903225</v>
      </c>
      <c r="AE41" s="183">
        <f t="shared" ref="AE41" si="898">AC41+AE40</f>
        <v>9099.8446600000007</v>
      </c>
      <c r="AF41" s="179">
        <v>150904</v>
      </c>
      <c r="AG41" s="180">
        <f t="shared" si="864"/>
        <v>152828.38709677418</v>
      </c>
      <c r="AH41" s="183">
        <f t="shared" si="865"/>
        <v>4737680</v>
      </c>
      <c r="AI41" s="180">
        <f t="shared" si="866"/>
        <v>27645.612799999999</v>
      </c>
      <c r="AJ41" s="180">
        <f t="shared" si="867"/>
        <v>27998.160516129032</v>
      </c>
      <c r="AK41" s="180">
        <f t="shared" si="868"/>
        <v>867942.97600000002</v>
      </c>
      <c r="AL41" s="17"/>
      <c r="AM41" s="179">
        <v>137.72999999999999</v>
      </c>
      <c r="AN41" s="180">
        <f t="shared" si="869"/>
        <v>129.64709677419353</v>
      </c>
      <c r="AO41" s="183">
        <f t="shared" si="870"/>
        <v>4019.059999999999</v>
      </c>
      <c r="AP41" s="179">
        <v>110750</v>
      </c>
      <c r="AQ41" s="180">
        <f t="shared" si="871"/>
        <v>107203.80645161291</v>
      </c>
      <c r="AR41" s="183">
        <f t="shared" si="872"/>
        <v>3323318</v>
      </c>
      <c r="AS41" s="17"/>
      <c r="AT41" s="177">
        <f>borrador!G39/6.289</f>
        <v>675.41739545237715</v>
      </c>
      <c r="AU41" s="177">
        <f t="shared" si="873"/>
        <v>615.36287116778408</v>
      </c>
      <c r="AV41" s="183">
        <f t="shared" si="874"/>
        <v>19076.249006201306</v>
      </c>
      <c r="AW41" s="117"/>
      <c r="AX41" s="183">
        <f>borrador!H39/6.289</f>
        <v>423.00365717920181</v>
      </c>
      <c r="AY41" s="183">
        <f t="shared" si="875"/>
        <v>424.69483327263691</v>
      </c>
      <c r="AZ41" s="183">
        <f t="shared" si="876"/>
        <v>13165.539831451744</v>
      </c>
      <c r="BA41" s="117"/>
      <c r="BB41" s="177">
        <f>borrador!E39/6.289</f>
        <v>8.8630942916202908</v>
      </c>
      <c r="BC41" s="177">
        <f t="shared" si="877"/>
        <v>9.126431711282887</v>
      </c>
      <c r="BD41" s="182">
        <f t="shared" si="878"/>
        <v>282.91938304976952</v>
      </c>
      <c r="BE41" s="179">
        <f>borrador!F39*0.283*100</f>
        <v>258.97329999999999</v>
      </c>
      <c r="BF41" s="180">
        <f t="shared" si="879"/>
        <v>261.36328064516124</v>
      </c>
      <c r="BG41" s="184">
        <f t="shared" si="880"/>
        <v>8102.2616999999982</v>
      </c>
      <c r="BI41" s="199" t="s">
        <v>12</v>
      </c>
      <c r="BJ41" s="81"/>
      <c r="BK41" s="21">
        <v>11004.303480979688</v>
      </c>
      <c r="BL41" s="92">
        <f t="shared" si="622"/>
        <v>-11004.303480979688</v>
      </c>
      <c r="BM41" s="254"/>
      <c r="BN41" s="21">
        <v>5961.3589319686052</v>
      </c>
      <c r="BO41" s="82">
        <f t="shared" si="623"/>
        <v>-5961.3589319686052</v>
      </c>
      <c r="BP41" s="197"/>
      <c r="BQ41" s="254"/>
      <c r="BR41" s="21">
        <v>2589.4017939279993</v>
      </c>
      <c r="BS41" s="220">
        <f t="shared" si="624"/>
        <v>-2589.4017939279993</v>
      </c>
      <c r="BT41" s="5"/>
      <c r="BU41" s="15"/>
      <c r="BV41" s="214"/>
      <c r="BW41" s="107">
        <v>1164.8762045276405</v>
      </c>
      <c r="BX41" s="84">
        <f t="shared" si="625"/>
        <v>-1164.8762045276405</v>
      </c>
      <c r="BY41" s="207"/>
      <c r="BZ41" s="83"/>
      <c r="CA41" s="107">
        <v>15031.252261225651</v>
      </c>
      <c r="CB41" s="215">
        <f t="shared" si="626"/>
        <v>-15031.252261225651</v>
      </c>
    </row>
    <row r="42" spans="1:92" ht="15" customHeight="1" thickBot="1" x14ac:dyDescent="0.3">
      <c r="A42" s="23"/>
      <c r="B42" s="280"/>
      <c r="C42" s="281"/>
      <c r="D42" s="281"/>
      <c r="E42" s="281"/>
      <c r="F42" s="281"/>
      <c r="G42" s="281"/>
      <c r="H42" s="23"/>
      <c r="I42" s="313"/>
      <c r="J42" s="314"/>
      <c r="K42" s="314"/>
      <c r="L42" s="314"/>
      <c r="M42" s="314"/>
      <c r="N42" s="314"/>
      <c r="O42" s="313"/>
      <c r="P42" s="314"/>
      <c r="Q42" s="314"/>
      <c r="R42" s="314"/>
      <c r="S42" s="314"/>
      <c r="T42" s="314"/>
      <c r="U42" s="23"/>
      <c r="V42" s="289"/>
      <c r="W42" s="290"/>
      <c r="X42" s="290"/>
      <c r="Y42" s="23"/>
      <c r="Z42" s="23"/>
      <c r="AA42" s="23"/>
      <c r="AB42" s="23"/>
      <c r="AC42" s="280"/>
      <c r="AD42" s="291"/>
      <c r="AE42" s="291"/>
      <c r="AF42" s="291"/>
      <c r="AG42" s="291"/>
      <c r="AH42" s="291"/>
      <c r="AI42" s="291"/>
      <c r="AJ42" s="291"/>
      <c r="AK42" s="291"/>
      <c r="AL42" s="23"/>
      <c r="AM42" s="280"/>
      <c r="AN42" s="281"/>
      <c r="AO42" s="281"/>
      <c r="AP42" s="281"/>
      <c r="AQ42" s="281"/>
      <c r="AR42" s="281"/>
      <c r="AS42" s="23"/>
      <c r="AT42" s="289"/>
      <c r="AU42" s="290"/>
      <c r="AV42" s="290"/>
      <c r="AW42" s="23"/>
      <c r="AX42" s="289"/>
      <c r="AY42" s="290"/>
      <c r="AZ42" s="290"/>
      <c r="BA42" s="23"/>
      <c r="BB42" s="280"/>
      <c r="BC42" s="281"/>
      <c r="BD42" s="281"/>
      <c r="BE42" s="281"/>
      <c r="BF42" s="281"/>
      <c r="BG42" s="281"/>
      <c r="BI42" s="85"/>
      <c r="BJ42" s="86"/>
      <c r="BK42" s="93">
        <f>SUM(BK30:BK41)</f>
        <v>125726.49064530368</v>
      </c>
      <c r="BL42" s="86"/>
      <c r="BM42" s="86"/>
      <c r="BN42" s="93">
        <f>SUM(BN30:BN41)</f>
        <v>66132.771948979236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2" ht="15.75" customHeight="1" x14ac:dyDescent="0.25">
      <c r="A43" s="23"/>
      <c r="B43" s="281"/>
      <c r="C43" s="281"/>
      <c r="D43" s="281"/>
      <c r="E43" s="281"/>
      <c r="F43" s="281"/>
      <c r="G43" s="281"/>
      <c r="H43" s="23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3"/>
      <c r="V43" s="290"/>
      <c r="W43" s="290"/>
      <c r="X43" s="290"/>
      <c r="Y43" s="23"/>
      <c r="Z43" s="23"/>
      <c r="AA43" s="23"/>
      <c r="AB43" s="23"/>
      <c r="AC43" s="291"/>
      <c r="AD43" s="291"/>
      <c r="AE43" s="291"/>
      <c r="AF43" s="291"/>
      <c r="AG43" s="291"/>
      <c r="AH43" s="291"/>
      <c r="AI43" s="291"/>
      <c r="AJ43" s="291"/>
      <c r="AK43" s="291"/>
      <c r="AL43" s="23"/>
      <c r="AM43" s="281"/>
      <c r="AN43" s="281"/>
      <c r="AO43" s="281"/>
      <c r="AP43" s="281"/>
      <c r="AQ43" s="281"/>
      <c r="AR43" s="281"/>
      <c r="AS43" s="23"/>
      <c r="AT43" s="290"/>
      <c r="AU43" s="290"/>
      <c r="AV43" s="290"/>
      <c r="AW43" s="23"/>
      <c r="AX43" s="290"/>
      <c r="AY43" s="290"/>
      <c r="AZ43" s="290"/>
      <c r="BA43" s="23"/>
      <c r="BB43" s="281"/>
      <c r="BC43" s="281"/>
      <c r="BD43" s="281"/>
      <c r="BE43" s="281"/>
      <c r="BF43" s="281"/>
      <c r="BG43" s="281"/>
      <c r="BH43" s="14"/>
      <c r="BJ43" s="20"/>
      <c r="BK43" s="90"/>
    </row>
    <row r="44" spans="1:92" ht="13.5" customHeight="1" x14ac:dyDescent="0.25">
      <c r="A44" s="23"/>
      <c r="B44" s="281"/>
      <c r="C44" s="281"/>
      <c r="D44" s="281"/>
      <c r="E44" s="281"/>
      <c r="F44" s="281"/>
      <c r="G44" s="281"/>
      <c r="H44" s="23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3"/>
      <c r="V44" s="290"/>
      <c r="W44" s="290"/>
      <c r="X44" s="290"/>
      <c r="Y44" s="23"/>
      <c r="Z44" s="23"/>
      <c r="AA44" s="23"/>
      <c r="AB44" s="23"/>
      <c r="AC44" s="291"/>
      <c r="AD44" s="291"/>
      <c r="AE44" s="291"/>
      <c r="AF44" s="291"/>
      <c r="AG44" s="291"/>
      <c r="AH44" s="291"/>
      <c r="AI44" s="291"/>
      <c r="AJ44" s="291"/>
      <c r="AK44" s="291"/>
      <c r="AL44" s="23"/>
      <c r="AM44" s="281"/>
      <c r="AN44" s="281"/>
      <c r="AO44" s="281"/>
      <c r="AP44" s="281"/>
      <c r="AQ44" s="281"/>
      <c r="AR44" s="281"/>
      <c r="AS44" s="23"/>
      <c r="AT44" s="290"/>
      <c r="AU44" s="290"/>
      <c r="AV44" s="290"/>
      <c r="AW44" s="23"/>
      <c r="AX44" s="290"/>
      <c r="AY44" s="290"/>
      <c r="AZ44" s="290"/>
      <c r="BA44" s="23"/>
      <c r="BB44" s="281"/>
      <c r="BC44" s="281"/>
      <c r="BD44" s="281"/>
      <c r="BE44" s="281"/>
      <c r="BF44" s="281"/>
      <c r="BG44" s="281"/>
      <c r="BH44" s="14"/>
      <c r="BJ44" s="20"/>
      <c r="BK44" s="20"/>
    </row>
    <row r="45" spans="1:92" ht="14.25" customHeight="1" x14ac:dyDescent="0.25">
      <c r="A45" s="23"/>
      <c r="C45" s="157"/>
      <c r="D45" s="23"/>
      <c r="F45" s="23"/>
      <c r="G45" s="23"/>
      <c r="H45" s="23"/>
      <c r="I45" s="281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3"/>
      <c r="V45" s="290"/>
      <c r="W45" s="290"/>
      <c r="X45" s="290"/>
      <c r="Y45" s="23"/>
      <c r="Z45" s="23"/>
      <c r="AA45" s="23"/>
      <c r="AB45" s="23"/>
      <c r="AC45" s="292"/>
      <c r="AD45" s="293"/>
      <c r="AE45" s="293"/>
      <c r="AF45" s="293"/>
      <c r="AG45" s="293"/>
      <c r="AH45" s="293"/>
      <c r="AI45" s="293"/>
      <c r="AJ45" s="293"/>
      <c r="AK45" s="293"/>
      <c r="AL45" s="23"/>
      <c r="AM45" s="23"/>
      <c r="AN45" s="23"/>
      <c r="AO45" s="23"/>
      <c r="AP45" s="23"/>
      <c r="AQ45" s="23"/>
      <c r="AR45" s="23"/>
      <c r="AS45" s="23"/>
      <c r="AT45" s="290"/>
      <c r="AU45" s="290"/>
      <c r="AV45" s="290"/>
      <c r="AW45" s="23"/>
      <c r="AX45" s="290"/>
      <c r="AY45" s="290"/>
      <c r="AZ45" s="290"/>
      <c r="BA45" s="23"/>
      <c r="BB45" s="159"/>
      <c r="BC45" s="160"/>
      <c r="BD45" s="159"/>
      <c r="BE45" s="159"/>
      <c r="BF45" s="159"/>
      <c r="BG45" s="159"/>
      <c r="BH45" s="14"/>
      <c r="BJ45" s="20"/>
    </row>
    <row r="46" spans="1:92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293"/>
      <c r="AD46" s="293"/>
      <c r="AE46" s="293"/>
      <c r="AF46" s="293"/>
      <c r="AG46" s="293"/>
      <c r="AH46" s="293"/>
      <c r="AI46" s="293"/>
      <c r="AJ46" s="293"/>
      <c r="AK46" s="29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</row>
    <row r="47" spans="1:92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293"/>
      <c r="AD47" s="293"/>
      <c r="AE47" s="293"/>
      <c r="AF47" s="293"/>
      <c r="AG47" s="293"/>
      <c r="AH47" s="293"/>
      <c r="AI47" s="293"/>
      <c r="AJ47" s="293"/>
      <c r="AK47" s="29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27" t="s">
        <v>119</v>
      </c>
      <c r="BJ47" s="328"/>
      <c r="BK47" s="328"/>
      <c r="BL47" s="328"/>
      <c r="BM47" s="328"/>
      <c r="BN47" s="328"/>
      <c r="BO47" s="328"/>
      <c r="BP47" s="328"/>
      <c r="BQ47" s="328"/>
      <c r="BR47" s="328"/>
      <c r="BS47" s="328"/>
      <c r="BT47" s="329"/>
    </row>
    <row r="48" spans="1:92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</row>
    <row r="49" spans="1:72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21"/>
      <c r="BK49" s="322"/>
      <c r="BL49" s="322"/>
      <c r="BM49" s="322"/>
      <c r="BN49" s="322"/>
      <c r="BO49" s="323"/>
      <c r="BP49" s="60"/>
      <c r="BQ49" s="330"/>
      <c r="BR49" s="330"/>
      <c r="BS49" s="330"/>
      <c r="BT49" s="69"/>
    </row>
    <row r="50" spans="1:72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24" t="s">
        <v>52</v>
      </c>
      <c r="BK50" s="325"/>
      <c r="BL50" s="325"/>
      <c r="BM50" s="325"/>
      <c r="BN50" s="325"/>
      <c r="BO50" s="326"/>
      <c r="BP50" s="60"/>
      <c r="BQ50" s="331"/>
      <c r="BR50" s="331"/>
      <c r="BS50" s="331"/>
      <c r="BT50" s="70"/>
    </row>
    <row r="51" spans="1:72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72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72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72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/>
      <c r="BK54" s="21">
        <v>4728.0605426973325</v>
      </c>
      <c r="BL54" s="92">
        <f t="shared" ref="BL54:BL65" si="899">BJ54-BK54</f>
        <v>-4728.0605426973325</v>
      </c>
      <c r="BM54" s="253"/>
      <c r="BN54" s="21">
        <v>3352.8927140551687</v>
      </c>
      <c r="BO54" s="220">
        <f t="shared" ref="BO54:BO65" si="900">BM54-BN54</f>
        <v>-3352.8927140551687</v>
      </c>
      <c r="BP54" s="80"/>
      <c r="BQ54" s="96"/>
      <c r="BR54" s="97"/>
      <c r="BS54" s="98"/>
      <c r="BT54" s="5"/>
    </row>
    <row r="55" spans="1:72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/>
      <c r="BK55" s="21">
        <v>4266.0935232983284</v>
      </c>
      <c r="BL55" s="92">
        <f t="shared" si="899"/>
        <v>-4266.0935232983284</v>
      </c>
      <c r="BM55" s="253"/>
      <c r="BN55" s="21">
        <v>3103.0593240260428</v>
      </c>
      <c r="BO55" s="220">
        <f t="shared" si="900"/>
        <v>-3103.0593240260428</v>
      </c>
      <c r="BP55" s="80"/>
      <c r="BQ55" s="96"/>
      <c r="BR55" s="97"/>
      <c r="BS55" s="98"/>
      <c r="BT55" s="5"/>
    </row>
    <row r="56" spans="1:72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/>
      <c r="BK56" s="21">
        <v>4708.1380661742114</v>
      </c>
      <c r="BL56" s="92">
        <f t="shared" si="899"/>
        <v>-4708.1380661742114</v>
      </c>
      <c r="BM56" s="253"/>
      <c r="BN56" s="21">
        <v>3503.9933612680038</v>
      </c>
      <c r="BO56" s="220">
        <f t="shared" si="900"/>
        <v>-3503.9933612680038</v>
      </c>
      <c r="BP56" s="80"/>
      <c r="BQ56" s="96"/>
      <c r="BR56" s="97"/>
      <c r="BS56" s="98"/>
      <c r="BT56" s="5"/>
    </row>
    <row r="57" spans="1:72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/>
      <c r="BK57" s="21">
        <v>4491.1386812116671</v>
      </c>
      <c r="BL57" s="92">
        <f t="shared" si="899"/>
        <v>-4491.1386812116671</v>
      </c>
      <c r="BM57" s="254"/>
      <c r="BN57" s="21">
        <v>3307.1620041619899</v>
      </c>
      <c r="BO57" s="220">
        <f t="shared" si="900"/>
        <v>-3307.1620041619899</v>
      </c>
      <c r="BP57" s="80"/>
      <c r="BQ57" s="96"/>
      <c r="BR57" s="97"/>
      <c r="BS57" s="98"/>
      <c r="BT57" s="5"/>
    </row>
    <row r="58" spans="1:72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/>
      <c r="BK58" s="21">
        <v>4530.8850726316477</v>
      </c>
      <c r="BL58" s="92">
        <f t="shared" si="899"/>
        <v>-4530.8850726316477</v>
      </c>
      <c r="BM58" s="254"/>
      <c r="BN58" s="21">
        <v>3325.1405241232474</v>
      </c>
      <c r="BO58" s="220">
        <f t="shared" si="900"/>
        <v>-3325.1405241232474</v>
      </c>
      <c r="BP58" s="80"/>
      <c r="BQ58" s="96"/>
      <c r="BR58" s="97"/>
      <c r="BS58" s="99"/>
      <c r="BT58" s="5"/>
    </row>
    <row r="59" spans="1:72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/>
      <c r="BK59" s="21">
        <v>4283.0861951820316</v>
      </c>
      <c r="BL59" s="92">
        <f t="shared" si="899"/>
        <v>-4283.0861951820316</v>
      </c>
      <c r="BM59" s="270"/>
      <c r="BN59" s="21">
        <v>3129.7852570267542</v>
      </c>
      <c r="BO59" s="220">
        <f t="shared" si="900"/>
        <v>-3129.7852570267542</v>
      </c>
      <c r="BP59" s="80"/>
      <c r="BQ59" s="96"/>
      <c r="BR59" s="97"/>
      <c r="BS59" s="99"/>
      <c r="BT59" s="5"/>
    </row>
    <row r="60" spans="1:72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/>
      <c r="BK60" s="21">
        <v>4328.4751433553638</v>
      </c>
      <c r="BL60" s="92">
        <f t="shared" si="899"/>
        <v>-4328.4751433553638</v>
      </c>
      <c r="BM60" s="254"/>
      <c r="BN60" s="21">
        <v>3147.5039614155517</v>
      </c>
      <c r="BO60" s="220">
        <f t="shared" si="900"/>
        <v>-3147.5039614155517</v>
      </c>
      <c r="BP60" s="80"/>
      <c r="BQ60" s="96"/>
      <c r="BR60" s="97"/>
      <c r="BS60" s="99"/>
      <c r="BT60" s="5"/>
    </row>
    <row r="61" spans="1:72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/>
      <c r="BK61" s="21">
        <v>4230.6362001414072</v>
      </c>
      <c r="BL61" s="92">
        <f t="shared" si="899"/>
        <v>-4230.6362001414072</v>
      </c>
      <c r="BM61" s="254"/>
      <c r="BN61" s="21">
        <v>3062.6357872950184</v>
      </c>
      <c r="BO61" s="220">
        <f t="shared" si="900"/>
        <v>-3062.6357872950184</v>
      </c>
      <c r="BP61" s="80"/>
      <c r="BQ61" s="96"/>
      <c r="BR61" s="97"/>
      <c r="BS61" s="99"/>
      <c r="BT61" s="5"/>
    </row>
    <row r="62" spans="1:72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/>
      <c r="BK62" s="21">
        <v>4885.6218678638943</v>
      </c>
      <c r="BL62" s="92">
        <f t="shared" si="899"/>
        <v>-4885.6218678638943</v>
      </c>
      <c r="BM62" s="254"/>
      <c r="BN62" s="21">
        <v>3157.1791464073208</v>
      </c>
      <c r="BO62" s="220">
        <f t="shared" si="900"/>
        <v>-3157.1791464073208</v>
      </c>
      <c r="BP62" s="80"/>
      <c r="BQ62" s="96"/>
      <c r="BR62" s="97"/>
      <c r="BS62" s="99"/>
      <c r="BT62" s="5"/>
    </row>
    <row r="63" spans="1:72" ht="15" customHeight="1" x14ac:dyDescent="0.25">
      <c r="BI63" s="199" t="s">
        <v>25</v>
      </c>
      <c r="BJ63" s="81"/>
      <c r="BK63" s="21">
        <v>6364.0145735796496</v>
      </c>
      <c r="BL63" s="92">
        <f t="shared" si="899"/>
        <v>-6364.0145735796496</v>
      </c>
      <c r="BM63" s="254"/>
      <c r="BN63" s="21">
        <v>3635.166438605439</v>
      </c>
      <c r="BO63" s="220">
        <f t="shared" si="900"/>
        <v>-3635.166438605439</v>
      </c>
      <c r="BP63" s="80"/>
      <c r="BQ63" s="96"/>
      <c r="BR63" s="97"/>
      <c r="BS63" s="99"/>
      <c r="BT63" s="5"/>
    </row>
    <row r="64" spans="1:72" ht="15" customHeight="1" x14ac:dyDescent="0.25">
      <c r="BI64" s="199" t="s">
        <v>11</v>
      </c>
      <c r="BJ64" s="81"/>
      <c r="BK64" s="21">
        <v>6442.0657546335988</v>
      </c>
      <c r="BL64" s="92">
        <f t="shared" si="899"/>
        <v>-6442.0657546335988</v>
      </c>
      <c r="BM64" s="254"/>
      <c r="BN64" s="21">
        <v>3592.3211179648733</v>
      </c>
      <c r="BO64" s="220">
        <f t="shared" si="900"/>
        <v>-3592.3211179648733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6359.5018162868801</v>
      </c>
      <c r="BL65" s="92">
        <f t="shared" si="899"/>
        <v>-6359.5018162868801</v>
      </c>
      <c r="BM65" s="254"/>
      <c r="BN65" s="21">
        <v>3604.9264366143657</v>
      </c>
      <c r="BO65" s="220">
        <f t="shared" si="900"/>
        <v>-3604.9264366143657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59617.717437056017</v>
      </c>
      <c r="BL66" s="86"/>
      <c r="BM66" s="86"/>
      <c r="BN66" s="91">
        <f>SUM(BN54:BN65)</f>
        <v>39921.766072963779</v>
      </c>
      <c r="BO66" s="221"/>
      <c r="BP66" s="86"/>
      <c r="BQ66" s="100"/>
      <c r="BR66" s="101"/>
      <c r="BS66" s="100"/>
      <c r="BT66" s="88"/>
    </row>
  </sheetData>
  <mergeCells count="89">
    <mergeCell ref="AX5:AZ5"/>
    <mergeCell ref="Z5:AB5"/>
    <mergeCell ref="AX4:AZ4"/>
    <mergeCell ref="Z4:AB4"/>
    <mergeCell ref="BB5:BG5"/>
    <mergeCell ref="AT5:AV5"/>
    <mergeCell ref="AC5:AK5"/>
    <mergeCell ref="AT4:AV4"/>
    <mergeCell ref="BZ5:CB5"/>
    <mergeCell ref="BJ5:BO5"/>
    <mergeCell ref="BQ5:BS5"/>
    <mergeCell ref="BV5:BX5"/>
    <mergeCell ref="BB1:BG1"/>
    <mergeCell ref="BJ4:BO4"/>
    <mergeCell ref="BQ4:BS4"/>
    <mergeCell ref="BV2:CB2"/>
    <mergeCell ref="BI2:BT2"/>
    <mergeCell ref="BV4:BX4"/>
    <mergeCell ref="BZ4:CB4"/>
    <mergeCell ref="BB4:BG4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AT6:AV6"/>
    <mergeCell ref="I42:N45"/>
    <mergeCell ref="I4:T4"/>
    <mergeCell ref="I5:T5"/>
    <mergeCell ref="I6:T6"/>
    <mergeCell ref="I7:T7"/>
    <mergeCell ref="O8:T8"/>
    <mergeCell ref="O42:T45"/>
    <mergeCell ref="AX7:AZ7"/>
    <mergeCell ref="B8:D8"/>
    <mergeCell ref="AT7:AV7"/>
    <mergeCell ref="B5:G5"/>
    <mergeCell ref="A4:G4"/>
    <mergeCell ref="AM4:AR4"/>
    <mergeCell ref="AM5:AR5"/>
    <mergeCell ref="AC4:AK4"/>
    <mergeCell ref="V4:X4"/>
    <mergeCell ref="AM6:AR6"/>
    <mergeCell ref="AC6:AK6"/>
    <mergeCell ref="I8:N8"/>
    <mergeCell ref="V5:X5"/>
    <mergeCell ref="V8:X8"/>
    <mergeCell ref="E8:G8"/>
    <mergeCell ref="V7:X7"/>
    <mergeCell ref="BB6:BG6"/>
    <mergeCell ref="B6:G6"/>
    <mergeCell ref="V6:X6"/>
    <mergeCell ref="Z6:AB6"/>
    <mergeCell ref="BB42:BG44"/>
    <mergeCell ref="BB7:BG7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zoomScale="120" zoomScaleNormal="120" workbookViewId="0">
      <selection activeCell="F43" sqref="F43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ENERO 2021</v>
      </c>
      <c r="E1" s="239"/>
      <c r="F1" s="239"/>
      <c r="G1" s="412" t="s">
        <v>88</v>
      </c>
      <c r="H1" s="413"/>
      <c r="I1" s="413"/>
      <c r="J1" s="413"/>
      <c r="K1" s="413"/>
      <c r="L1" s="18" t="s">
        <v>54</v>
      </c>
      <c r="N1" s="165"/>
      <c r="O1" s="166"/>
      <c r="P1" s="166"/>
      <c r="Q1" s="167" t="str">
        <f>D1</f>
        <v>ENERO 2021</v>
      </c>
      <c r="R1" s="166"/>
      <c r="S1" s="414" t="s">
        <v>89</v>
      </c>
      <c r="T1" s="415"/>
      <c r="U1" s="415"/>
      <c r="V1" s="415"/>
      <c r="W1" s="415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579.91999999999996</v>
      </c>
      <c r="C3" s="126" t="s">
        <v>65</v>
      </c>
      <c r="D3" s="126">
        <f>Prodiarias!V11</f>
        <v>200.756</v>
      </c>
      <c r="E3" s="126">
        <f>Prodiarias!AC11</f>
        <v>288.08</v>
      </c>
      <c r="F3" s="126">
        <f>Prodiarias!AM11</f>
        <v>137.13</v>
      </c>
      <c r="G3" s="126">
        <f>Prodiarias!AT11</f>
        <v>594.20098584830657</v>
      </c>
      <c r="H3" s="126">
        <f>Prodiarias!AX11</f>
        <v>437.59421211639375</v>
      </c>
      <c r="I3" s="126">
        <f>Prodiarias!BB11</f>
        <v>10.405469868023534</v>
      </c>
      <c r="J3" s="126">
        <f>SUM(B3:I3)</f>
        <v>2248.0866678327238</v>
      </c>
      <c r="K3" s="242">
        <f>J3*6.28</f>
        <v>14117.984273989507</v>
      </c>
      <c r="N3" s="125">
        <v>1</v>
      </c>
      <c r="O3" s="126">
        <f>B3*0.8</f>
        <v>463.93599999999998</v>
      </c>
      <c r="P3" s="126" t="s">
        <v>65</v>
      </c>
      <c r="Q3" s="126">
        <f t="shared" ref="Q3:Q33" si="0">D3</f>
        <v>200.756</v>
      </c>
      <c r="R3" s="126">
        <f t="shared" ref="R3:R33" si="1">E3*0.8</f>
        <v>230.464</v>
      </c>
      <c r="S3" s="126">
        <f t="shared" ref="S3:S33" si="2">F3*0.8</f>
        <v>109.70400000000001</v>
      </c>
      <c r="T3" s="126">
        <f t="shared" ref="T3:T33" si="3">G3</f>
        <v>594.20098584830657</v>
      </c>
      <c r="U3" s="126">
        <f t="shared" ref="U3:U33" si="4">H3</f>
        <v>437.59421211639375</v>
      </c>
      <c r="V3" s="127">
        <f t="shared" ref="V3:V33" si="5">I3*0.35</f>
        <v>3.6419144538082366</v>
      </c>
      <c r="W3" s="128">
        <f t="shared" ref="W3:W33" si="6">SUM(O3:V3)</f>
        <v>2040.2971124185085</v>
      </c>
      <c r="X3" s="138">
        <f>W3*6.28</f>
        <v>12813.065865988234</v>
      </c>
    </row>
    <row r="4" spans="1:24" ht="14.15" customHeight="1" x14ac:dyDescent="0.2">
      <c r="A4" s="135">
        <v>2</v>
      </c>
      <c r="B4" s="126">
        <f>Prodiarias!B12</f>
        <v>597.29999999999995</v>
      </c>
      <c r="C4" s="126" t="s">
        <v>65</v>
      </c>
      <c r="D4" s="126">
        <f>Prodiarias!V12</f>
        <v>199.9</v>
      </c>
      <c r="E4" s="126">
        <f>Prodiarias!AC12</f>
        <v>276.14999999999998</v>
      </c>
      <c r="F4" s="126">
        <f>Prodiarias!AM12</f>
        <v>124.2</v>
      </c>
      <c r="G4" s="126">
        <f>Prodiarias!AT12</f>
        <v>593.77166481157576</v>
      </c>
      <c r="H4" s="126">
        <f>Prodiarias!AX12</f>
        <v>437.295277468596</v>
      </c>
      <c r="I4" s="126">
        <f>Prodiarias!BB12</f>
        <v>6.9724916520909535</v>
      </c>
      <c r="J4" s="126">
        <f t="shared" ref="J4" si="7">SUM(B4:I4)</f>
        <v>2235.5894339322626</v>
      </c>
      <c r="K4" s="242">
        <f t="shared" ref="K4" si="8">J4*6.28</f>
        <v>14039.50164509461</v>
      </c>
      <c r="N4" s="125">
        <v>2</v>
      </c>
      <c r="O4" s="126">
        <f t="shared" ref="O4:O32" si="9">B4*0.8</f>
        <v>477.84</v>
      </c>
      <c r="P4" s="126" t="s">
        <v>65</v>
      </c>
      <c r="Q4" s="126">
        <f t="shared" si="0"/>
        <v>199.9</v>
      </c>
      <c r="R4" s="126">
        <f t="shared" si="1"/>
        <v>220.92</v>
      </c>
      <c r="S4" s="126">
        <f t="shared" si="2"/>
        <v>99.360000000000014</v>
      </c>
      <c r="T4" s="126">
        <f t="shared" si="3"/>
        <v>593.77166481157576</v>
      </c>
      <c r="U4" s="126">
        <f t="shared" si="4"/>
        <v>437.295277468596</v>
      </c>
      <c r="V4" s="127">
        <f t="shared" si="5"/>
        <v>2.4403720782318334</v>
      </c>
      <c r="W4" s="128">
        <f t="shared" si="6"/>
        <v>2031.5273143584034</v>
      </c>
      <c r="X4" s="138">
        <f t="shared" ref="X4:X32" si="10">W4*6.28</f>
        <v>12757.991534170773</v>
      </c>
    </row>
    <row r="5" spans="1:24" ht="14.15" customHeight="1" x14ac:dyDescent="0.2">
      <c r="A5" s="135">
        <v>3</v>
      </c>
      <c r="B5" s="126">
        <f>Prodiarias!B13</f>
        <v>586.13</v>
      </c>
      <c r="C5" s="126" t="s">
        <v>65</v>
      </c>
      <c r="D5" s="126">
        <f>Prodiarias!V13</f>
        <v>202.7</v>
      </c>
      <c r="E5" s="126">
        <f>Prodiarias!AC13</f>
        <v>301.14999999999998</v>
      </c>
      <c r="F5" s="126">
        <f>Prodiarias!AM13</f>
        <v>127.32</v>
      </c>
      <c r="G5" s="126">
        <f>Prodiarias!AT13</f>
        <v>592.3962474161234</v>
      </c>
      <c r="H5" s="126">
        <f>Prodiarias!AX13</f>
        <v>435.70042932103672</v>
      </c>
      <c r="I5" s="126">
        <f>Prodiarias!BB13</f>
        <v>10.885673397996502</v>
      </c>
      <c r="J5" s="126">
        <f t="shared" ref="J5:J33" si="11">SUM(B5:I5)</f>
        <v>2256.2823501351563</v>
      </c>
      <c r="K5" s="242">
        <f t="shared" ref="K5:K33" si="12">J5*6.28</f>
        <v>14169.453158848783</v>
      </c>
      <c r="N5" s="125">
        <v>3</v>
      </c>
      <c r="O5" s="126">
        <f t="shared" si="9"/>
        <v>468.904</v>
      </c>
      <c r="P5" s="126" t="s">
        <v>65</v>
      </c>
      <c r="Q5" s="126">
        <f t="shared" si="0"/>
        <v>202.7</v>
      </c>
      <c r="R5" s="126">
        <f t="shared" si="1"/>
        <v>240.92</v>
      </c>
      <c r="S5" s="126">
        <f t="shared" si="2"/>
        <v>101.85599999999999</v>
      </c>
      <c r="T5" s="126">
        <f t="shared" si="3"/>
        <v>592.3962474161234</v>
      </c>
      <c r="U5" s="126">
        <f t="shared" si="4"/>
        <v>435.70042932103672</v>
      </c>
      <c r="V5" s="127">
        <f t="shared" si="5"/>
        <v>3.8099856892987756</v>
      </c>
      <c r="W5" s="128">
        <f t="shared" si="6"/>
        <v>2046.2866624264591</v>
      </c>
      <c r="X5" s="138">
        <f t="shared" si="10"/>
        <v>12850.680240038164</v>
      </c>
    </row>
    <row r="6" spans="1:24" ht="14.15" customHeight="1" x14ac:dyDescent="0.2">
      <c r="A6" s="135">
        <v>4</v>
      </c>
      <c r="B6" s="126">
        <f>Prodiarias!B14</f>
        <v>642.91999999999996</v>
      </c>
      <c r="C6" s="126" t="s">
        <v>65</v>
      </c>
      <c r="D6" s="126">
        <f>Prodiarias!V14</f>
        <v>198.1</v>
      </c>
      <c r="E6" s="126">
        <f>Prodiarias!AC14</f>
        <v>292.48</v>
      </c>
      <c r="F6" s="126">
        <f>Prodiarias!AM14</f>
        <v>120.52</v>
      </c>
      <c r="G6" s="126">
        <f>Prodiarias!AT14</f>
        <v>592.62998886945468</v>
      </c>
      <c r="H6" s="126">
        <f>Prodiarias!AX14</f>
        <v>433.8018762919383</v>
      </c>
      <c r="I6" s="126">
        <f>Prodiarias!BB14</f>
        <v>9.4911750675783111</v>
      </c>
      <c r="J6" s="126">
        <f t="shared" si="11"/>
        <v>2289.9430402289713</v>
      </c>
      <c r="K6" s="242">
        <f t="shared" si="12"/>
        <v>14380.842292637941</v>
      </c>
      <c r="N6" s="125">
        <v>4</v>
      </c>
      <c r="O6" s="126">
        <f t="shared" si="9"/>
        <v>514.33600000000001</v>
      </c>
      <c r="P6" s="126" t="s">
        <v>65</v>
      </c>
      <c r="Q6" s="126">
        <f t="shared" si="0"/>
        <v>198.1</v>
      </c>
      <c r="R6" s="126">
        <f t="shared" si="1"/>
        <v>233.98400000000004</v>
      </c>
      <c r="S6" s="126">
        <f t="shared" si="2"/>
        <v>96.415999999999997</v>
      </c>
      <c r="T6" s="126">
        <f t="shared" si="3"/>
        <v>592.62998886945468</v>
      </c>
      <c r="U6" s="126">
        <f t="shared" si="4"/>
        <v>433.8018762919383</v>
      </c>
      <c r="V6" s="127">
        <f t="shared" si="5"/>
        <v>3.3219112736524088</v>
      </c>
      <c r="W6" s="128">
        <f t="shared" si="6"/>
        <v>2072.5897764350452</v>
      </c>
      <c r="X6" s="138">
        <f t="shared" si="10"/>
        <v>13015.863796012085</v>
      </c>
    </row>
    <row r="7" spans="1:24" ht="14.15" customHeight="1" x14ac:dyDescent="0.2">
      <c r="A7" s="135">
        <v>5</v>
      </c>
      <c r="B7" s="126">
        <f>Prodiarias!B15</f>
        <v>558.01</v>
      </c>
      <c r="C7" s="126" t="s">
        <v>65</v>
      </c>
      <c r="D7" s="126">
        <f>Prodiarias!V15</f>
        <v>198.6</v>
      </c>
      <c r="E7" s="126">
        <f>Prodiarias!AC15</f>
        <v>307.13</v>
      </c>
      <c r="F7" s="126">
        <f>Prodiarias!AM15</f>
        <v>125.48</v>
      </c>
      <c r="G7" s="126">
        <f>Prodiarias!AT15</f>
        <v>591.71410399109561</v>
      </c>
      <c r="H7" s="126">
        <f>Prodiarias!AX15</f>
        <v>433.00365717920175</v>
      </c>
      <c r="I7" s="126">
        <f>Prodiarias!BB15</f>
        <v>8.2222928923517262</v>
      </c>
      <c r="J7" s="126">
        <f t="shared" si="11"/>
        <v>2222.1600540626487</v>
      </c>
      <c r="K7" s="242">
        <f t="shared" si="12"/>
        <v>13955.165139513434</v>
      </c>
      <c r="N7" s="125">
        <v>5</v>
      </c>
      <c r="O7" s="126">
        <f t="shared" si="9"/>
        <v>446.40800000000002</v>
      </c>
      <c r="P7" s="126" t="s">
        <v>65</v>
      </c>
      <c r="Q7" s="126">
        <f t="shared" si="0"/>
        <v>198.6</v>
      </c>
      <c r="R7" s="126">
        <f t="shared" si="1"/>
        <v>245.70400000000001</v>
      </c>
      <c r="S7" s="126">
        <f t="shared" si="2"/>
        <v>100.38400000000001</v>
      </c>
      <c r="T7" s="126">
        <f t="shared" si="3"/>
        <v>591.71410399109561</v>
      </c>
      <c r="U7" s="126">
        <f t="shared" si="4"/>
        <v>433.00365717920175</v>
      </c>
      <c r="V7" s="127">
        <f t="shared" si="5"/>
        <v>2.8778025123231039</v>
      </c>
      <c r="W7" s="128">
        <f t="shared" si="6"/>
        <v>2018.6915636826207</v>
      </c>
      <c r="X7" s="138">
        <f t="shared" si="10"/>
        <v>12677.383019926858</v>
      </c>
    </row>
    <row r="8" spans="1:24" ht="14.15" customHeight="1" x14ac:dyDescent="0.2">
      <c r="A8" s="135">
        <v>6</v>
      </c>
      <c r="B8" s="126">
        <f>Prodiarias!B16</f>
        <v>569.4</v>
      </c>
      <c r="C8" s="126" t="s">
        <v>65</v>
      </c>
      <c r="D8" s="126">
        <f>Prodiarias!V16</f>
        <v>198.8</v>
      </c>
      <c r="E8" s="126">
        <f>Prodiarias!AC16</f>
        <v>310.14</v>
      </c>
      <c r="F8" s="126">
        <f>Prodiarias!AM16</f>
        <v>153.58000000000001</v>
      </c>
      <c r="G8" s="126">
        <f>Prodiarias!AT16</f>
        <v>593.18333598346328</v>
      </c>
      <c r="H8" s="126">
        <f>Prodiarias!AX16</f>
        <v>430.61217999681986</v>
      </c>
      <c r="I8" s="126">
        <f>Prodiarias!BB16</f>
        <v>11.798378120527907</v>
      </c>
      <c r="J8" s="126">
        <f t="shared" si="11"/>
        <v>2267.5138941008113</v>
      </c>
      <c r="K8" s="242">
        <f t="shared" si="12"/>
        <v>14239.987254953096</v>
      </c>
      <c r="N8" s="125">
        <v>6</v>
      </c>
      <c r="O8" s="126">
        <f t="shared" si="9"/>
        <v>455.52</v>
      </c>
      <c r="P8" s="126" t="s">
        <v>65</v>
      </c>
      <c r="Q8" s="126">
        <f t="shared" si="0"/>
        <v>198.8</v>
      </c>
      <c r="R8" s="126">
        <f t="shared" si="1"/>
        <v>248.11199999999999</v>
      </c>
      <c r="S8" s="126">
        <f t="shared" si="2"/>
        <v>122.86400000000002</v>
      </c>
      <c r="T8" s="126">
        <f t="shared" si="3"/>
        <v>593.18333598346328</v>
      </c>
      <c r="U8" s="126">
        <f t="shared" si="4"/>
        <v>430.61217999681986</v>
      </c>
      <c r="V8" s="127">
        <f t="shared" si="5"/>
        <v>4.1294323421847672</v>
      </c>
      <c r="W8" s="128">
        <f t="shared" si="6"/>
        <v>2053.2209483224678</v>
      </c>
      <c r="X8" s="138">
        <f t="shared" si="10"/>
        <v>12894.227555465099</v>
      </c>
    </row>
    <row r="9" spans="1:24" ht="14.15" customHeight="1" x14ac:dyDescent="0.2">
      <c r="A9" s="135">
        <v>7</v>
      </c>
      <c r="B9" s="126">
        <f>Prodiarias!B17</f>
        <v>613.17999999999995</v>
      </c>
      <c r="C9" s="126" t="s">
        <v>65</v>
      </c>
      <c r="D9" s="126">
        <f>Prodiarias!V17</f>
        <v>195.5</v>
      </c>
      <c r="E9" s="126">
        <f>Prodiarias!AC17</f>
        <v>311.38</v>
      </c>
      <c r="F9" s="126">
        <f>Prodiarias!AM17</f>
        <v>136.88999999999999</v>
      </c>
      <c r="G9" s="126">
        <f>Prodiarias!AT17</f>
        <v>560.39433932262682</v>
      </c>
      <c r="H9" s="126">
        <f>Prodiarias!AX17</f>
        <v>429.67721418349498</v>
      </c>
      <c r="I9" s="126">
        <f>Prodiarias!BB17</f>
        <v>8.7406582922563203</v>
      </c>
      <c r="J9" s="126">
        <f t="shared" si="11"/>
        <v>2255.7622117983778</v>
      </c>
      <c r="K9" s="242">
        <f t="shared" si="12"/>
        <v>14166.186690093813</v>
      </c>
      <c r="N9" s="125">
        <v>7</v>
      </c>
      <c r="O9" s="126">
        <f t="shared" si="9"/>
        <v>490.54399999999998</v>
      </c>
      <c r="P9" s="126" t="s">
        <v>65</v>
      </c>
      <c r="Q9" s="126">
        <f t="shared" si="0"/>
        <v>195.5</v>
      </c>
      <c r="R9" s="126">
        <f t="shared" si="1"/>
        <v>249.10400000000001</v>
      </c>
      <c r="S9" s="126">
        <f t="shared" si="2"/>
        <v>109.512</v>
      </c>
      <c r="T9" s="126">
        <f t="shared" si="3"/>
        <v>560.39433932262682</v>
      </c>
      <c r="U9" s="126">
        <f t="shared" si="4"/>
        <v>429.67721418349498</v>
      </c>
      <c r="V9" s="127">
        <f t="shared" si="5"/>
        <v>3.0592304022897121</v>
      </c>
      <c r="W9" s="128">
        <f t="shared" si="6"/>
        <v>2037.7907839084116</v>
      </c>
      <c r="X9" s="138">
        <f t="shared" si="10"/>
        <v>12797.326122944825</v>
      </c>
    </row>
    <row r="10" spans="1:24" ht="14.15" customHeight="1" x14ac:dyDescent="0.2">
      <c r="A10" s="135">
        <v>8</v>
      </c>
      <c r="B10" s="126">
        <f>Prodiarias!B18</f>
        <v>590.11</v>
      </c>
      <c r="C10" s="126" t="s">
        <v>65</v>
      </c>
      <c r="D10" s="126">
        <f>Prodiarias!V18</f>
        <v>198.1</v>
      </c>
      <c r="E10" s="126">
        <f>Prodiarias!AC18</f>
        <v>319.44</v>
      </c>
      <c r="F10" s="126">
        <f>Prodiarias!AM18</f>
        <v>132.22999999999999</v>
      </c>
      <c r="G10" s="126">
        <f>Prodiarias!AT18</f>
        <v>593.17061536015262</v>
      </c>
      <c r="H10" s="126">
        <f>Prodiarias!AX18</f>
        <v>427.76594053108602</v>
      </c>
      <c r="I10" s="126">
        <f>Prodiarias!BB18</f>
        <v>8.1411989187470191</v>
      </c>
      <c r="J10" s="126">
        <f t="shared" si="11"/>
        <v>2268.9577548099855</v>
      </c>
      <c r="K10" s="242">
        <f t="shared" si="12"/>
        <v>14249.054700206711</v>
      </c>
      <c r="N10" s="125">
        <v>8</v>
      </c>
      <c r="O10" s="126">
        <f t="shared" si="9"/>
        <v>472.08800000000002</v>
      </c>
      <c r="P10" s="126" t="s">
        <v>65</v>
      </c>
      <c r="Q10" s="126">
        <f t="shared" si="0"/>
        <v>198.1</v>
      </c>
      <c r="R10" s="126">
        <f t="shared" si="1"/>
        <v>255.55200000000002</v>
      </c>
      <c r="S10" s="126">
        <f t="shared" si="2"/>
        <v>105.78399999999999</v>
      </c>
      <c r="T10" s="126">
        <f t="shared" si="3"/>
        <v>593.17061536015262</v>
      </c>
      <c r="U10" s="126">
        <f t="shared" si="4"/>
        <v>427.76594053108602</v>
      </c>
      <c r="V10" s="127">
        <f t="shared" si="5"/>
        <v>2.8494196215614567</v>
      </c>
      <c r="W10" s="128">
        <f t="shared" si="6"/>
        <v>2055.3099755128001</v>
      </c>
      <c r="X10" s="138">
        <f t="shared" si="10"/>
        <v>12907.346646220385</v>
      </c>
    </row>
    <row r="11" spans="1:24" ht="14.15" customHeight="1" x14ac:dyDescent="0.2">
      <c r="A11" s="135">
        <v>9</v>
      </c>
      <c r="B11" s="126">
        <f>Prodiarias!B19</f>
        <v>606.76</v>
      </c>
      <c r="C11" s="126" t="s">
        <v>65</v>
      </c>
      <c r="D11" s="126">
        <f>Prodiarias!V19</f>
        <v>198.7</v>
      </c>
      <c r="E11" s="126">
        <f>Prodiarias!AC19</f>
        <v>304.63</v>
      </c>
      <c r="F11" s="126">
        <f>Prodiarias!AM19</f>
        <v>137.16999999999999</v>
      </c>
      <c r="G11" s="126">
        <f>Prodiarias!AT19</f>
        <v>594.83065670217843</v>
      </c>
      <c r="H11" s="126">
        <f>Prodiarias!AX19</f>
        <v>412.65543011607571</v>
      </c>
      <c r="I11" s="126">
        <f>Prodiarias!BB19</f>
        <v>7.7929718556209258</v>
      </c>
      <c r="J11" s="126">
        <f t="shared" si="11"/>
        <v>2262.5390586738754</v>
      </c>
      <c r="K11" s="242">
        <f t="shared" si="12"/>
        <v>14208.745288471939</v>
      </c>
      <c r="N11" s="125">
        <v>9</v>
      </c>
      <c r="O11" s="126">
        <f t="shared" si="9"/>
        <v>485.40800000000002</v>
      </c>
      <c r="P11" s="126" t="s">
        <v>65</v>
      </c>
      <c r="Q11" s="126">
        <f t="shared" si="0"/>
        <v>198.7</v>
      </c>
      <c r="R11" s="126">
        <f t="shared" si="1"/>
        <v>243.70400000000001</v>
      </c>
      <c r="S11" s="126">
        <f t="shared" si="2"/>
        <v>109.73599999999999</v>
      </c>
      <c r="T11" s="126">
        <f t="shared" si="3"/>
        <v>594.83065670217843</v>
      </c>
      <c r="U11" s="126">
        <f t="shared" si="4"/>
        <v>412.65543011607571</v>
      </c>
      <c r="V11" s="127">
        <f t="shared" si="5"/>
        <v>2.7275401494673237</v>
      </c>
      <c r="W11" s="128">
        <f t="shared" si="6"/>
        <v>2047.7616269677212</v>
      </c>
      <c r="X11" s="138">
        <f t="shared" si="10"/>
        <v>12859.943017357289</v>
      </c>
    </row>
    <row r="12" spans="1:24" ht="14.15" customHeight="1" x14ac:dyDescent="0.2">
      <c r="A12" s="135">
        <v>10</v>
      </c>
      <c r="B12" s="126">
        <f>Prodiarias!B20</f>
        <v>589.29999999999995</v>
      </c>
      <c r="C12" s="126" t="s">
        <v>65</v>
      </c>
      <c r="D12" s="126">
        <f>Prodiarias!V20</f>
        <v>198</v>
      </c>
      <c r="E12" s="126">
        <f>Prodiarias!AC20</f>
        <v>314.41000000000003</v>
      </c>
      <c r="F12" s="126">
        <f>Prodiarias!AM20</f>
        <v>130.9</v>
      </c>
      <c r="G12" s="126">
        <f>Prodiarias!AT20</f>
        <v>594.71140085864204</v>
      </c>
      <c r="H12" s="126">
        <f>Prodiarias!AX20</f>
        <v>423.94657338209572</v>
      </c>
      <c r="I12" s="126">
        <f>Prodiarias!BB20</f>
        <v>10.440451582127524</v>
      </c>
      <c r="J12" s="126">
        <f t="shared" si="11"/>
        <v>2261.7084258228656</v>
      </c>
      <c r="K12" s="242">
        <f t="shared" si="12"/>
        <v>14203.528914167597</v>
      </c>
      <c r="N12" s="125">
        <v>10</v>
      </c>
      <c r="O12" s="126">
        <f t="shared" si="9"/>
        <v>471.44</v>
      </c>
      <c r="P12" s="126" t="s">
        <v>65</v>
      </c>
      <c r="Q12" s="126">
        <f t="shared" si="0"/>
        <v>198</v>
      </c>
      <c r="R12" s="126">
        <f t="shared" si="1"/>
        <v>251.52800000000002</v>
      </c>
      <c r="S12" s="126">
        <f t="shared" si="2"/>
        <v>104.72000000000001</v>
      </c>
      <c r="T12" s="126">
        <f t="shared" si="3"/>
        <v>594.71140085864204</v>
      </c>
      <c r="U12" s="126">
        <f t="shared" si="4"/>
        <v>423.94657338209572</v>
      </c>
      <c r="V12" s="127">
        <f t="shared" si="5"/>
        <v>3.6541580537446334</v>
      </c>
      <c r="W12" s="128">
        <f t="shared" si="6"/>
        <v>2048.0001322944827</v>
      </c>
      <c r="X12" s="138">
        <f t="shared" si="10"/>
        <v>12861.440830809352</v>
      </c>
    </row>
    <row r="13" spans="1:24" ht="14.15" customHeight="1" x14ac:dyDescent="0.2">
      <c r="A13" s="135">
        <v>11</v>
      </c>
      <c r="B13" s="126">
        <f>Prodiarias!B21</f>
        <v>589.24</v>
      </c>
      <c r="C13" s="126" t="s">
        <v>65</v>
      </c>
      <c r="D13" s="126">
        <f>Prodiarias!V21</f>
        <v>194</v>
      </c>
      <c r="E13" s="126">
        <f>Prodiarias!AC21</f>
        <v>309.31</v>
      </c>
      <c r="F13" s="126">
        <f>Prodiarias!AM21</f>
        <v>129.16999999999999</v>
      </c>
      <c r="G13" s="126">
        <f>Prodiarias!AT21</f>
        <v>595.15662267451114</v>
      </c>
      <c r="H13" s="126">
        <f>Prodiarias!AX21</f>
        <v>423.77961520114491</v>
      </c>
      <c r="I13" s="126">
        <f>Prodiarias!BB21</f>
        <v>7.9487994911750679</v>
      </c>
      <c r="J13" s="126">
        <f t="shared" si="11"/>
        <v>2248.6050373668313</v>
      </c>
      <c r="K13" s="242">
        <f t="shared" si="12"/>
        <v>14121.239634663702</v>
      </c>
      <c r="N13" s="125">
        <v>11</v>
      </c>
      <c r="O13" s="126">
        <f t="shared" si="9"/>
        <v>471.39200000000005</v>
      </c>
      <c r="P13" s="126" t="s">
        <v>65</v>
      </c>
      <c r="Q13" s="126">
        <f t="shared" si="0"/>
        <v>194</v>
      </c>
      <c r="R13" s="126">
        <f t="shared" si="1"/>
        <v>247.44800000000001</v>
      </c>
      <c r="S13" s="126">
        <f t="shared" si="2"/>
        <v>103.336</v>
      </c>
      <c r="T13" s="126">
        <f t="shared" si="3"/>
        <v>595.15662267451114</v>
      </c>
      <c r="U13" s="126">
        <f t="shared" si="4"/>
        <v>423.77961520114491</v>
      </c>
      <c r="V13" s="127">
        <f t="shared" si="5"/>
        <v>2.7820798219112737</v>
      </c>
      <c r="W13" s="128">
        <f t="shared" si="6"/>
        <v>2037.8943176975674</v>
      </c>
      <c r="X13" s="138">
        <f t="shared" si="10"/>
        <v>12797.976315140724</v>
      </c>
    </row>
    <row r="14" spans="1:24" ht="14.15" customHeight="1" x14ac:dyDescent="0.2">
      <c r="A14" s="135">
        <v>12</v>
      </c>
      <c r="B14" s="126">
        <f>Prodiarias!B22</f>
        <v>573.09</v>
      </c>
      <c r="C14" s="126" t="s">
        <v>65</v>
      </c>
      <c r="D14" s="126">
        <f>Prodiarias!V22</f>
        <v>189</v>
      </c>
      <c r="E14" s="126">
        <f>Prodiarias!AC22</f>
        <v>301.64</v>
      </c>
      <c r="F14" s="126">
        <f>Prodiarias!AM22</f>
        <v>131</v>
      </c>
      <c r="G14" s="126">
        <f>Prodiarias!AT22</f>
        <v>594.80521545555735</v>
      </c>
      <c r="H14" s="126">
        <f>Prodiarias!AX22</f>
        <v>419.99681984417242</v>
      </c>
      <c r="I14" s="126">
        <f>Prodiarias!BB22</f>
        <v>11.448560979487995</v>
      </c>
      <c r="J14" s="126">
        <f t="shared" si="11"/>
        <v>2220.9805962792175</v>
      </c>
      <c r="K14" s="242">
        <f t="shared" si="12"/>
        <v>13947.758144633486</v>
      </c>
      <c r="N14" s="125">
        <v>12</v>
      </c>
      <c r="O14" s="126">
        <f t="shared" si="9"/>
        <v>458.47200000000004</v>
      </c>
      <c r="P14" s="126" t="s">
        <v>65</v>
      </c>
      <c r="Q14" s="126">
        <f t="shared" si="0"/>
        <v>189</v>
      </c>
      <c r="R14" s="126">
        <f t="shared" si="1"/>
        <v>241.31200000000001</v>
      </c>
      <c r="S14" s="126">
        <f t="shared" si="2"/>
        <v>104.80000000000001</v>
      </c>
      <c r="T14" s="126">
        <f t="shared" si="3"/>
        <v>594.80521545555735</v>
      </c>
      <c r="U14" s="126">
        <f t="shared" si="4"/>
        <v>419.99681984417242</v>
      </c>
      <c r="V14" s="127">
        <f t="shared" si="5"/>
        <v>4.0069963428207984</v>
      </c>
      <c r="W14" s="128">
        <f t="shared" si="6"/>
        <v>2012.3930316425508</v>
      </c>
      <c r="X14" s="138">
        <f t="shared" si="10"/>
        <v>12637.828238715219</v>
      </c>
    </row>
    <row r="15" spans="1:24" ht="14.15" customHeight="1" x14ac:dyDescent="0.2">
      <c r="A15" s="135">
        <v>13</v>
      </c>
      <c r="B15" s="126">
        <f>Prodiarias!B23</f>
        <v>576.07000000000005</v>
      </c>
      <c r="C15" s="126" t="s">
        <v>65</v>
      </c>
      <c r="D15" s="126">
        <f>Prodiarias!V23</f>
        <v>189.4</v>
      </c>
      <c r="E15" s="126">
        <f>Prodiarias!AC23</f>
        <v>281.92</v>
      </c>
      <c r="F15" s="126">
        <f>Prodiarias!AM23</f>
        <v>132.62</v>
      </c>
      <c r="G15" s="126">
        <f>Prodiarias!AT23</f>
        <v>593.4631896962951</v>
      </c>
      <c r="H15" s="126">
        <f>Prodiarias!AX23</f>
        <v>423.14994434727305</v>
      </c>
      <c r="I15" s="126">
        <f>Prodiarias!BB23</f>
        <v>8.6150421370647159</v>
      </c>
      <c r="J15" s="126">
        <f t="shared" si="11"/>
        <v>2205.2381761806332</v>
      </c>
      <c r="K15" s="242">
        <f t="shared" si="12"/>
        <v>13848.895746414377</v>
      </c>
      <c r="N15" s="125">
        <v>13</v>
      </c>
      <c r="O15" s="126">
        <f t="shared" si="9"/>
        <v>460.85600000000005</v>
      </c>
      <c r="P15" s="126" t="s">
        <v>65</v>
      </c>
      <c r="Q15" s="126">
        <f t="shared" si="0"/>
        <v>189.4</v>
      </c>
      <c r="R15" s="126">
        <f t="shared" si="1"/>
        <v>225.53600000000003</v>
      </c>
      <c r="S15" s="126">
        <f t="shared" si="2"/>
        <v>106.096</v>
      </c>
      <c r="T15" s="126">
        <f t="shared" si="3"/>
        <v>593.4631896962951</v>
      </c>
      <c r="U15" s="126">
        <f t="shared" si="4"/>
        <v>423.14994434727305</v>
      </c>
      <c r="V15" s="127">
        <f t="shared" si="5"/>
        <v>3.0152647479726502</v>
      </c>
      <c r="W15" s="128">
        <f t="shared" si="6"/>
        <v>2001.516398791541</v>
      </c>
      <c r="X15" s="138">
        <f t="shared" si="10"/>
        <v>12569.522984410878</v>
      </c>
    </row>
    <row r="16" spans="1:24" ht="14.15" customHeight="1" x14ac:dyDescent="0.2">
      <c r="A16" s="135">
        <v>14</v>
      </c>
      <c r="B16" s="126">
        <f>Prodiarias!B24</f>
        <v>537.16999999999996</v>
      </c>
      <c r="C16" s="126" t="s">
        <v>65</v>
      </c>
      <c r="D16" s="126">
        <f>Prodiarias!V24</f>
        <v>187.8</v>
      </c>
      <c r="E16" s="126">
        <f>Prodiarias!AC24</f>
        <v>286.23</v>
      </c>
      <c r="F16" s="126">
        <f>Prodiarias!AM24</f>
        <v>109.91</v>
      </c>
      <c r="G16" s="126">
        <f>Prodiarias!AT24</f>
        <v>591.93353474320247</v>
      </c>
      <c r="H16" s="126">
        <f>Prodiarias!AX24</f>
        <v>423.30100174908569</v>
      </c>
      <c r="I16" s="126">
        <f>Prodiarias!BB24</f>
        <v>7.856574972173636</v>
      </c>
      <c r="J16" s="126">
        <f t="shared" si="11"/>
        <v>2144.201111464462</v>
      </c>
      <c r="K16" s="242">
        <f t="shared" si="12"/>
        <v>13465.582979996821</v>
      </c>
      <c r="N16" s="125">
        <v>14</v>
      </c>
      <c r="O16" s="126">
        <f t="shared" si="9"/>
        <v>429.73599999999999</v>
      </c>
      <c r="P16" s="126" t="s">
        <v>65</v>
      </c>
      <c r="Q16" s="126">
        <f t="shared" si="0"/>
        <v>187.8</v>
      </c>
      <c r="R16" s="126">
        <f t="shared" si="1"/>
        <v>228.98400000000004</v>
      </c>
      <c r="S16" s="126">
        <f t="shared" si="2"/>
        <v>87.927999999999997</v>
      </c>
      <c r="T16" s="126">
        <f t="shared" si="3"/>
        <v>591.93353474320247</v>
      </c>
      <c r="U16" s="126">
        <f t="shared" si="4"/>
        <v>423.30100174908569</v>
      </c>
      <c r="V16" s="127">
        <f t="shared" si="5"/>
        <v>2.7498012402607723</v>
      </c>
      <c r="W16" s="128">
        <f t="shared" si="6"/>
        <v>1952.4323377325491</v>
      </c>
      <c r="X16" s="138">
        <f t="shared" si="10"/>
        <v>12261.275080960409</v>
      </c>
    </row>
    <row r="17" spans="1:24" ht="14.15" customHeight="1" x14ac:dyDescent="0.2">
      <c r="A17" s="135">
        <v>15</v>
      </c>
      <c r="B17" s="126">
        <f>Prodiarias!B25</f>
        <v>567.01</v>
      </c>
      <c r="C17" s="126" t="s">
        <v>65</v>
      </c>
      <c r="D17" s="126">
        <f>Prodiarias!V25</f>
        <v>187</v>
      </c>
      <c r="E17" s="126">
        <f>Prodiarias!AC25</f>
        <v>287.54000000000002</v>
      </c>
      <c r="F17" s="126">
        <f>Prodiarias!AM25</f>
        <v>129.63999999999999</v>
      </c>
      <c r="G17" s="126">
        <f>Prodiarias!AT25</f>
        <v>591.66004134202581</v>
      </c>
      <c r="H17" s="126">
        <f>Prodiarias!AX25</f>
        <v>409.94275719510262</v>
      </c>
      <c r="I17" s="126">
        <f>Prodiarias!BB25</f>
        <v>10.116075687708697</v>
      </c>
      <c r="J17" s="126">
        <f t="shared" si="11"/>
        <v>2182.9088742248373</v>
      </c>
      <c r="K17" s="242">
        <f t="shared" si="12"/>
        <v>13708.66773013198</v>
      </c>
      <c r="N17" s="125">
        <v>15</v>
      </c>
      <c r="O17" s="126">
        <f t="shared" si="9"/>
        <v>453.608</v>
      </c>
      <c r="P17" s="126" t="s">
        <v>65</v>
      </c>
      <c r="Q17" s="126">
        <f t="shared" si="0"/>
        <v>187</v>
      </c>
      <c r="R17" s="126">
        <f t="shared" si="1"/>
        <v>230.03200000000004</v>
      </c>
      <c r="S17" s="126">
        <f t="shared" si="2"/>
        <v>103.71199999999999</v>
      </c>
      <c r="T17" s="126">
        <f t="shared" si="3"/>
        <v>591.66004134202581</v>
      </c>
      <c r="U17" s="126">
        <f t="shared" si="4"/>
        <v>409.94275719510262</v>
      </c>
      <c r="V17" s="127">
        <f t="shared" si="5"/>
        <v>3.540626490698044</v>
      </c>
      <c r="W17" s="128">
        <f t="shared" si="6"/>
        <v>1979.4954250278265</v>
      </c>
      <c r="X17" s="138">
        <f t="shared" si="10"/>
        <v>12431.23126917475</v>
      </c>
    </row>
    <row r="18" spans="1:24" ht="14.15" customHeight="1" x14ac:dyDescent="0.2">
      <c r="A18" s="135">
        <v>16</v>
      </c>
      <c r="B18" s="126">
        <f>Prodiarias!B26</f>
        <v>611.88</v>
      </c>
      <c r="C18" s="126" t="s">
        <v>65</v>
      </c>
      <c r="D18" s="126">
        <f>Prodiarias!V26</f>
        <v>187.2</v>
      </c>
      <c r="E18" s="126">
        <f>Prodiarias!AC26</f>
        <v>292.94</v>
      </c>
      <c r="F18" s="126">
        <f>Prodiarias!AM26</f>
        <v>138.43</v>
      </c>
      <c r="G18" s="126">
        <f>Prodiarias!AT26</f>
        <v>588.49737637144221</v>
      </c>
      <c r="H18" s="126">
        <f>Prodiarias!AX26</f>
        <v>423.94180314835432</v>
      </c>
      <c r="I18" s="126">
        <f>Prodiarias!BB26</f>
        <v>9.0507234854507885</v>
      </c>
      <c r="J18" s="126">
        <f t="shared" si="11"/>
        <v>2251.9399030052473</v>
      </c>
      <c r="K18" s="242">
        <f t="shared" si="12"/>
        <v>14142.182590872953</v>
      </c>
      <c r="N18" s="125">
        <v>16</v>
      </c>
      <c r="O18" s="126">
        <f t="shared" si="9"/>
        <v>489.50400000000002</v>
      </c>
      <c r="P18" s="126" t="s">
        <v>65</v>
      </c>
      <c r="Q18" s="126">
        <f t="shared" si="0"/>
        <v>187.2</v>
      </c>
      <c r="R18" s="126">
        <f t="shared" si="1"/>
        <v>234.352</v>
      </c>
      <c r="S18" s="126">
        <f t="shared" si="2"/>
        <v>110.74400000000001</v>
      </c>
      <c r="T18" s="126">
        <f t="shared" si="3"/>
        <v>588.49737637144221</v>
      </c>
      <c r="U18" s="126">
        <f t="shared" si="4"/>
        <v>423.94180314835432</v>
      </c>
      <c r="V18" s="127">
        <f t="shared" si="5"/>
        <v>3.1677532199077758</v>
      </c>
      <c r="W18" s="128">
        <f t="shared" si="6"/>
        <v>2037.4069327397042</v>
      </c>
      <c r="X18" s="138">
        <f t="shared" si="10"/>
        <v>12794.915537605342</v>
      </c>
    </row>
    <row r="19" spans="1:24" ht="14.15" customHeight="1" x14ac:dyDescent="0.2">
      <c r="A19" s="135">
        <v>17</v>
      </c>
      <c r="B19" s="126">
        <f>Prodiarias!B27</f>
        <v>623.5</v>
      </c>
      <c r="C19" s="126" t="s">
        <v>65</v>
      </c>
      <c r="D19" s="126">
        <f>Prodiarias!V27</f>
        <v>186.1</v>
      </c>
      <c r="E19" s="126">
        <f>Prodiarias!AC27</f>
        <v>293.81</v>
      </c>
      <c r="F19" s="126">
        <f>Prodiarias!AM27</f>
        <v>139.94999999999999</v>
      </c>
      <c r="G19" s="126">
        <f>Prodiarias!AT27</f>
        <v>580.96517729368747</v>
      </c>
      <c r="H19" s="126">
        <f>Prodiarias!AX27</f>
        <v>423.13722372396251</v>
      </c>
      <c r="I19" s="126">
        <f>Prodiarias!BB27</f>
        <v>9.3750993798696136</v>
      </c>
      <c r="J19" s="126">
        <f t="shared" si="11"/>
        <v>2256.8375003975198</v>
      </c>
      <c r="K19" s="242">
        <f t="shared" si="12"/>
        <v>14172.939502496425</v>
      </c>
      <c r="N19" s="125">
        <v>17</v>
      </c>
      <c r="O19" s="126">
        <f t="shared" si="9"/>
        <v>498.8</v>
      </c>
      <c r="P19" s="126" t="s">
        <v>65</v>
      </c>
      <c r="Q19" s="126">
        <f t="shared" si="0"/>
        <v>186.1</v>
      </c>
      <c r="R19" s="126">
        <f t="shared" si="1"/>
        <v>235.048</v>
      </c>
      <c r="S19" s="126">
        <f t="shared" si="2"/>
        <v>111.96</v>
      </c>
      <c r="T19" s="126">
        <f t="shared" si="3"/>
        <v>580.96517729368747</v>
      </c>
      <c r="U19" s="126">
        <f t="shared" si="4"/>
        <v>423.13722372396251</v>
      </c>
      <c r="V19" s="127">
        <f t="shared" si="5"/>
        <v>3.2812847829543648</v>
      </c>
      <c r="W19" s="128">
        <f t="shared" si="6"/>
        <v>2039.2916858006042</v>
      </c>
      <c r="X19" s="138">
        <f t="shared" si="10"/>
        <v>12806.751786827796</v>
      </c>
    </row>
    <row r="20" spans="1:24" ht="14.15" customHeight="1" x14ac:dyDescent="0.2">
      <c r="A20" s="135">
        <v>18</v>
      </c>
      <c r="B20" s="126">
        <f>Prodiarias!B28</f>
        <v>614.51</v>
      </c>
      <c r="C20" s="126" t="s">
        <v>65</v>
      </c>
      <c r="D20" s="126">
        <f>Prodiarias!V28</f>
        <v>186.7</v>
      </c>
      <c r="E20" s="126">
        <f>Prodiarias!AC28</f>
        <v>277.31</v>
      </c>
      <c r="F20" s="126">
        <f>Prodiarias!AM28</f>
        <v>131.47999999999999</v>
      </c>
      <c r="G20" s="126">
        <f>Prodiarias!AT28</f>
        <v>579.87438384480845</v>
      </c>
      <c r="H20" s="126">
        <f>Prodiarias!AX28</f>
        <v>422.83033868659561</v>
      </c>
      <c r="I20" s="126">
        <f>Prodiarias!BB28</f>
        <v>9.4307521068532374</v>
      </c>
      <c r="J20" s="126">
        <f t="shared" si="11"/>
        <v>2222.1354746382572</v>
      </c>
      <c r="K20" s="242">
        <f t="shared" si="12"/>
        <v>13955.010780728255</v>
      </c>
      <c r="N20" s="125">
        <v>18</v>
      </c>
      <c r="O20" s="126">
        <f t="shared" si="9"/>
        <v>491.608</v>
      </c>
      <c r="P20" s="126" t="s">
        <v>65</v>
      </c>
      <c r="Q20" s="126">
        <f t="shared" si="0"/>
        <v>186.7</v>
      </c>
      <c r="R20" s="126">
        <f t="shared" si="1"/>
        <v>221.84800000000001</v>
      </c>
      <c r="S20" s="126">
        <f t="shared" si="2"/>
        <v>105.184</v>
      </c>
      <c r="T20" s="126">
        <f t="shared" si="3"/>
        <v>579.87438384480845</v>
      </c>
      <c r="U20" s="126">
        <f t="shared" si="4"/>
        <v>422.83033868659561</v>
      </c>
      <c r="V20" s="127">
        <f t="shared" si="5"/>
        <v>3.3007632373986331</v>
      </c>
      <c r="W20" s="128">
        <f t="shared" si="6"/>
        <v>2011.3454857688023</v>
      </c>
      <c r="X20" s="138">
        <f t="shared" si="10"/>
        <v>12631.249650628079</v>
      </c>
    </row>
    <row r="21" spans="1:24" ht="14.15" customHeight="1" x14ac:dyDescent="0.2">
      <c r="A21" s="135">
        <v>19</v>
      </c>
      <c r="B21" s="126">
        <f>Prodiarias!B29</f>
        <v>622.91999999999996</v>
      </c>
      <c r="C21" s="126" t="s">
        <v>65</v>
      </c>
      <c r="D21" s="126">
        <f>Prodiarias!V29</f>
        <v>186.7</v>
      </c>
      <c r="E21" s="126">
        <f>Prodiarias!AC29</f>
        <v>295.38</v>
      </c>
      <c r="F21" s="126">
        <f>Prodiarias!AM29</f>
        <v>133.97</v>
      </c>
      <c r="G21" s="126">
        <f>Prodiarias!AT29</f>
        <v>573.75735411035146</v>
      </c>
      <c r="H21" s="126">
        <f>Prodiarias!AX29</f>
        <v>422.39783749403722</v>
      </c>
      <c r="I21" s="126">
        <f>Prodiarias!BB29</f>
        <v>8.1570996978851955</v>
      </c>
      <c r="J21" s="126">
        <f t="shared" si="11"/>
        <v>2243.2822913022737</v>
      </c>
      <c r="K21" s="242">
        <f t="shared" si="12"/>
        <v>14087.81278937828</v>
      </c>
      <c r="N21" s="125">
        <v>19</v>
      </c>
      <c r="O21" s="126">
        <f t="shared" si="9"/>
        <v>498.33600000000001</v>
      </c>
      <c r="P21" s="126" t="s">
        <v>65</v>
      </c>
      <c r="Q21" s="126">
        <f t="shared" si="0"/>
        <v>186.7</v>
      </c>
      <c r="R21" s="126">
        <f t="shared" si="1"/>
        <v>236.304</v>
      </c>
      <c r="S21" s="126">
        <f t="shared" si="2"/>
        <v>107.176</v>
      </c>
      <c r="T21" s="126">
        <f t="shared" si="3"/>
        <v>573.75735411035146</v>
      </c>
      <c r="U21" s="126">
        <f t="shared" si="4"/>
        <v>422.39783749403722</v>
      </c>
      <c r="V21" s="127">
        <f t="shared" si="5"/>
        <v>2.8549848942598182</v>
      </c>
      <c r="W21" s="128">
        <f t="shared" si="6"/>
        <v>2027.5261764986487</v>
      </c>
      <c r="X21" s="138">
        <f t="shared" si="10"/>
        <v>12732.864388411515</v>
      </c>
    </row>
    <row r="22" spans="1:24" ht="14.15" customHeight="1" x14ac:dyDescent="0.2">
      <c r="A22" s="135">
        <v>20</v>
      </c>
      <c r="B22" s="126">
        <f>Prodiarias!B30</f>
        <v>615.4</v>
      </c>
      <c r="C22" s="126" t="s">
        <v>65</v>
      </c>
      <c r="D22" s="126">
        <f>Prodiarias!V30</f>
        <v>184.6</v>
      </c>
      <c r="E22" s="126">
        <f>Prodiarias!AC30</f>
        <v>189.83</v>
      </c>
      <c r="F22" s="126">
        <f>Prodiarias!AM30</f>
        <v>117.85</v>
      </c>
      <c r="G22" s="126">
        <f>Prodiarias!AT30</f>
        <v>570.46271267292093</v>
      </c>
      <c r="H22" s="126">
        <f>Prodiarias!AX30</f>
        <v>421.92399427571951</v>
      </c>
      <c r="I22" s="126">
        <f>Prodiarias!BB30</f>
        <v>10.470663062490061</v>
      </c>
      <c r="J22" s="126">
        <f t="shared" si="11"/>
        <v>2110.5373700111304</v>
      </c>
      <c r="K22" s="242">
        <f t="shared" si="12"/>
        <v>13254.1746836699</v>
      </c>
      <c r="N22" s="125">
        <v>20</v>
      </c>
      <c r="O22" s="126">
        <f t="shared" si="9"/>
        <v>492.32</v>
      </c>
      <c r="P22" s="126" t="s">
        <v>65</v>
      </c>
      <c r="Q22" s="126">
        <f t="shared" si="0"/>
        <v>184.6</v>
      </c>
      <c r="R22" s="126">
        <f t="shared" si="1"/>
        <v>151.864</v>
      </c>
      <c r="S22" s="126">
        <f t="shared" si="2"/>
        <v>94.28</v>
      </c>
      <c r="T22" s="126">
        <f t="shared" si="3"/>
        <v>570.46271267292093</v>
      </c>
      <c r="U22" s="126">
        <f t="shared" si="4"/>
        <v>421.92399427571951</v>
      </c>
      <c r="V22" s="127">
        <f t="shared" si="5"/>
        <v>3.6647320718715211</v>
      </c>
      <c r="W22" s="128">
        <f t="shared" si="6"/>
        <v>1919.1154390205118</v>
      </c>
      <c r="X22" s="138">
        <f t="shared" si="10"/>
        <v>12052.044957048814</v>
      </c>
    </row>
    <row r="23" spans="1:24" ht="14.15" customHeight="1" x14ac:dyDescent="0.2">
      <c r="A23" s="135">
        <v>21</v>
      </c>
      <c r="B23" s="126">
        <f>Prodiarias!B31</f>
        <v>615.41999999999996</v>
      </c>
      <c r="C23" s="126" t="s">
        <v>65</v>
      </c>
      <c r="D23" s="126">
        <f>Prodiarias!V31</f>
        <v>184.6</v>
      </c>
      <c r="E23" s="126">
        <f>Prodiarias!AC31</f>
        <v>296.83</v>
      </c>
      <c r="F23" s="126">
        <f>Prodiarias!AM31</f>
        <v>103.21</v>
      </c>
      <c r="G23" s="126">
        <f>Prodiarias!AT31</f>
        <v>608.19049133407543</v>
      </c>
      <c r="H23" s="126">
        <f>Prodiarias!AX31</f>
        <v>421.42629988869453</v>
      </c>
      <c r="I23" s="126">
        <f>Prodiarias!BB31</f>
        <v>7.9774208936237878</v>
      </c>
      <c r="J23" s="126">
        <f t="shared" si="11"/>
        <v>2237.6542121163934</v>
      </c>
      <c r="K23" s="242">
        <f t="shared" si="12"/>
        <v>14052.46845209095</v>
      </c>
      <c r="N23" s="125">
        <v>21</v>
      </c>
      <c r="O23" s="126">
        <f t="shared" si="9"/>
        <v>492.33600000000001</v>
      </c>
      <c r="P23" s="126" t="s">
        <v>65</v>
      </c>
      <c r="Q23" s="126">
        <f t="shared" si="0"/>
        <v>184.6</v>
      </c>
      <c r="R23" s="126">
        <f t="shared" si="1"/>
        <v>237.464</v>
      </c>
      <c r="S23" s="126">
        <f t="shared" si="2"/>
        <v>82.567999999999998</v>
      </c>
      <c r="T23" s="126">
        <f t="shared" si="3"/>
        <v>608.19049133407543</v>
      </c>
      <c r="U23" s="126">
        <f t="shared" si="4"/>
        <v>421.42629988869453</v>
      </c>
      <c r="V23" s="127">
        <f t="shared" si="5"/>
        <v>2.7920973127683255</v>
      </c>
      <c r="W23" s="128">
        <f t="shared" si="6"/>
        <v>2029.3768885355385</v>
      </c>
      <c r="X23" s="138">
        <f t="shared" si="10"/>
        <v>12744.486860003182</v>
      </c>
    </row>
    <row r="24" spans="1:24" ht="14.15" customHeight="1" x14ac:dyDescent="0.2">
      <c r="A24" s="135">
        <v>22</v>
      </c>
      <c r="B24" s="126">
        <f>Prodiarias!B32</f>
        <v>617.22</v>
      </c>
      <c r="C24" s="126" t="s">
        <v>65</v>
      </c>
      <c r="D24" s="126">
        <f>Prodiarias!V32</f>
        <v>185.5</v>
      </c>
      <c r="E24" s="126">
        <f>Prodiarias!AC32</f>
        <v>293.72000000000003</v>
      </c>
      <c r="F24" s="126">
        <f>Prodiarias!AM32</f>
        <v>124.16</v>
      </c>
      <c r="G24" s="126">
        <f>Prodiarias!AT32</f>
        <v>664.74797265066002</v>
      </c>
      <c r="H24" s="126">
        <f>Prodiarias!AX32</f>
        <v>422.6729209731277</v>
      </c>
      <c r="I24" s="126">
        <f>Prodiarias!BB32</f>
        <v>8.2207028144379084</v>
      </c>
      <c r="J24" s="126">
        <f t="shared" si="11"/>
        <v>2316.2415964382258</v>
      </c>
      <c r="K24" s="242">
        <f t="shared" si="12"/>
        <v>14545.997225632058</v>
      </c>
      <c r="N24" s="125">
        <v>22</v>
      </c>
      <c r="O24" s="126">
        <f t="shared" si="9"/>
        <v>493.77600000000007</v>
      </c>
      <c r="P24" s="126" t="s">
        <v>65</v>
      </c>
      <c r="Q24" s="126">
        <f t="shared" si="0"/>
        <v>185.5</v>
      </c>
      <c r="R24" s="126">
        <f t="shared" si="1"/>
        <v>234.97600000000003</v>
      </c>
      <c r="S24" s="126">
        <f t="shared" si="2"/>
        <v>99.328000000000003</v>
      </c>
      <c r="T24" s="126">
        <f t="shared" si="3"/>
        <v>664.74797265066002</v>
      </c>
      <c r="U24" s="126">
        <f t="shared" si="4"/>
        <v>422.6729209731277</v>
      </c>
      <c r="V24" s="127">
        <f t="shared" si="5"/>
        <v>2.8772459850532677</v>
      </c>
      <c r="W24" s="128">
        <f t="shared" si="6"/>
        <v>2103.8781396088411</v>
      </c>
      <c r="X24" s="138">
        <f t="shared" si="10"/>
        <v>13212.354716743523</v>
      </c>
    </row>
    <row r="25" spans="1:24" ht="14.15" customHeight="1" x14ac:dyDescent="0.2">
      <c r="A25" s="135">
        <v>23</v>
      </c>
      <c r="B25" s="126">
        <f>Prodiarias!B33</f>
        <v>609.75</v>
      </c>
      <c r="C25" s="126" t="s">
        <v>65</v>
      </c>
      <c r="D25" s="126">
        <f>Prodiarias!V33</f>
        <v>190.6</v>
      </c>
      <c r="E25" s="126">
        <f>Prodiarias!AC33</f>
        <v>285.19</v>
      </c>
      <c r="F25" s="126">
        <f>Prodiarias!AM33</f>
        <v>124.79</v>
      </c>
      <c r="G25" s="126">
        <f>Prodiarias!AT33</f>
        <v>669.35283828907632</v>
      </c>
      <c r="H25" s="126">
        <f>Prodiarias!AX33</f>
        <v>422.53617427253937</v>
      </c>
      <c r="I25" s="126">
        <f>Prodiarias!BB33</f>
        <v>9.2701542375576409</v>
      </c>
      <c r="J25" s="126">
        <f t="shared" si="11"/>
        <v>2311.4891667991733</v>
      </c>
      <c r="K25" s="242">
        <f t="shared" si="12"/>
        <v>14516.151967498809</v>
      </c>
      <c r="N25" s="125">
        <v>23</v>
      </c>
      <c r="O25" s="126">
        <f t="shared" si="9"/>
        <v>487.8</v>
      </c>
      <c r="P25" s="126" t="s">
        <v>65</v>
      </c>
      <c r="Q25" s="126">
        <f t="shared" si="0"/>
        <v>190.6</v>
      </c>
      <c r="R25" s="126">
        <f t="shared" si="1"/>
        <v>228.15200000000002</v>
      </c>
      <c r="S25" s="126">
        <f t="shared" si="2"/>
        <v>99.832000000000008</v>
      </c>
      <c r="T25" s="126">
        <f t="shared" si="3"/>
        <v>669.35283828907632</v>
      </c>
      <c r="U25" s="126">
        <f t="shared" si="4"/>
        <v>422.53617427253937</v>
      </c>
      <c r="V25" s="127">
        <f t="shared" si="5"/>
        <v>3.244553983145174</v>
      </c>
      <c r="W25" s="128">
        <f t="shared" si="6"/>
        <v>2101.5175665447609</v>
      </c>
      <c r="X25" s="138">
        <f t="shared" si="10"/>
        <v>13197.530317901099</v>
      </c>
    </row>
    <row r="26" spans="1:24" ht="14.15" customHeight="1" x14ac:dyDescent="0.2">
      <c r="A26" s="135">
        <v>24</v>
      </c>
      <c r="B26" s="126">
        <f>Prodiarias!B34</f>
        <v>608.05999999999995</v>
      </c>
      <c r="C26" s="126" t="s">
        <v>65</v>
      </c>
      <c r="D26" s="126">
        <f>Prodiarias!V34</f>
        <v>189.7</v>
      </c>
      <c r="E26" s="126">
        <f>Prodiarias!AC34</f>
        <v>291</v>
      </c>
      <c r="F26" s="126">
        <f>Prodiarias!AM34</f>
        <v>130.24</v>
      </c>
      <c r="G26" s="126">
        <f>Prodiarias!AT34</f>
        <v>669.02210208300198</v>
      </c>
      <c r="H26" s="126">
        <f>Prodiarias!AX34</f>
        <v>422.69677214183497</v>
      </c>
      <c r="I26" s="126">
        <f>Prodiarias!BB34</f>
        <v>8.5228176180632857</v>
      </c>
      <c r="J26" s="126">
        <f t="shared" si="11"/>
        <v>2319.2416918428999</v>
      </c>
      <c r="K26" s="242">
        <f t="shared" si="12"/>
        <v>14564.837824773411</v>
      </c>
      <c r="N26" s="125">
        <v>24</v>
      </c>
      <c r="O26" s="126">
        <f t="shared" si="9"/>
        <v>486.44799999999998</v>
      </c>
      <c r="P26" s="126" t="s">
        <v>65</v>
      </c>
      <c r="Q26" s="126">
        <f t="shared" si="0"/>
        <v>189.7</v>
      </c>
      <c r="R26" s="126">
        <f t="shared" si="1"/>
        <v>232.8</v>
      </c>
      <c r="S26" s="126">
        <f t="shared" si="2"/>
        <v>104.19200000000001</v>
      </c>
      <c r="T26" s="126">
        <f t="shared" si="3"/>
        <v>669.02210208300198</v>
      </c>
      <c r="U26" s="126">
        <f t="shared" si="4"/>
        <v>422.69677214183497</v>
      </c>
      <c r="V26" s="127">
        <f t="shared" si="5"/>
        <v>2.9829861663221497</v>
      </c>
      <c r="W26" s="128">
        <f t="shared" si="6"/>
        <v>2107.8418603911587</v>
      </c>
      <c r="X26" s="138">
        <f t="shared" si="10"/>
        <v>13237.246883256477</v>
      </c>
    </row>
    <row r="27" spans="1:24" ht="14.15" customHeight="1" x14ac:dyDescent="0.2">
      <c r="A27" s="135">
        <v>25</v>
      </c>
      <c r="B27" s="126">
        <f>Prodiarias!B35</f>
        <v>585.20000000000005</v>
      </c>
      <c r="C27" s="126" t="s">
        <v>65</v>
      </c>
      <c r="D27" s="126">
        <f>Prodiarias!V35</f>
        <v>193.9</v>
      </c>
      <c r="E27" s="126">
        <f>Prodiarias!AC35</f>
        <v>285.88</v>
      </c>
      <c r="F27" s="126">
        <f>Prodiarias!AM35</f>
        <v>124.23</v>
      </c>
      <c r="G27" s="126">
        <f>Prodiarias!AT35</f>
        <v>670.03657179201775</v>
      </c>
      <c r="H27" s="126">
        <f>Prodiarias!AX35</f>
        <v>422.36444585784704</v>
      </c>
      <c r="I27" s="126">
        <f>Prodiarias!BB35</f>
        <v>10.149467323898872</v>
      </c>
      <c r="J27" s="126">
        <f t="shared" si="11"/>
        <v>2291.7604849737636</v>
      </c>
      <c r="K27" s="242">
        <f t="shared" si="12"/>
        <v>14392.255845635236</v>
      </c>
      <c r="N27" s="125">
        <v>25</v>
      </c>
      <c r="O27" s="126">
        <f t="shared" si="9"/>
        <v>468.16000000000008</v>
      </c>
      <c r="P27" s="126" t="s">
        <v>65</v>
      </c>
      <c r="Q27" s="126">
        <f t="shared" si="0"/>
        <v>193.9</v>
      </c>
      <c r="R27" s="126">
        <f t="shared" si="1"/>
        <v>228.70400000000001</v>
      </c>
      <c r="S27" s="126">
        <f t="shared" si="2"/>
        <v>99.384000000000015</v>
      </c>
      <c r="T27" s="126">
        <f t="shared" si="3"/>
        <v>670.03657179201775</v>
      </c>
      <c r="U27" s="126">
        <f t="shared" si="4"/>
        <v>422.36444585784704</v>
      </c>
      <c r="V27" s="127">
        <f t="shared" si="5"/>
        <v>3.552313563364605</v>
      </c>
      <c r="W27" s="128">
        <f t="shared" si="6"/>
        <v>2086.1013312132295</v>
      </c>
      <c r="X27" s="138">
        <f t="shared" si="10"/>
        <v>13100.716360019082</v>
      </c>
    </row>
    <row r="28" spans="1:24" ht="14.15" customHeight="1" x14ac:dyDescent="0.2">
      <c r="A28" s="135">
        <v>26</v>
      </c>
      <c r="B28" s="126">
        <f>Prodiarias!B36</f>
        <v>622.5</v>
      </c>
      <c r="C28" s="126" t="s">
        <v>65</v>
      </c>
      <c r="D28" s="126">
        <f>Prodiarias!V36</f>
        <v>194.5</v>
      </c>
      <c r="E28" s="126">
        <f>Prodiarias!AC36</f>
        <v>288.27</v>
      </c>
      <c r="F28" s="126">
        <f>Prodiarias!AM36</f>
        <v>136.88999999999999</v>
      </c>
      <c r="G28" s="126">
        <f>Prodiarias!AT36</f>
        <v>670.28462394657345</v>
      </c>
      <c r="H28" s="126">
        <f>Prodiarias!AX36</f>
        <v>422.69200190809352</v>
      </c>
      <c r="I28" s="126">
        <f>Prodiarias!BB36</f>
        <v>9.4641437430434099</v>
      </c>
      <c r="J28" s="126">
        <f t="shared" si="11"/>
        <v>2344.60076959771</v>
      </c>
      <c r="K28" s="242">
        <f t="shared" si="12"/>
        <v>14724.092833073619</v>
      </c>
      <c r="N28" s="125">
        <v>26</v>
      </c>
      <c r="O28" s="126">
        <f t="shared" si="9"/>
        <v>498</v>
      </c>
      <c r="P28" s="126" t="s">
        <v>65</v>
      </c>
      <c r="Q28" s="126">
        <f t="shared" si="0"/>
        <v>194.5</v>
      </c>
      <c r="R28" s="126">
        <f t="shared" si="1"/>
        <v>230.61599999999999</v>
      </c>
      <c r="S28" s="126">
        <f t="shared" si="2"/>
        <v>109.512</v>
      </c>
      <c r="T28" s="126">
        <f t="shared" si="3"/>
        <v>670.28462394657345</v>
      </c>
      <c r="U28" s="126">
        <f t="shared" si="4"/>
        <v>422.69200190809352</v>
      </c>
      <c r="V28" s="127">
        <f t="shared" si="5"/>
        <v>3.3124503100651932</v>
      </c>
      <c r="W28" s="128">
        <f t="shared" si="6"/>
        <v>2128.917076164732</v>
      </c>
      <c r="X28" s="138">
        <f t="shared" si="10"/>
        <v>13369.599238314517</v>
      </c>
    </row>
    <row r="29" spans="1:24" ht="14.15" customHeight="1" x14ac:dyDescent="0.2">
      <c r="A29" s="135">
        <v>27</v>
      </c>
      <c r="B29" s="126">
        <f>Prodiarias!B37</f>
        <v>610.24</v>
      </c>
      <c r="C29" s="126" t="s">
        <v>65</v>
      </c>
      <c r="D29" s="126">
        <f>Prodiarias!V37</f>
        <v>191.6</v>
      </c>
      <c r="E29" s="126">
        <f>Prodiarias!AC37</f>
        <v>308.12</v>
      </c>
      <c r="F29" s="126">
        <f>Prodiarias!AM37</f>
        <v>131.69999999999999</v>
      </c>
      <c r="G29" s="126">
        <f>Prodiarias!AT37</f>
        <v>677.41930354587373</v>
      </c>
      <c r="H29" s="126">
        <f>Prodiarias!AX37</f>
        <v>422.67610112895534</v>
      </c>
      <c r="I29" s="126">
        <f>Prodiarias!BB37</f>
        <v>8.6341230720305298</v>
      </c>
      <c r="J29" s="126">
        <f t="shared" si="11"/>
        <v>2350.3895277468596</v>
      </c>
      <c r="K29" s="242">
        <f t="shared" si="12"/>
        <v>14760.446234250279</v>
      </c>
      <c r="N29" s="125">
        <v>27</v>
      </c>
      <c r="O29" s="126">
        <f t="shared" si="9"/>
        <v>488.19200000000001</v>
      </c>
      <c r="P29" s="126" t="s">
        <v>65</v>
      </c>
      <c r="Q29" s="126">
        <f t="shared" si="0"/>
        <v>191.6</v>
      </c>
      <c r="R29" s="126">
        <f t="shared" si="1"/>
        <v>246.49600000000001</v>
      </c>
      <c r="S29" s="126">
        <f t="shared" si="2"/>
        <v>105.36</v>
      </c>
      <c r="T29" s="126">
        <f t="shared" si="3"/>
        <v>677.41930354587373</v>
      </c>
      <c r="U29" s="126">
        <f t="shared" si="4"/>
        <v>422.67610112895534</v>
      </c>
      <c r="V29" s="127">
        <f t="shared" si="5"/>
        <v>3.0219430752106851</v>
      </c>
      <c r="W29" s="128">
        <f t="shared" si="6"/>
        <v>2134.7653477500398</v>
      </c>
      <c r="X29" s="138">
        <f t="shared" si="10"/>
        <v>13406.326383870251</v>
      </c>
    </row>
    <row r="30" spans="1:24" ht="14.15" customHeight="1" x14ac:dyDescent="0.2">
      <c r="A30" s="135">
        <v>28</v>
      </c>
      <c r="B30" s="126">
        <f>Prodiarias!B38</f>
        <v>604.70000000000005</v>
      </c>
      <c r="C30" s="126" t="s">
        <v>65</v>
      </c>
      <c r="D30" s="126">
        <f>Prodiarias!V38</f>
        <v>193.6</v>
      </c>
      <c r="E30" s="126">
        <f>Prodiarias!AC38</f>
        <v>304.18466000000001</v>
      </c>
      <c r="F30" s="126">
        <f>Prodiarias!AM38</f>
        <v>124.87</v>
      </c>
      <c r="G30" s="126">
        <f>Prodiarias!AT38</f>
        <v>670.08268405151853</v>
      </c>
      <c r="H30" s="126">
        <f>Prodiarias!AX38</f>
        <v>422.82079821911276</v>
      </c>
      <c r="I30" s="126">
        <f>Prodiarias!BB38</f>
        <v>7.8390841151216408</v>
      </c>
      <c r="J30" s="126">
        <f t="shared" si="11"/>
        <v>2328.0972263857529</v>
      </c>
      <c r="K30" s="242">
        <f t="shared" si="12"/>
        <v>14620.450581702529</v>
      </c>
      <c r="N30" s="125">
        <v>28</v>
      </c>
      <c r="O30" s="126">
        <f t="shared" si="9"/>
        <v>483.76000000000005</v>
      </c>
      <c r="P30" s="126" t="s">
        <v>65</v>
      </c>
      <c r="Q30" s="126">
        <f t="shared" si="0"/>
        <v>193.6</v>
      </c>
      <c r="R30" s="126">
        <f t="shared" si="1"/>
        <v>243.34772800000002</v>
      </c>
      <c r="S30" s="126">
        <f t="shared" si="2"/>
        <v>99.896000000000015</v>
      </c>
      <c r="T30" s="126">
        <f t="shared" si="3"/>
        <v>670.08268405151853</v>
      </c>
      <c r="U30" s="126">
        <f t="shared" si="4"/>
        <v>422.82079821911276</v>
      </c>
      <c r="V30" s="127">
        <f t="shared" si="5"/>
        <v>2.7436794402925742</v>
      </c>
      <c r="W30" s="128">
        <f t="shared" si="6"/>
        <v>2116.2508897109237</v>
      </c>
      <c r="X30" s="138">
        <f t="shared" si="10"/>
        <v>13290.055587384602</v>
      </c>
    </row>
    <row r="31" spans="1:24" ht="14.15" customHeight="1" x14ac:dyDescent="0.2">
      <c r="A31" s="135">
        <v>29</v>
      </c>
      <c r="B31" s="126">
        <f>Prodiarias!B39</f>
        <v>633.5</v>
      </c>
      <c r="C31" s="126" t="s">
        <v>65</v>
      </c>
      <c r="D31" s="126">
        <f>Prodiarias!V39</f>
        <v>193.5</v>
      </c>
      <c r="E31" s="126">
        <f>Prodiarias!AC39</f>
        <v>304.23</v>
      </c>
      <c r="F31" s="126">
        <f>Prodiarias!AM39</f>
        <v>130.81</v>
      </c>
      <c r="G31" s="126">
        <f>Prodiarias!AM39</f>
        <v>130.81</v>
      </c>
      <c r="H31" s="126">
        <f>Prodiarias!AX39</f>
        <v>422.9988869454603</v>
      </c>
      <c r="I31" s="126">
        <f>Prodiarias!BB39</f>
        <v>10.352997296867548</v>
      </c>
      <c r="J31" s="126">
        <f t="shared" si="11"/>
        <v>1826.2018842423277</v>
      </c>
      <c r="K31" s="242">
        <f t="shared" si="12"/>
        <v>11468.547833041817</v>
      </c>
      <c r="N31" s="125">
        <v>29</v>
      </c>
      <c r="O31" s="126">
        <f t="shared" si="9"/>
        <v>506.8</v>
      </c>
      <c r="P31" s="126" t="s">
        <v>65</v>
      </c>
      <c r="Q31" s="126">
        <f t="shared" si="0"/>
        <v>193.5</v>
      </c>
      <c r="R31" s="126">
        <f t="shared" si="1"/>
        <v>243.38400000000001</v>
      </c>
      <c r="S31" s="126">
        <f t="shared" si="2"/>
        <v>104.64800000000001</v>
      </c>
      <c r="T31" s="126">
        <f t="shared" si="3"/>
        <v>130.81</v>
      </c>
      <c r="U31" s="126">
        <f t="shared" si="4"/>
        <v>422.9988869454603</v>
      </c>
      <c r="V31" s="127">
        <f t="shared" si="5"/>
        <v>3.6235490539036412</v>
      </c>
      <c r="W31" s="128">
        <f t="shared" si="6"/>
        <v>1605.7644359993637</v>
      </c>
      <c r="X31" s="138">
        <f t="shared" si="10"/>
        <v>10084.200658076004</v>
      </c>
    </row>
    <row r="32" spans="1:24" ht="14.15" customHeight="1" x14ac:dyDescent="0.2">
      <c r="A32" s="135">
        <v>30</v>
      </c>
      <c r="B32" s="126">
        <f>Prodiarias!B40</f>
        <v>597.76</v>
      </c>
      <c r="C32" s="126" t="s">
        <v>65</v>
      </c>
      <c r="D32" s="126">
        <f>Prodiarias!V40</f>
        <v>191.4</v>
      </c>
      <c r="E32" s="126">
        <f>Prodiarias!AC40</f>
        <v>311.74</v>
      </c>
      <c r="F32" s="126">
        <f>Prodiarias!AM40</f>
        <v>130.99</v>
      </c>
      <c r="G32" s="126">
        <f>Prodiarias!AT40</f>
        <v>673.19605660677371</v>
      </c>
      <c r="H32" s="126">
        <f>Prodiarias!AX40</f>
        <v>423.19764668468753</v>
      </c>
      <c r="I32" s="126">
        <f>Prodiarias!BB40</f>
        <v>8.2652249960248056</v>
      </c>
      <c r="J32" s="126">
        <f t="shared" si="11"/>
        <v>2336.548928287486</v>
      </c>
      <c r="K32" s="242">
        <f t="shared" si="12"/>
        <v>14673.527269645412</v>
      </c>
      <c r="N32" s="125">
        <v>30</v>
      </c>
      <c r="O32" s="126">
        <f t="shared" si="9"/>
        <v>478.20800000000003</v>
      </c>
      <c r="P32" s="126" t="s">
        <v>65</v>
      </c>
      <c r="Q32" s="126">
        <f t="shared" si="0"/>
        <v>191.4</v>
      </c>
      <c r="R32" s="126">
        <f t="shared" si="1"/>
        <v>249.39200000000002</v>
      </c>
      <c r="S32" s="126">
        <f t="shared" si="2"/>
        <v>104.79200000000002</v>
      </c>
      <c r="T32" s="126">
        <f t="shared" si="3"/>
        <v>673.19605660677371</v>
      </c>
      <c r="U32" s="126">
        <f t="shared" si="4"/>
        <v>423.19764668468753</v>
      </c>
      <c r="V32" s="127">
        <f t="shared" si="5"/>
        <v>2.8928287486086819</v>
      </c>
      <c r="W32" s="128">
        <f t="shared" si="6"/>
        <v>2123.0785320400701</v>
      </c>
      <c r="X32" s="138">
        <f t="shared" si="10"/>
        <v>13332.93318121164</v>
      </c>
    </row>
    <row r="33" spans="1:27" ht="10.5" thickBot="1" x14ac:dyDescent="0.25">
      <c r="A33" s="130">
        <v>31</v>
      </c>
      <c r="B33" s="126">
        <f>Prodiarias!B41</f>
        <v>614.99</v>
      </c>
      <c r="C33" s="126" t="s">
        <v>65</v>
      </c>
      <c r="D33" s="126">
        <f>Prodiarias!V41</f>
        <v>187.5</v>
      </c>
      <c r="E33" s="126">
        <f>Prodiarias!AC41</f>
        <v>289.77999999999997</v>
      </c>
      <c r="F33" s="126">
        <f>Prodiarias!AM41</f>
        <v>137.72999999999999</v>
      </c>
      <c r="G33" s="126">
        <f>Prodiarias!AT41</f>
        <v>675.41739545237715</v>
      </c>
      <c r="H33" s="126">
        <f>Prodiarias!AX41</f>
        <v>423.00365717920181</v>
      </c>
      <c r="I33" s="126">
        <f>Prodiarias!BB41</f>
        <v>8.8630942916202908</v>
      </c>
      <c r="J33" s="126">
        <f t="shared" si="11"/>
        <v>2337.2841469231994</v>
      </c>
      <c r="K33" s="242">
        <f t="shared" si="12"/>
        <v>14678.144442677692</v>
      </c>
      <c r="N33" s="130">
        <v>31</v>
      </c>
      <c r="O33" s="131">
        <f>B33*0.8</f>
        <v>491.99200000000002</v>
      </c>
      <c r="P33" s="131" t="s">
        <v>65</v>
      </c>
      <c r="Q33" s="131">
        <f t="shared" si="0"/>
        <v>187.5</v>
      </c>
      <c r="R33" s="131">
        <f t="shared" si="1"/>
        <v>231.82399999999998</v>
      </c>
      <c r="S33" s="131">
        <f t="shared" si="2"/>
        <v>110.184</v>
      </c>
      <c r="T33" s="131">
        <f t="shared" si="3"/>
        <v>675.41739545237715</v>
      </c>
      <c r="U33" s="131">
        <f t="shared" si="4"/>
        <v>423.00365717920181</v>
      </c>
      <c r="V33" s="132">
        <f t="shared" si="5"/>
        <v>3.1020830020671015</v>
      </c>
      <c r="W33" s="133">
        <f t="shared" si="6"/>
        <v>2123.0231356336462</v>
      </c>
      <c r="X33" s="137">
        <f>W33*6.28</f>
        <v>13332.585291779298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08" t="s">
        <v>78</v>
      </c>
      <c r="C36" s="408"/>
      <c r="D36" s="408"/>
      <c r="E36" s="408"/>
      <c r="F36" s="408"/>
      <c r="G36" s="408"/>
      <c r="H36" s="408"/>
      <c r="I36" s="408"/>
      <c r="O36" s="408" t="s">
        <v>77</v>
      </c>
      <c r="P36" s="408"/>
      <c r="Q36" s="408"/>
      <c r="R36" s="408"/>
      <c r="S36" s="408"/>
      <c r="T36" s="408"/>
      <c r="U36" s="408"/>
      <c r="V36" s="408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405.00900000000001</v>
      </c>
      <c r="C38" s="126">
        <f>Prodiarias!O11/1000</f>
        <v>7.3780000000000001</v>
      </c>
      <c r="D38" s="126" t="s">
        <v>65</v>
      </c>
      <c r="E38" s="126">
        <f>Prodiarias!AF11/1000</f>
        <v>154.01400000000001</v>
      </c>
      <c r="F38" s="126">
        <f>Prodiarias!AP11/1000</f>
        <v>101.86799999999999</v>
      </c>
      <c r="G38" s="126" t="s">
        <v>65</v>
      </c>
      <c r="H38" s="126" t="s">
        <v>65</v>
      </c>
      <c r="I38" s="126">
        <f>Prodiarias!BE11</f>
        <v>264.2937</v>
      </c>
      <c r="J38" s="126">
        <f>SUM(B38:I38)</f>
        <v>932.56269999999995</v>
      </c>
      <c r="K38" s="129">
        <f>J38*35.336/1000</f>
        <v>32.95303556719999</v>
      </c>
      <c r="L38" s="139">
        <f>J38/1000*6289</f>
        <v>5864.8868203000002</v>
      </c>
      <c r="N38" s="125">
        <v>1</v>
      </c>
      <c r="O38" s="126">
        <f>B38*0.8</f>
        <v>324.00720000000001</v>
      </c>
      <c r="P38" s="126">
        <f>C38*0.5</f>
        <v>3.6890000000000001</v>
      </c>
      <c r="Q38" s="126" t="s">
        <v>65</v>
      </c>
      <c r="R38" s="126">
        <f t="shared" ref="R38:R68" si="13">E38*0.3172</f>
        <v>48.853240800000002</v>
      </c>
      <c r="S38" s="126">
        <f t="shared" ref="S38:S68" si="14">F38*0.8</f>
        <v>81.494399999999999</v>
      </c>
      <c r="T38" s="126" t="s">
        <v>65</v>
      </c>
      <c r="U38" s="126" t="s">
        <v>65</v>
      </c>
      <c r="V38" s="126">
        <f t="shared" ref="V38:V68" si="15">I38*0.35</f>
        <v>92.502794999999992</v>
      </c>
      <c r="W38" s="126">
        <f t="shared" ref="W38:W68" si="16">SUM(O38:V38)</f>
        <v>550.54663579999999</v>
      </c>
      <c r="X38" s="129">
        <f>W38*35.336/1000</f>
        <v>19.454115922628802</v>
      </c>
      <c r="Y38" s="139">
        <f>W38/1000*6289</f>
        <v>3462.3877925461998</v>
      </c>
    </row>
    <row r="39" spans="1:27" x14ac:dyDescent="0.2">
      <c r="A39" s="125">
        <v>2</v>
      </c>
      <c r="B39" s="126">
        <f>Prodiarias!E12/1000</f>
        <v>396.839</v>
      </c>
      <c r="C39" s="126">
        <f>Prodiarias!O12/1000</f>
        <v>7.593</v>
      </c>
      <c r="D39" s="126" t="s">
        <v>65</v>
      </c>
      <c r="E39" s="126">
        <f>Prodiarias!AF12/1000</f>
        <v>153.465</v>
      </c>
      <c r="F39" s="126">
        <f>Prodiarias!AP12/1000</f>
        <v>103.699</v>
      </c>
      <c r="G39" s="126" t="s">
        <v>65</v>
      </c>
      <c r="H39" s="126" t="s">
        <v>65</v>
      </c>
      <c r="I39" s="126">
        <f>Prodiarias!BE12</f>
        <v>252.86049999999997</v>
      </c>
      <c r="J39" s="126">
        <f t="shared" ref="J39:J49" si="17">SUM(B39:I39)</f>
        <v>914.45650000000001</v>
      </c>
      <c r="K39" s="129">
        <f t="shared" ref="K39:K49" si="18">J39*35.336/1000</f>
        <v>32.313234883999996</v>
      </c>
      <c r="L39" s="139">
        <f>J39/1000*6289</f>
        <v>5751.0169285000002</v>
      </c>
      <c r="N39" s="125">
        <v>2</v>
      </c>
      <c r="O39" s="126">
        <f t="shared" ref="O39:O53" si="19">B39*0.8</f>
        <v>317.47120000000001</v>
      </c>
      <c r="P39" s="126">
        <f t="shared" ref="P39:P68" si="20">C39*0.5</f>
        <v>3.7965</v>
      </c>
      <c r="Q39" s="126" t="s">
        <v>65</v>
      </c>
      <c r="R39" s="126">
        <f t="shared" si="13"/>
        <v>48.679097999999996</v>
      </c>
      <c r="S39" s="126">
        <f t="shared" si="14"/>
        <v>82.95920000000001</v>
      </c>
      <c r="T39" s="126" t="s">
        <v>65</v>
      </c>
      <c r="U39" s="126" t="s">
        <v>65</v>
      </c>
      <c r="V39" s="126">
        <f t="shared" si="15"/>
        <v>88.501174999999989</v>
      </c>
      <c r="W39" s="126">
        <f t="shared" si="16"/>
        <v>541.40717300000006</v>
      </c>
      <c r="X39" s="129">
        <f t="shared" ref="X39:X67" si="21">W39*35.336/1000</f>
        <v>19.131163865128002</v>
      </c>
      <c r="Y39" s="139">
        <f t="shared" ref="Y39:Y53" si="22">W39/1000*6289</f>
        <v>3404.9097109970003</v>
      </c>
      <c r="AA39" s="18" t="s">
        <v>54</v>
      </c>
    </row>
    <row r="40" spans="1:27" x14ac:dyDescent="0.2">
      <c r="A40" s="125">
        <v>3</v>
      </c>
      <c r="B40" s="126">
        <f>Prodiarias!E13/1000</f>
        <v>392.02699999999999</v>
      </c>
      <c r="C40" s="126">
        <f>Prodiarias!O13/1000</f>
        <v>8.0549999999999997</v>
      </c>
      <c r="D40" s="126" t="s">
        <v>65</v>
      </c>
      <c r="E40" s="126">
        <f>Prodiarias!AF13/1000</f>
        <v>147.78800000000001</v>
      </c>
      <c r="F40" s="126">
        <f>Prodiarias!AP13/1000</f>
        <v>108.643</v>
      </c>
      <c r="G40" s="126" t="s">
        <v>65</v>
      </c>
      <c r="H40" s="126" t="s">
        <v>65</v>
      </c>
      <c r="I40" s="126">
        <f>Prodiarias!BE13</f>
        <v>265.19929999999999</v>
      </c>
      <c r="J40" s="126">
        <f t="shared" si="17"/>
        <v>921.71230000000003</v>
      </c>
      <c r="K40" s="129">
        <f t="shared" si="18"/>
        <v>32.5696258328</v>
      </c>
      <c r="L40" s="139">
        <f>J40/1000*6289</f>
        <v>5796.6486547000004</v>
      </c>
      <c r="N40" s="125">
        <v>3</v>
      </c>
      <c r="O40" s="126">
        <f t="shared" si="19"/>
        <v>313.6216</v>
      </c>
      <c r="P40" s="126">
        <f t="shared" si="20"/>
        <v>4.0274999999999999</v>
      </c>
      <c r="Q40" s="126" t="s">
        <v>65</v>
      </c>
      <c r="R40" s="126">
        <f t="shared" si="13"/>
        <v>46.878353600000004</v>
      </c>
      <c r="S40" s="126">
        <f t="shared" si="14"/>
        <v>86.914400000000001</v>
      </c>
      <c r="T40" s="126" t="s">
        <v>65</v>
      </c>
      <c r="U40" s="126" t="s">
        <v>65</v>
      </c>
      <c r="V40" s="126">
        <f t="shared" si="15"/>
        <v>92.819754999999986</v>
      </c>
      <c r="W40" s="126">
        <f t="shared" si="16"/>
        <v>544.26160860000005</v>
      </c>
      <c r="X40" s="129">
        <f t="shared" si="21"/>
        <v>19.232028201489602</v>
      </c>
      <c r="Y40" s="139">
        <f t="shared" si="22"/>
        <v>3422.8612564854002</v>
      </c>
      <c r="AA40" s="18" t="s">
        <v>54</v>
      </c>
    </row>
    <row r="41" spans="1:27" x14ac:dyDescent="0.2">
      <c r="A41" s="125">
        <v>4</v>
      </c>
      <c r="B41" s="126">
        <f>Prodiarias!E14/1000</f>
        <v>391.37</v>
      </c>
      <c r="C41" s="126">
        <f>Prodiarias!O14/1000</f>
        <v>7.9720000000000004</v>
      </c>
      <c r="D41" s="126" t="s">
        <v>65</v>
      </c>
      <c r="E41" s="126">
        <f>Prodiarias!AF14/1000</f>
        <v>147.03</v>
      </c>
      <c r="F41" s="126">
        <f>Prodiarias!AP14/1000</f>
        <v>111.601</v>
      </c>
      <c r="G41" s="126" t="s">
        <v>65</v>
      </c>
      <c r="H41" s="126" t="s">
        <v>65</v>
      </c>
      <c r="I41" s="126">
        <f>Prodiarias!BE14</f>
        <v>264.26539999999994</v>
      </c>
      <c r="J41" s="126">
        <f t="shared" si="17"/>
        <v>922.23839999999996</v>
      </c>
      <c r="K41" s="129">
        <f t="shared" si="18"/>
        <v>32.588216102399997</v>
      </c>
      <c r="L41" s="139">
        <f t="shared" ref="L41:L49" si="23">J41/1000*6289</f>
        <v>5799.957297599999</v>
      </c>
      <c r="N41" s="125">
        <v>4</v>
      </c>
      <c r="O41" s="126">
        <f t="shared" si="19"/>
        <v>313.096</v>
      </c>
      <c r="P41" s="126">
        <f t="shared" si="20"/>
        <v>3.9860000000000002</v>
      </c>
      <c r="Q41" s="126" t="s">
        <v>65</v>
      </c>
      <c r="R41" s="126">
        <f t="shared" si="13"/>
        <v>46.637915999999997</v>
      </c>
      <c r="S41" s="126">
        <f t="shared" si="14"/>
        <v>89.280799999999999</v>
      </c>
      <c r="T41" s="126" t="s">
        <v>65</v>
      </c>
      <c r="U41" s="126" t="s">
        <v>65</v>
      </c>
      <c r="V41" s="126">
        <f t="shared" si="15"/>
        <v>92.492889999999974</v>
      </c>
      <c r="W41" s="126">
        <f t="shared" si="16"/>
        <v>545.493606</v>
      </c>
      <c r="X41" s="129">
        <f t="shared" si="21"/>
        <v>19.275562061615997</v>
      </c>
      <c r="Y41" s="139">
        <f t="shared" si="22"/>
        <v>3430.6092881339996</v>
      </c>
    </row>
    <row r="42" spans="1:27" x14ac:dyDescent="0.2">
      <c r="A42" s="125">
        <v>5</v>
      </c>
      <c r="B42" s="126">
        <f>Prodiarias!E15/1000</f>
        <v>406.42899999999997</v>
      </c>
      <c r="C42" s="126">
        <f>Prodiarias!O15/1000</f>
        <v>7.9420000000000002</v>
      </c>
      <c r="D42" s="126" t="s">
        <v>65</v>
      </c>
      <c r="E42" s="126">
        <f>Prodiarias!AF15/1000</f>
        <v>147.50700000000001</v>
      </c>
      <c r="F42" s="126">
        <f>Prodiarias!AP15/1000</f>
        <v>110.55</v>
      </c>
      <c r="G42" s="126" t="s">
        <v>65</v>
      </c>
      <c r="H42" s="126" t="s">
        <v>65</v>
      </c>
      <c r="I42" s="126">
        <f>Prodiarias!BE15</f>
        <v>262.82209999999998</v>
      </c>
      <c r="J42" s="126">
        <f t="shared" si="17"/>
        <v>935.25009999999986</v>
      </c>
      <c r="K42" s="129">
        <f t="shared" si="18"/>
        <v>33.04799753359999</v>
      </c>
      <c r="L42" s="139">
        <f t="shared" si="23"/>
        <v>5881.7878788999988</v>
      </c>
      <c r="N42" s="125">
        <v>5</v>
      </c>
      <c r="O42" s="126">
        <f t="shared" si="19"/>
        <v>325.14319999999998</v>
      </c>
      <c r="P42" s="126">
        <f t="shared" si="20"/>
        <v>3.9710000000000001</v>
      </c>
      <c r="Q42" s="126" t="s">
        <v>65</v>
      </c>
      <c r="R42" s="126">
        <f t="shared" si="13"/>
        <v>46.789220399999998</v>
      </c>
      <c r="S42" s="126">
        <f t="shared" si="14"/>
        <v>88.44</v>
      </c>
      <c r="T42" s="126" t="s">
        <v>65</v>
      </c>
      <c r="U42" s="126" t="s">
        <v>65</v>
      </c>
      <c r="V42" s="126">
        <f t="shared" si="15"/>
        <v>91.987734999999986</v>
      </c>
      <c r="W42" s="126">
        <f t="shared" si="16"/>
        <v>556.33115539999994</v>
      </c>
      <c r="X42" s="129">
        <f t="shared" si="21"/>
        <v>19.658517707214397</v>
      </c>
      <c r="Y42" s="139">
        <f t="shared" si="22"/>
        <v>3498.7666363105991</v>
      </c>
    </row>
    <row r="43" spans="1:27" x14ac:dyDescent="0.2">
      <c r="A43" s="125">
        <v>6</v>
      </c>
      <c r="B43" s="126">
        <f>Prodiarias!E16/1000</f>
        <v>408.09500000000003</v>
      </c>
      <c r="C43" s="126">
        <f>Prodiarias!O16/1000</f>
        <v>7.7080000000000002</v>
      </c>
      <c r="D43" s="126" t="s">
        <v>65</v>
      </c>
      <c r="E43" s="126">
        <f>Prodiarias!AF16/1000</f>
        <v>154.54900000000001</v>
      </c>
      <c r="F43" s="126">
        <f>Prodiarias!AP16/1000</f>
        <v>110.01</v>
      </c>
      <c r="G43" s="126" t="s">
        <v>65</v>
      </c>
      <c r="H43" s="126" t="s">
        <v>65</v>
      </c>
      <c r="I43" s="126">
        <f>Prodiarias!BE16</f>
        <v>262.85039999999998</v>
      </c>
      <c r="J43" s="126">
        <f t="shared" si="17"/>
        <v>943.21240000000012</v>
      </c>
      <c r="K43" s="129">
        <f t="shared" si="18"/>
        <v>33.329353366400007</v>
      </c>
      <c r="L43" s="139">
        <f t="shared" si="23"/>
        <v>5931.8627836000005</v>
      </c>
      <c r="N43" s="125">
        <v>6</v>
      </c>
      <c r="O43" s="126">
        <f t="shared" si="19"/>
        <v>326.47600000000006</v>
      </c>
      <c r="P43" s="126">
        <f t="shared" si="20"/>
        <v>3.8540000000000001</v>
      </c>
      <c r="Q43" s="126" t="s">
        <v>65</v>
      </c>
      <c r="R43" s="126">
        <f t="shared" si="13"/>
        <v>49.022942800000003</v>
      </c>
      <c r="S43" s="126">
        <f t="shared" si="14"/>
        <v>88.00800000000001</v>
      </c>
      <c r="T43" s="126" t="s">
        <v>65</v>
      </c>
      <c r="U43" s="126" t="s">
        <v>65</v>
      </c>
      <c r="V43" s="126">
        <f t="shared" si="15"/>
        <v>91.99763999999999</v>
      </c>
      <c r="W43" s="126">
        <f t="shared" si="16"/>
        <v>559.35858280000002</v>
      </c>
      <c r="X43" s="129">
        <f t="shared" si="21"/>
        <v>19.7654948818208</v>
      </c>
      <c r="Y43" s="139">
        <f t="shared" si="22"/>
        <v>3517.8061272292002</v>
      </c>
    </row>
    <row r="44" spans="1:27" x14ac:dyDescent="0.2">
      <c r="A44" s="125">
        <v>7</v>
      </c>
      <c r="B44" s="126">
        <f>Prodiarias!E17/1000</f>
        <v>396.18900000000002</v>
      </c>
      <c r="C44" s="126">
        <f>Prodiarias!O17/1000</f>
        <v>6.8289999999999997</v>
      </c>
      <c r="D44" s="126" t="s">
        <v>65</v>
      </c>
      <c r="E44" s="126">
        <f>Prodiarias!AF17/1000</f>
        <v>154.51900000000001</v>
      </c>
      <c r="F44" s="126">
        <f>Prodiarias!AP17/1000</f>
        <v>110.251</v>
      </c>
      <c r="G44" s="126" t="s">
        <v>65</v>
      </c>
      <c r="H44" s="126" t="s">
        <v>65</v>
      </c>
      <c r="I44" s="126">
        <f>Prodiarias!BE17</f>
        <v>262.76549999999997</v>
      </c>
      <c r="J44" s="126">
        <f t="shared" si="17"/>
        <v>930.55349999999999</v>
      </c>
      <c r="K44" s="129">
        <f t="shared" si="18"/>
        <v>32.882038475999998</v>
      </c>
      <c r="L44" s="139">
        <f t="shared" si="23"/>
        <v>5852.2509614999999</v>
      </c>
      <c r="N44" s="125">
        <v>7</v>
      </c>
      <c r="O44" s="126">
        <f t="shared" si="19"/>
        <v>316.95120000000003</v>
      </c>
      <c r="P44" s="126">
        <f t="shared" si="20"/>
        <v>3.4144999999999999</v>
      </c>
      <c r="Q44" s="126" t="s">
        <v>65</v>
      </c>
      <c r="R44" s="126">
        <f t="shared" si="13"/>
        <v>49.013426799999998</v>
      </c>
      <c r="S44" s="126">
        <f t="shared" si="14"/>
        <v>88.200800000000015</v>
      </c>
      <c r="T44" s="126" t="s">
        <v>65</v>
      </c>
      <c r="U44" s="126" t="s">
        <v>65</v>
      </c>
      <c r="V44" s="126">
        <f t="shared" si="15"/>
        <v>91.96792499999998</v>
      </c>
      <c r="W44" s="126">
        <f t="shared" si="16"/>
        <v>549.54785179999999</v>
      </c>
      <c r="X44" s="129">
        <f t="shared" si="21"/>
        <v>19.418822891204801</v>
      </c>
      <c r="Y44" s="139">
        <f t="shared" si="22"/>
        <v>3456.1064399702</v>
      </c>
    </row>
    <row r="45" spans="1:27" x14ac:dyDescent="0.2">
      <c r="A45" s="125">
        <v>8</v>
      </c>
      <c r="B45" s="126">
        <f>Prodiarias!E18/1000</f>
        <v>396.36399999999998</v>
      </c>
      <c r="C45" s="126">
        <f>Prodiarias!O18/1000</f>
        <v>6.8940000000000001</v>
      </c>
      <c r="D45" s="126" t="s">
        <v>65</v>
      </c>
      <c r="E45" s="126">
        <f>Prodiarias!AF18/1000</f>
        <v>154.14500000000001</v>
      </c>
      <c r="F45" s="126">
        <f>Prodiarias!AP18/1000</f>
        <v>110.9</v>
      </c>
      <c r="G45" s="126" t="s">
        <v>65</v>
      </c>
      <c r="H45" s="126" t="s">
        <v>65</v>
      </c>
      <c r="I45" s="126">
        <f>Prodiarias!BE18</f>
        <v>262.48250000000002</v>
      </c>
      <c r="J45" s="126">
        <f t="shared" si="17"/>
        <v>930.78549999999996</v>
      </c>
      <c r="K45" s="129">
        <f t="shared" si="18"/>
        <v>32.890236427999994</v>
      </c>
      <c r="L45" s="139">
        <f t="shared" si="23"/>
        <v>5853.7100094999996</v>
      </c>
      <c r="N45" s="125">
        <v>8</v>
      </c>
      <c r="O45" s="126">
        <f t="shared" si="19"/>
        <v>317.09120000000001</v>
      </c>
      <c r="P45" s="126">
        <f t="shared" si="20"/>
        <v>3.4470000000000001</v>
      </c>
      <c r="Q45" s="126" t="s">
        <v>65</v>
      </c>
      <c r="R45" s="126">
        <f t="shared" si="13"/>
        <v>48.894793999999997</v>
      </c>
      <c r="S45" s="126">
        <f t="shared" si="14"/>
        <v>88.720000000000013</v>
      </c>
      <c r="T45" s="126" t="s">
        <v>65</v>
      </c>
      <c r="U45" s="126" t="s">
        <v>65</v>
      </c>
      <c r="V45" s="126">
        <f t="shared" si="15"/>
        <v>91.868875000000003</v>
      </c>
      <c r="W45" s="126">
        <f t="shared" si="16"/>
        <v>550.02186900000004</v>
      </c>
      <c r="X45" s="129">
        <f t="shared" si="21"/>
        <v>19.435572762984002</v>
      </c>
      <c r="Y45" s="139">
        <f t="shared" si="22"/>
        <v>3459.0875341410001</v>
      </c>
    </row>
    <row r="46" spans="1:27" x14ac:dyDescent="0.2">
      <c r="A46" s="125">
        <v>9</v>
      </c>
      <c r="B46" s="126">
        <f>Prodiarias!E19/1000</f>
        <v>407.11500000000001</v>
      </c>
      <c r="C46" s="126">
        <f>Prodiarias!O19/1000</f>
        <v>8.5579999999999998</v>
      </c>
      <c r="D46" s="126" t="s">
        <v>65</v>
      </c>
      <c r="E46" s="126">
        <f>Prodiarias!AF19/1000</f>
        <v>155.75299999999999</v>
      </c>
      <c r="F46" s="126">
        <f>Prodiarias!AP19/1000</f>
        <v>112.193</v>
      </c>
      <c r="G46" s="126" t="s">
        <v>65</v>
      </c>
      <c r="H46" s="126" t="s">
        <v>65</v>
      </c>
      <c r="I46" s="126">
        <f>Prodiarias!BE19</f>
        <v>263.86919999999998</v>
      </c>
      <c r="J46" s="126">
        <f t="shared" si="17"/>
        <v>947.48819999999989</v>
      </c>
      <c r="K46" s="129">
        <f t="shared" si="18"/>
        <v>33.480443035199997</v>
      </c>
      <c r="L46" s="139">
        <f t="shared" si="23"/>
        <v>5958.753289799999</v>
      </c>
      <c r="N46" s="125">
        <v>9</v>
      </c>
      <c r="O46" s="126">
        <f t="shared" si="19"/>
        <v>325.69200000000001</v>
      </c>
      <c r="P46" s="126">
        <f t="shared" si="20"/>
        <v>4.2789999999999999</v>
      </c>
      <c r="Q46" s="126" t="s">
        <v>65</v>
      </c>
      <c r="R46" s="126">
        <f t="shared" si="13"/>
        <v>49.404851599999994</v>
      </c>
      <c r="S46" s="126">
        <f t="shared" si="14"/>
        <v>89.754400000000004</v>
      </c>
      <c r="T46" s="126" t="s">
        <v>65</v>
      </c>
      <c r="U46" s="126" t="s">
        <v>65</v>
      </c>
      <c r="V46" s="126">
        <f t="shared" si="15"/>
        <v>92.354219999999984</v>
      </c>
      <c r="W46" s="126">
        <f t="shared" si="16"/>
        <v>561.48447159999989</v>
      </c>
      <c r="X46" s="129">
        <f t="shared" si="21"/>
        <v>19.840615288457595</v>
      </c>
      <c r="Y46" s="139">
        <f t="shared" si="22"/>
        <v>3531.1758418923996</v>
      </c>
    </row>
    <row r="47" spans="1:27" x14ac:dyDescent="0.2">
      <c r="A47" s="125">
        <v>10</v>
      </c>
      <c r="B47" s="126">
        <f>Prodiarias!E20/1000</f>
        <v>407.64499999999998</v>
      </c>
      <c r="C47" s="126">
        <f>Prodiarias!O20/1000</f>
        <v>5.6479999999999997</v>
      </c>
      <c r="D47" s="126" t="s">
        <v>65</v>
      </c>
      <c r="E47" s="126">
        <f>Prodiarias!AF20/1000</f>
        <v>154.82499999999999</v>
      </c>
      <c r="F47" s="126">
        <f>Prodiarias!AP20/1000</f>
        <v>114.482</v>
      </c>
      <c r="G47" s="126" t="s">
        <v>65</v>
      </c>
      <c r="H47" s="126" t="s">
        <v>65</v>
      </c>
      <c r="I47" s="126">
        <f>Prodiarias!BE20</f>
        <v>262.76549999999997</v>
      </c>
      <c r="J47" s="126">
        <f t="shared" si="17"/>
        <v>945.36549999999988</v>
      </c>
      <c r="K47" s="129">
        <f t="shared" si="18"/>
        <v>33.405435307999994</v>
      </c>
      <c r="L47" s="139">
        <f t="shared" si="23"/>
        <v>5945.4036294999987</v>
      </c>
      <c r="N47" s="125">
        <v>10</v>
      </c>
      <c r="O47" s="126">
        <f t="shared" si="19"/>
        <v>326.11599999999999</v>
      </c>
      <c r="P47" s="126">
        <f t="shared" si="20"/>
        <v>2.8239999999999998</v>
      </c>
      <c r="Q47" s="126" t="s">
        <v>65</v>
      </c>
      <c r="R47" s="126">
        <f t="shared" si="13"/>
        <v>49.110489999999992</v>
      </c>
      <c r="S47" s="126">
        <f t="shared" si="14"/>
        <v>91.585599999999999</v>
      </c>
      <c r="T47" s="126" t="s">
        <v>65</v>
      </c>
      <c r="U47" s="126" t="s">
        <v>65</v>
      </c>
      <c r="V47" s="126">
        <f t="shared" si="15"/>
        <v>91.96792499999998</v>
      </c>
      <c r="W47" s="126">
        <f t="shared" si="16"/>
        <v>561.60401499999989</v>
      </c>
      <c r="X47" s="129">
        <f t="shared" si="21"/>
        <v>19.844839474039997</v>
      </c>
      <c r="Y47" s="139">
        <f t="shared" si="22"/>
        <v>3531.9276503349993</v>
      </c>
    </row>
    <row r="48" spans="1:27" x14ac:dyDescent="0.2">
      <c r="A48" s="125">
        <v>11</v>
      </c>
      <c r="B48" s="126">
        <f>Prodiarias!E21/1000</f>
        <v>401.33600000000001</v>
      </c>
      <c r="C48" s="126">
        <f>Prodiarias!O21/1000</f>
        <v>5.71</v>
      </c>
      <c r="D48" s="126" t="s">
        <v>65</v>
      </c>
      <c r="E48" s="126">
        <f>Prodiarias!AF21/1000</f>
        <v>153.857</v>
      </c>
      <c r="F48" s="126">
        <f>Prodiarias!AP21/1000</f>
        <v>115.964</v>
      </c>
      <c r="G48" s="126" t="s">
        <v>65</v>
      </c>
      <c r="H48" s="126" t="s">
        <v>65</v>
      </c>
      <c r="I48" s="126">
        <f>Prodiarias!BE21</f>
        <v>262.51079999999996</v>
      </c>
      <c r="J48" s="126">
        <f t="shared" si="17"/>
        <v>939.37779999999998</v>
      </c>
      <c r="K48" s="129">
        <f t="shared" si="18"/>
        <v>33.193853940799997</v>
      </c>
      <c r="L48" s="139">
        <f t="shared" si="23"/>
        <v>5907.7469841999991</v>
      </c>
      <c r="N48" s="125">
        <v>11</v>
      </c>
      <c r="O48" s="126">
        <f t="shared" si="19"/>
        <v>321.06880000000001</v>
      </c>
      <c r="P48" s="126">
        <f t="shared" si="20"/>
        <v>2.855</v>
      </c>
      <c r="Q48" s="126" t="s">
        <v>65</v>
      </c>
      <c r="R48" s="126">
        <f t="shared" si="13"/>
        <v>48.803440399999999</v>
      </c>
      <c r="S48" s="126">
        <f t="shared" si="14"/>
        <v>92.771200000000007</v>
      </c>
      <c r="T48" s="126" t="s">
        <v>65</v>
      </c>
      <c r="U48" s="126" t="s">
        <v>65</v>
      </c>
      <c r="V48" s="126">
        <f t="shared" si="15"/>
        <v>91.878779999999978</v>
      </c>
      <c r="W48" s="126">
        <f t="shared" si="16"/>
        <v>557.37722040000006</v>
      </c>
      <c r="X48" s="129">
        <f t="shared" si="21"/>
        <v>19.695481460054403</v>
      </c>
      <c r="Y48" s="139">
        <f t="shared" si="22"/>
        <v>3505.3453390956001</v>
      </c>
    </row>
    <row r="49" spans="1:25" x14ac:dyDescent="0.2">
      <c r="A49" s="125">
        <v>12</v>
      </c>
      <c r="B49" s="126">
        <f>Prodiarias!E22/1000</f>
        <v>413.666</v>
      </c>
      <c r="C49" s="126">
        <f>Prodiarias!O22/1000</f>
        <v>5.59</v>
      </c>
      <c r="D49" s="126" t="s">
        <v>65</v>
      </c>
      <c r="E49" s="126">
        <f>Prodiarias!AF22/1000</f>
        <v>154.536</v>
      </c>
      <c r="F49" s="126">
        <f>Prodiarias!AP22/1000</f>
        <v>101.901</v>
      </c>
      <c r="G49" s="126" t="s">
        <v>65</v>
      </c>
      <c r="H49" s="126" t="s">
        <v>65</v>
      </c>
      <c r="I49" s="126">
        <f>Prodiarias!BE22</f>
        <v>262.42589999999996</v>
      </c>
      <c r="J49" s="126">
        <f t="shared" si="17"/>
        <v>938.11889999999983</v>
      </c>
      <c r="K49" s="129">
        <f t="shared" si="18"/>
        <v>33.149369450399995</v>
      </c>
      <c r="L49" s="139">
        <f t="shared" si="23"/>
        <v>5899.8297620999992</v>
      </c>
      <c r="N49" s="125">
        <v>12</v>
      </c>
      <c r="O49" s="126">
        <f t="shared" si="19"/>
        <v>330.93280000000004</v>
      </c>
      <c r="P49" s="126">
        <f t="shared" si="20"/>
        <v>2.7949999999999999</v>
      </c>
      <c r="Q49" s="126" t="s">
        <v>65</v>
      </c>
      <c r="R49" s="126">
        <f t="shared" si="13"/>
        <v>49.018819199999996</v>
      </c>
      <c r="S49" s="126">
        <f t="shared" si="14"/>
        <v>81.520800000000008</v>
      </c>
      <c r="T49" s="126" t="s">
        <v>65</v>
      </c>
      <c r="U49" s="126" t="s">
        <v>65</v>
      </c>
      <c r="V49" s="126">
        <f t="shared" si="15"/>
        <v>91.849064999999982</v>
      </c>
      <c r="W49" s="126">
        <f t="shared" si="16"/>
        <v>556.11648420000006</v>
      </c>
      <c r="X49" s="129">
        <f t="shared" si="21"/>
        <v>19.650932085691203</v>
      </c>
      <c r="Y49" s="139">
        <f t="shared" si="22"/>
        <v>3497.4165691338003</v>
      </c>
    </row>
    <row r="50" spans="1:25" x14ac:dyDescent="0.2">
      <c r="A50" s="125">
        <v>13</v>
      </c>
      <c r="B50" s="126">
        <f>Prodiarias!E23/1000</f>
        <v>411.94799999999998</v>
      </c>
      <c r="C50" s="126">
        <f>Prodiarias!O23/1000</f>
        <v>5.4279999999999999</v>
      </c>
      <c r="D50" s="126" t="s">
        <v>65</v>
      </c>
      <c r="E50" s="126">
        <f>Prodiarias!AF23/1000</f>
        <v>157.16399999999999</v>
      </c>
      <c r="F50" s="126">
        <f>Prodiarias!AP23/1000</f>
        <v>83.05</v>
      </c>
      <c r="G50" s="126" t="s">
        <v>65</v>
      </c>
      <c r="H50" s="126" t="s">
        <v>65</v>
      </c>
      <c r="I50" s="126">
        <f>Prodiarias!BE23</f>
        <v>263.10509999999999</v>
      </c>
      <c r="J50" s="126">
        <f t="shared" ref="J50:J67" si="24">SUM(B50:I50)</f>
        <v>920.69509999999991</v>
      </c>
      <c r="K50" s="129">
        <f t="shared" ref="K50:K67" si="25">J50*35.336/1000</f>
        <v>32.533682053599996</v>
      </c>
      <c r="L50" s="139">
        <f t="shared" ref="L50:L67" si="26">J50/1000*6289</f>
        <v>5790.2514838999996</v>
      </c>
      <c r="N50" s="125">
        <v>13</v>
      </c>
      <c r="O50" s="126">
        <f t="shared" si="19"/>
        <v>329.55840000000001</v>
      </c>
      <c r="P50" s="126">
        <f t="shared" si="20"/>
        <v>2.714</v>
      </c>
      <c r="Q50" s="126" t="s">
        <v>65</v>
      </c>
      <c r="R50" s="126">
        <f t="shared" si="13"/>
        <v>49.85242079999999</v>
      </c>
      <c r="S50" s="126">
        <f t="shared" si="14"/>
        <v>66.44</v>
      </c>
      <c r="T50" s="126" t="s">
        <v>65</v>
      </c>
      <c r="U50" s="126" t="s">
        <v>65</v>
      </c>
      <c r="V50" s="126">
        <f t="shared" si="15"/>
        <v>92.086784999999992</v>
      </c>
      <c r="W50" s="126">
        <f t="shared" si="16"/>
        <v>540.65160579999997</v>
      </c>
      <c r="X50" s="129">
        <f t="shared" si="21"/>
        <v>19.104465142548797</v>
      </c>
      <c r="Y50" s="139">
        <f t="shared" si="22"/>
        <v>3400.1579488761995</v>
      </c>
    </row>
    <row r="51" spans="1:25" x14ac:dyDescent="0.2">
      <c r="A51" s="125">
        <v>14</v>
      </c>
      <c r="B51" s="126">
        <f>Prodiarias!E24/1000</f>
        <v>412.80500000000001</v>
      </c>
      <c r="C51" s="126">
        <f>Prodiarias!O24/1000</f>
        <v>3.1640000000000001</v>
      </c>
      <c r="D51" s="126" t="s">
        <v>65</v>
      </c>
      <c r="E51" s="126">
        <f>Prodiarias!AF24/1000</f>
        <v>151.566</v>
      </c>
      <c r="F51" s="126">
        <f>Prodiarias!AP24/1000</f>
        <v>72.704999999999998</v>
      </c>
      <c r="G51" s="126" t="s">
        <v>65</v>
      </c>
      <c r="H51" s="126" t="s">
        <v>65</v>
      </c>
      <c r="I51" s="126">
        <f>Prodiarias!BE24</f>
        <v>262.90699999999998</v>
      </c>
      <c r="J51" s="126">
        <f t="shared" si="24"/>
        <v>903.14699999999993</v>
      </c>
      <c r="K51" s="129">
        <f t="shared" si="25"/>
        <v>31.913602391999998</v>
      </c>
      <c r="L51" s="139">
        <f t="shared" si="26"/>
        <v>5679.8914829999994</v>
      </c>
      <c r="N51" s="125">
        <v>14</v>
      </c>
      <c r="O51" s="126">
        <f t="shared" si="19"/>
        <v>330.24400000000003</v>
      </c>
      <c r="P51" s="126">
        <f t="shared" si="20"/>
        <v>1.5820000000000001</v>
      </c>
      <c r="Q51" s="126" t="s">
        <v>65</v>
      </c>
      <c r="R51" s="126">
        <f t="shared" si="13"/>
        <v>48.076735199999995</v>
      </c>
      <c r="S51" s="126">
        <f t="shared" si="14"/>
        <v>58.164000000000001</v>
      </c>
      <c r="T51" s="126" t="s">
        <v>65</v>
      </c>
      <c r="U51" s="126" t="s">
        <v>65</v>
      </c>
      <c r="V51" s="126">
        <f t="shared" si="15"/>
        <v>92.017449999999982</v>
      </c>
      <c r="W51" s="126">
        <f t="shared" si="16"/>
        <v>530.08418519999998</v>
      </c>
      <c r="X51" s="129">
        <f t="shared" si="21"/>
        <v>18.731054768227196</v>
      </c>
      <c r="Y51" s="139">
        <f t="shared" si="22"/>
        <v>3333.6994407227999</v>
      </c>
    </row>
    <row r="52" spans="1:25" x14ac:dyDescent="0.2">
      <c r="A52" s="125">
        <v>15</v>
      </c>
      <c r="B52" s="126">
        <f>Prodiarias!E25/1000</f>
        <v>391.91399999999999</v>
      </c>
      <c r="C52" s="126">
        <f>Prodiarias!O25/1000</f>
        <v>4.1459999999999999</v>
      </c>
      <c r="D52" s="126" t="s">
        <v>65</v>
      </c>
      <c r="E52" s="126">
        <f>Prodiarias!AF25/1000</f>
        <v>148.727</v>
      </c>
      <c r="F52" s="126">
        <f>Prodiarias!AP25/1000</f>
        <v>114.999</v>
      </c>
      <c r="G52" s="126" t="s">
        <v>65</v>
      </c>
      <c r="H52" s="126" t="s">
        <v>65</v>
      </c>
      <c r="I52" s="126">
        <f>Prodiarias!BE25</f>
        <v>262.79379999999992</v>
      </c>
      <c r="J52" s="126">
        <f t="shared" si="24"/>
        <v>922.57979999999998</v>
      </c>
      <c r="K52" s="129">
        <f t="shared" si="25"/>
        <v>32.600279812799997</v>
      </c>
      <c r="L52" s="139">
        <f t="shared" si="26"/>
        <v>5802.1043621999997</v>
      </c>
      <c r="N52" s="125">
        <v>15</v>
      </c>
      <c r="O52" s="126">
        <f t="shared" si="19"/>
        <v>313.53120000000001</v>
      </c>
      <c r="P52" s="126">
        <f t="shared" si="20"/>
        <v>2.073</v>
      </c>
      <c r="Q52" s="126" t="s">
        <v>65</v>
      </c>
      <c r="R52" s="126">
        <f t="shared" si="13"/>
        <v>47.176204399999996</v>
      </c>
      <c r="S52" s="126">
        <f t="shared" si="14"/>
        <v>91.999200000000002</v>
      </c>
      <c r="T52" s="126" t="s">
        <v>65</v>
      </c>
      <c r="U52" s="126" t="s">
        <v>65</v>
      </c>
      <c r="V52" s="126">
        <f t="shared" si="15"/>
        <v>91.977829999999969</v>
      </c>
      <c r="W52" s="126">
        <f t="shared" si="16"/>
        <v>546.75743439999997</v>
      </c>
      <c r="X52" s="129">
        <f t="shared" si="21"/>
        <v>19.320220701958398</v>
      </c>
      <c r="Y52" s="139">
        <f t="shared" si="22"/>
        <v>3438.5575049416002</v>
      </c>
    </row>
    <row r="53" spans="1:25" x14ac:dyDescent="0.2">
      <c r="A53" s="125">
        <v>16</v>
      </c>
      <c r="B53" s="126">
        <f>Prodiarias!E26/1000</f>
        <v>393.64600000000002</v>
      </c>
      <c r="C53" s="126">
        <f>Prodiarias!O26/1000</f>
        <v>4.4180000000000001</v>
      </c>
      <c r="D53" s="126" t="s">
        <v>65</v>
      </c>
      <c r="E53" s="126">
        <f>Prodiarias!AF26/1000</f>
        <v>154.12200000000001</v>
      </c>
      <c r="F53" s="126">
        <f>Prodiarias!AP26/1000</f>
        <v>113.593</v>
      </c>
      <c r="G53" s="126" t="s">
        <v>65</v>
      </c>
      <c r="H53" s="126" t="s">
        <v>65</v>
      </c>
      <c r="I53" s="126">
        <f>Prodiarias!BE26</f>
        <v>262.65229999999997</v>
      </c>
      <c r="J53" s="126">
        <f t="shared" si="24"/>
        <v>928.43129999999996</v>
      </c>
      <c r="K53" s="129">
        <f t="shared" si="25"/>
        <v>32.807048416799994</v>
      </c>
      <c r="L53" s="139">
        <f t="shared" si="26"/>
        <v>5838.9044457</v>
      </c>
      <c r="N53" s="125">
        <v>16</v>
      </c>
      <c r="O53" s="126">
        <f t="shared" si="19"/>
        <v>314.91680000000002</v>
      </c>
      <c r="P53" s="126">
        <f t="shared" si="20"/>
        <v>2.2090000000000001</v>
      </c>
      <c r="Q53" s="126" t="s">
        <v>65</v>
      </c>
      <c r="R53" s="126">
        <f t="shared" si="13"/>
        <v>48.887498399999998</v>
      </c>
      <c r="S53" s="126">
        <f t="shared" si="14"/>
        <v>90.874400000000009</v>
      </c>
      <c r="T53" s="126" t="s">
        <v>65</v>
      </c>
      <c r="U53" s="126" t="s">
        <v>65</v>
      </c>
      <c r="V53" s="126">
        <f t="shared" si="15"/>
        <v>91.92830499999998</v>
      </c>
      <c r="W53" s="126">
        <f t="shared" si="16"/>
        <v>548.81600340000011</v>
      </c>
      <c r="X53" s="129">
        <f t="shared" si="21"/>
        <v>19.392962296142404</v>
      </c>
      <c r="Y53" s="139">
        <f t="shared" si="22"/>
        <v>3451.503845382601</v>
      </c>
    </row>
    <row r="54" spans="1:25" x14ac:dyDescent="0.2">
      <c r="A54" s="125">
        <v>17</v>
      </c>
      <c r="B54" s="126">
        <f>Prodiarias!E27/1000</f>
        <v>389.654</v>
      </c>
      <c r="C54" s="126">
        <f>Prodiarias!O27/1000</f>
        <v>5.1820000000000004</v>
      </c>
      <c r="D54" s="126" t="s">
        <v>65</v>
      </c>
      <c r="E54" s="126">
        <f>Prodiarias!AF27/1000</f>
        <v>150.94399999999999</v>
      </c>
      <c r="F54" s="126">
        <f>Prodiarias!AP27/1000</f>
        <v>113.91800000000001</v>
      </c>
      <c r="G54" s="126" t="s">
        <v>65</v>
      </c>
      <c r="H54" s="126" t="s">
        <v>65</v>
      </c>
      <c r="I54" s="126">
        <f>Prodiarias!BE27</f>
        <v>262.48250000000002</v>
      </c>
      <c r="J54" s="126">
        <f t="shared" si="24"/>
        <v>922.18049999999994</v>
      </c>
      <c r="K54" s="129">
        <f t="shared" si="25"/>
        <v>32.586170148000001</v>
      </c>
      <c r="L54" s="139">
        <f t="shared" si="26"/>
        <v>5799.5931645000001</v>
      </c>
      <c r="N54" s="125">
        <v>17</v>
      </c>
      <c r="O54" s="126">
        <f t="shared" ref="O54:O67" si="27">B54*0.8</f>
        <v>311.72320000000002</v>
      </c>
      <c r="P54" s="126">
        <f t="shared" si="20"/>
        <v>2.5910000000000002</v>
      </c>
      <c r="Q54" s="126" t="s">
        <v>65</v>
      </c>
      <c r="R54" s="126">
        <f t="shared" si="13"/>
        <v>47.879436799999993</v>
      </c>
      <c r="S54" s="126">
        <f t="shared" si="14"/>
        <v>91.134400000000014</v>
      </c>
      <c r="T54" s="126" t="s">
        <v>65</v>
      </c>
      <c r="U54" s="126" t="s">
        <v>65</v>
      </c>
      <c r="V54" s="126">
        <f t="shared" si="15"/>
        <v>91.868875000000003</v>
      </c>
      <c r="W54" s="126">
        <f t="shared" si="16"/>
        <v>545.19691180000007</v>
      </c>
      <c r="X54" s="129">
        <f t="shared" si="21"/>
        <v>19.265078075364805</v>
      </c>
      <c r="Y54" s="139">
        <f t="shared" ref="Y54:Y67" si="28">W54/1000*6289</f>
        <v>3428.7433783102006</v>
      </c>
    </row>
    <row r="55" spans="1:25" x14ac:dyDescent="0.2">
      <c r="A55" s="125">
        <v>18</v>
      </c>
      <c r="B55" s="126">
        <f>Prodiarias!E28/1000</f>
        <v>396.72199999999998</v>
      </c>
      <c r="C55" s="126">
        <f>Prodiarias!O28/1000</f>
        <v>4.7030000000000003</v>
      </c>
      <c r="D55" s="126" t="s">
        <v>65</v>
      </c>
      <c r="E55" s="126">
        <f>Prodiarias!AF28/1000</f>
        <v>152.10400000000001</v>
      </c>
      <c r="F55" s="126">
        <f>Prodiarias!AP28/1000</f>
        <v>108.999</v>
      </c>
      <c r="G55" s="126" t="s">
        <v>65</v>
      </c>
      <c r="H55" s="126" t="s">
        <v>65</v>
      </c>
      <c r="I55" s="126">
        <f>Prodiarias!BE28</f>
        <v>262.42589999999996</v>
      </c>
      <c r="J55" s="126">
        <f t="shared" si="24"/>
        <v>924.95389999999998</v>
      </c>
      <c r="K55" s="129">
        <f t="shared" si="25"/>
        <v>32.6841710104</v>
      </c>
      <c r="L55" s="139">
        <f t="shared" si="26"/>
        <v>5817.0350771000003</v>
      </c>
      <c r="N55" s="125">
        <v>18</v>
      </c>
      <c r="O55" s="126">
        <f t="shared" si="27"/>
        <v>317.37760000000003</v>
      </c>
      <c r="P55" s="126">
        <f t="shared" si="20"/>
        <v>2.3515000000000001</v>
      </c>
      <c r="Q55" s="126" t="s">
        <v>65</v>
      </c>
      <c r="R55" s="126">
        <f t="shared" si="13"/>
        <v>48.247388800000003</v>
      </c>
      <c r="S55" s="126">
        <f t="shared" si="14"/>
        <v>87.199200000000005</v>
      </c>
      <c r="T55" s="126" t="s">
        <v>65</v>
      </c>
      <c r="U55" s="126" t="s">
        <v>65</v>
      </c>
      <c r="V55" s="126">
        <f t="shared" si="15"/>
        <v>91.849064999999982</v>
      </c>
      <c r="W55" s="126">
        <f t="shared" si="16"/>
        <v>547.02475379999998</v>
      </c>
      <c r="X55" s="129">
        <f t="shared" si="21"/>
        <v>19.329666700276796</v>
      </c>
      <c r="Y55" s="139">
        <f t="shared" si="28"/>
        <v>3440.2386766481995</v>
      </c>
    </row>
    <row r="56" spans="1:25" x14ac:dyDescent="0.2">
      <c r="A56" s="125">
        <v>19</v>
      </c>
      <c r="B56" s="126">
        <f>Prodiarias!E29/1000</f>
        <v>396.84500000000003</v>
      </c>
      <c r="C56" s="126">
        <f>Prodiarias!O29/1000</f>
        <v>2.63</v>
      </c>
      <c r="D56" s="126" t="s">
        <v>65</v>
      </c>
      <c r="E56" s="126">
        <f>Prodiarias!AF29/1000</f>
        <v>145.99299999999999</v>
      </c>
      <c r="F56" s="126">
        <f>Prodiarias!AP29/1000</f>
        <v>105.529</v>
      </c>
      <c r="G56" s="126" t="s">
        <v>65</v>
      </c>
      <c r="H56" s="126" t="s">
        <v>65</v>
      </c>
      <c r="I56" s="126">
        <f>Prodiarias!BE29</f>
        <v>261.97309999999999</v>
      </c>
      <c r="J56" s="126">
        <f t="shared" si="24"/>
        <v>912.9701</v>
      </c>
      <c r="K56" s="129">
        <f t="shared" si="25"/>
        <v>32.260711453599995</v>
      </c>
      <c r="L56" s="139">
        <f t="shared" si="26"/>
        <v>5741.6689588999998</v>
      </c>
      <c r="N56" s="125">
        <v>19</v>
      </c>
      <c r="O56" s="126">
        <f t="shared" si="27"/>
        <v>317.47600000000006</v>
      </c>
      <c r="P56" s="126">
        <f t="shared" si="20"/>
        <v>1.3149999999999999</v>
      </c>
      <c r="Q56" s="126" t="s">
        <v>65</v>
      </c>
      <c r="R56" s="126">
        <f t="shared" si="13"/>
        <v>46.308979599999994</v>
      </c>
      <c r="S56" s="126">
        <f t="shared" si="14"/>
        <v>84.423200000000008</v>
      </c>
      <c r="T56" s="126" t="s">
        <v>65</v>
      </c>
      <c r="U56" s="126" t="s">
        <v>65</v>
      </c>
      <c r="V56" s="126">
        <f t="shared" si="15"/>
        <v>91.690584999999984</v>
      </c>
      <c r="W56" s="126">
        <f t="shared" si="16"/>
        <v>541.21376459999999</v>
      </c>
      <c r="X56" s="129">
        <f t="shared" si="21"/>
        <v>19.124329585905599</v>
      </c>
      <c r="Y56" s="139">
        <f t="shared" si="28"/>
        <v>3403.6933655694002</v>
      </c>
    </row>
    <row r="57" spans="1:25" x14ac:dyDescent="0.2">
      <c r="A57" s="125">
        <v>20</v>
      </c>
      <c r="B57" s="126">
        <f>Prodiarias!E30/1000</f>
        <v>382.99</v>
      </c>
      <c r="C57" s="126">
        <f>Prodiarias!O30/1000</f>
        <v>5.016</v>
      </c>
      <c r="D57" s="126" t="s">
        <v>65</v>
      </c>
      <c r="E57" s="126">
        <f>Prodiarias!AF30/1000</f>
        <v>148.578</v>
      </c>
      <c r="F57" s="126">
        <f>Prodiarias!AP30/1000</f>
        <v>101.592</v>
      </c>
      <c r="G57" s="126" t="s">
        <v>65</v>
      </c>
      <c r="H57" s="126" t="s">
        <v>65</v>
      </c>
      <c r="I57" s="126">
        <f>Prodiarias!BE30</f>
        <v>261.1241</v>
      </c>
      <c r="J57" s="126">
        <f t="shared" si="24"/>
        <v>899.30010000000004</v>
      </c>
      <c r="K57" s="129">
        <f t="shared" si="25"/>
        <v>31.777668333599998</v>
      </c>
      <c r="L57" s="139">
        <f t="shared" si="26"/>
        <v>5655.6983289</v>
      </c>
      <c r="N57" s="125">
        <v>20</v>
      </c>
      <c r="O57" s="126">
        <f t="shared" si="27"/>
        <v>306.392</v>
      </c>
      <c r="P57" s="126">
        <f t="shared" si="20"/>
        <v>2.508</v>
      </c>
      <c r="Q57" s="126" t="s">
        <v>65</v>
      </c>
      <c r="R57" s="126">
        <f t="shared" si="13"/>
        <v>47.128941599999997</v>
      </c>
      <c r="S57" s="126">
        <f t="shared" si="14"/>
        <v>81.273600000000002</v>
      </c>
      <c r="T57" s="126" t="s">
        <v>65</v>
      </c>
      <c r="U57" s="126" t="s">
        <v>65</v>
      </c>
      <c r="V57" s="126">
        <f t="shared" si="15"/>
        <v>91.393434999999997</v>
      </c>
      <c r="W57" s="126">
        <f t="shared" si="16"/>
        <v>528.69597659999999</v>
      </c>
      <c r="X57" s="129">
        <f t="shared" si="21"/>
        <v>18.682001029137599</v>
      </c>
      <c r="Y57" s="139">
        <f t="shared" si="28"/>
        <v>3324.9689968374</v>
      </c>
    </row>
    <row r="58" spans="1:25" x14ac:dyDescent="0.2">
      <c r="A58" s="125">
        <v>21</v>
      </c>
      <c r="B58" s="126">
        <f>Prodiarias!E31/1000</f>
        <v>358.07</v>
      </c>
      <c r="C58" s="126">
        <f>Prodiarias!O31/1000</f>
        <v>15.888</v>
      </c>
      <c r="D58" s="126" t="s">
        <v>65</v>
      </c>
      <c r="E58" s="126">
        <f>Prodiarias!AF31/1000</f>
        <v>154.571</v>
      </c>
      <c r="F58" s="126">
        <f>Prodiarias!AP31/1000</f>
        <v>100.06</v>
      </c>
      <c r="G58" s="126" t="s">
        <v>65</v>
      </c>
      <c r="H58" s="126" t="s">
        <v>65</v>
      </c>
      <c r="I58" s="126">
        <f>Prodiarias!BE31</f>
        <v>261.74669999999998</v>
      </c>
      <c r="J58" s="126">
        <f t="shared" si="24"/>
        <v>890.33569999999986</v>
      </c>
      <c r="K58" s="129">
        <f t="shared" si="25"/>
        <v>31.460902295199993</v>
      </c>
      <c r="L58" s="139">
        <f t="shared" si="26"/>
        <v>5599.3212172999993</v>
      </c>
      <c r="N58" s="125">
        <v>21</v>
      </c>
      <c r="O58" s="126">
        <f t="shared" si="27"/>
        <v>286.45600000000002</v>
      </c>
      <c r="P58" s="126">
        <f t="shared" si="20"/>
        <v>7.944</v>
      </c>
      <c r="Q58" s="126" t="s">
        <v>65</v>
      </c>
      <c r="R58" s="126">
        <f t="shared" si="13"/>
        <v>49.029921199999997</v>
      </c>
      <c r="S58" s="126">
        <f t="shared" si="14"/>
        <v>80.048000000000002</v>
      </c>
      <c r="T58" s="126" t="s">
        <v>65</v>
      </c>
      <c r="U58" s="126" t="s">
        <v>65</v>
      </c>
      <c r="V58" s="126">
        <f t="shared" si="15"/>
        <v>91.611344999999986</v>
      </c>
      <c r="W58" s="126">
        <f t="shared" si="16"/>
        <v>515.0892662</v>
      </c>
      <c r="X58" s="129">
        <f t="shared" si="21"/>
        <v>18.201194310443199</v>
      </c>
      <c r="Y58" s="139">
        <f t="shared" si="28"/>
        <v>3239.3963951317996</v>
      </c>
    </row>
    <row r="59" spans="1:25" x14ac:dyDescent="0.2">
      <c r="A59" s="125">
        <v>22</v>
      </c>
      <c r="B59" s="126">
        <f>Prodiarias!E32/1000</f>
        <v>398.84</v>
      </c>
      <c r="C59" s="126">
        <f>Prodiarias!O32/1000</f>
        <v>15.557</v>
      </c>
      <c r="D59" s="126" t="s">
        <v>65</v>
      </c>
      <c r="E59" s="126">
        <f>Prodiarias!AF32/1000</f>
        <v>156.09100000000001</v>
      </c>
      <c r="F59" s="126">
        <f>Prodiarias!AP32/1000</f>
        <v>84.275000000000006</v>
      </c>
      <c r="G59" s="126" t="s">
        <v>65</v>
      </c>
      <c r="H59" s="126" t="s">
        <v>65</v>
      </c>
      <c r="I59" s="126">
        <f>Prodiarias!BE32</f>
        <v>261.57689999999997</v>
      </c>
      <c r="J59" s="126">
        <f t="shared" si="24"/>
        <v>916.33989999999994</v>
      </c>
      <c r="K59" s="129">
        <f t="shared" si="25"/>
        <v>32.379786706399997</v>
      </c>
      <c r="L59" s="139">
        <f t="shared" si="26"/>
        <v>5762.8616310999996</v>
      </c>
      <c r="N59" s="125">
        <v>22</v>
      </c>
      <c r="O59" s="126">
        <f t="shared" si="27"/>
        <v>319.072</v>
      </c>
      <c r="P59" s="126">
        <f t="shared" si="20"/>
        <v>7.7785000000000002</v>
      </c>
      <c r="Q59" s="126" t="s">
        <v>65</v>
      </c>
      <c r="R59" s="126">
        <f t="shared" si="13"/>
        <v>49.512065200000002</v>
      </c>
      <c r="S59" s="126">
        <f t="shared" si="14"/>
        <v>67.42</v>
      </c>
      <c r="T59" s="126" t="s">
        <v>65</v>
      </c>
      <c r="U59" s="126" t="s">
        <v>65</v>
      </c>
      <c r="V59" s="126">
        <f t="shared" si="15"/>
        <v>91.55191499999998</v>
      </c>
      <c r="W59" s="126">
        <f t="shared" si="16"/>
        <v>535.33448020000003</v>
      </c>
      <c r="X59" s="129">
        <f t="shared" si="21"/>
        <v>18.9165791923472</v>
      </c>
      <c r="Y59" s="139">
        <f t="shared" si="28"/>
        <v>3366.7185459778007</v>
      </c>
    </row>
    <row r="60" spans="1:25" x14ac:dyDescent="0.2">
      <c r="A60" s="125">
        <v>23</v>
      </c>
      <c r="B60" s="126">
        <f>Prodiarias!E33/1000</f>
        <v>412.10199999999998</v>
      </c>
      <c r="C60" s="126">
        <f>Prodiarias!O33/1000</f>
        <v>9.3689999999999998</v>
      </c>
      <c r="D60" s="126" t="s">
        <v>65</v>
      </c>
      <c r="E60" s="126">
        <f>Prodiarias!AF33/1000</f>
        <v>156.78100000000001</v>
      </c>
      <c r="F60" s="126">
        <f>Prodiarias!AP33/1000</f>
        <v>111.68</v>
      </c>
      <c r="G60" s="126" t="s">
        <v>65</v>
      </c>
      <c r="H60" s="126" t="s">
        <v>65</v>
      </c>
      <c r="I60" s="126">
        <f>Prodiarias!BE33</f>
        <v>261.1241</v>
      </c>
      <c r="J60" s="126">
        <f t="shared" si="24"/>
        <v>951.05610000000001</v>
      </c>
      <c r="K60" s="129">
        <f t="shared" si="25"/>
        <v>33.606518349600002</v>
      </c>
      <c r="L60" s="139">
        <f t="shared" si="26"/>
        <v>5981.1918128999996</v>
      </c>
      <c r="N60" s="125">
        <v>23</v>
      </c>
      <c r="O60" s="126">
        <f t="shared" si="27"/>
        <v>329.6816</v>
      </c>
      <c r="P60" s="126">
        <f t="shared" si="20"/>
        <v>4.6844999999999999</v>
      </c>
      <c r="Q60" s="126" t="s">
        <v>65</v>
      </c>
      <c r="R60" s="126">
        <f t="shared" si="13"/>
        <v>49.730933199999996</v>
      </c>
      <c r="S60" s="126">
        <f t="shared" si="14"/>
        <v>89.344000000000008</v>
      </c>
      <c r="T60" s="126" t="s">
        <v>65</v>
      </c>
      <c r="U60" s="126" t="s">
        <v>65</v>
      </c>
      <c r="V60" s="126">
        <f t="shared" si="15"/>
        <v>91.393434999999997</v>
      </c>
      <c r="W60" s="126">
        <f t="shared" si="16"/>
        <v>564.83446819999995</v>
      </c>
      <c r="X60" s="129">
        <f t="shared" si="21"/>
        <v>19.958990768315196</v>
      </c>
      <c r="Y60" s="139">
        <f t="shared" si="28"/>
        <v>3552.2439705097995</v>
      </c>
    </row>
    <row r="61" spans="1:25" x14ac:dyDescent="0.2">
      <c r="A61" s="125">
        <v>24</v>
      </c>
      <c r="B61" s="126">
        <f>Prodiarias!E34/1000</f>
        <v>409.62400000000002</v>
      </c>
      <c r="C61" s="126">
        <f>Prodiarias!O34/1000</f>
        <v>7.875</v>
      </c>
      <c r="D61" s="126" t="s">
        <v>65</v>
      </c>
      <c r="E61" s="126">
        <f>Prodiarias!AF34/1000</f>
        <v>157.54499999999999</v>
      </c>
      <c r="F61" s="126">
        <f>Prodiarias!AP34/1000</f>
        <v>113.29600000000001</v>
      </c>
      <c r="G61" s="126" t="s">
        <v>65</v>
      </c>
      <c r="H61" s="126" t="s">
        <v>65</v>
      </c>
      <c r="I61" s="126">
        <f>Prodiarias!BE34</f>
        <v>261.1241</v>
      </c>
      <c r="J61" s="126">
        <f t="shared" si="24"/>
        <v>949.46410000000003</v>
      </c>
      <c r="K61" s="129">
        <f t="shared" si="25"/>
        <v>33.550263437600002</v>
      </c>
      <c r="L61" s="139">
        <f t="shared" si="26"/>
        <v>5971.1797249000001</v>
      </c>
      <c r="N61" s="125">
        <v>24</v>
      </c>
      <c r="O61" s="126">
        <f t="shared" si="27"/>
        <v>327.69920000000002</v>
      </c>
      <c r="P61" s="126">
        <f t="shared" si="20"/>
        <v>3.9375</v>
      </c>
      <c r="Q61" s="126" t="s">
        <v>65</v>
      </c>
      <c r="R61" s="126">
        <f t="shared" si="13"/>
        <v>49.973273999999996</v>
      </c>
      <c r="S61" s="126">
        <f t="shared" si="14"/>
        <v>90.636800000000008</v>
      </c>
      <c r="T61" s="126" t="s">
        <v>65</v>
      </c>
      <c r="U61" s="126" t="s">
        <v>65</v>
      </c>
      <c r="V61" s="126">
        <f t="shared" si="15"/>
        <v>91.393434999999997</v>
      </c>
      <c r="W61" s="126">
        <f t="shared" si="16"/>
        <v>563.64020900000003</v>
      </c>
      <c r="X61" s="129">
        <f t="shared" si="21"/>
        <v>19.916790425224001</v>
      </c>
      <c r="Y61" s="139">
        <f t="shared" si="28"/>
        <v>3544.733274401</v>
      </c>
    </row>
    <row r="62" spans="1:25" x14ac:dyDescent="0.2">
      <c r="A62" s="125">
        <v>25</v>
      </c>
      <c r="B62" s="126">
        <f>Prodiarias!E35/1000</f>
        <v>401.87599999999998</v>
      </c>
      <c r="C62" s="126">
        <f>Prodiarias!O35/1000</f>
        <v>8.32</v>
      </c>
      <c r="D62" s="126" t="s">
        <v>65</v>
      </c>
      <c r="E62" s="126">
        <f>Prodiarias!AF35/1000</f>
        <v>153.15299999999999</v>
      </c>
      <c r="F62" s="126">
        <f>Prodiarias!AP35/1000</f>
        <v>116.255</v>
      </c>
      <c r="G62" s="126" t="s">
        <v>65</v>
      </c>
      <c r="H62" s="126" t="s">
        <v>65</v>
      </c>
      <c r="I62" s="126">
        <f>Prodiarias!BE35</f>
        <v>260.75619999999998</v>
      </c>
      <c r="J62" s="126">
        <f t="shared" si="24"/>
        <v>940.36019999999985</v>
      </c>
      <c r="K62" s="129">
        <f t="shared" si="25"/>
        <v>33.228568027199998</v>
      </c>
      <c r="L62" s="139">
        <f t="shared" si="26"/>
        <v>5913.9252977999995</v>
      </c>
      <c r="N62" s="125">
        <v>25</v>
      </c>
      <c r="O62" s="126">
        <f t="shared" si="27"/>
        <v>321.50080000000003</v>
      </c>
      <c r="P62" s="126">
        <f t="shared" si="20"/>
        <v>4.16</v>
      </c>
      <c r="Q62" s="126" t="s">
        <v>65</v>
      </c>
      <c r="R62" s="126">
        <f t="shared" si="13"/>
        <v>48.580131599999994</v>
      </c>
      <c r="S62" s="126">
        <f t="shared" si="14"/>
        <v>93.004000000000005</v>
      </c>
      <c r="T62" s="126" t="s">
        <v>65</v>
      </c>
      <c r="U62" s="126" t="s">
        <v>65</v>
      </c>
      <c r="V62" s="126">
        <f t="shared" si="15"/>
        <v>91.264669999999981</v>
      </c>
      <c r="W62" s="126">
        <f t="shared" si="16"/>
        <v>558.50960160000011</v>
      </c>
      <c r="X62" s="129">
        <f t="shared" si="21"/>
        <v>19.735495282137602</v>
      </c>
      <c r="Y62" s="139">
        <f t="shared" si="28"/>
        <v>3512.4668844624002</v>
      </c>
    </row>
    <row r="63" spans="1:25" x14ac:dyDescent="0.2">
      <c r="A63" s="125">
        <v>26</v>
      </c>
      <c r="B63" s="126">
        <f>Prodiarias!E36/1000</f>
        <v>403.71899999999999</v>
      </c>
      <c r="C63" s="126">
        <f>Prodiarias!O36/1000</f>
        <v>8.5739999999999998</v>
      </c>
      <c r="D63" s="126" t="s">
        <v>65</v>
      </c>
      <c r="E63" s="126">
        <f>Prodiarias!AF36/1000</f>
        <v>154.76499999999999</v>
      </c>
      <c r="F63" s="126">
        <f>Prodiarias!AP36/1000</f>
        <v>114.633</v>
      </c>
      <c r="G63" s="126" t="s">
        <v>65</v>
      </c>
      <c r="H63" s="126" t="s">
        <v>65</v>
      </c>
      <c r="I63" s="126">
        <f>Prodiarias!BE36</f>
        <v>260.86939999999998</v>
      </c>
      <c r="J63" s="126">
        <f t="shared" si="24"/>
        <v>942.56040000000007</v>
      </c>
      <c r="K63" s="129">
        <f t="shared" si="25"/>
        <v>33.306314294399996</v>
      </c>
      <c r="L63" s="139">
        <f t="shared" si="26"/>
        <v>5927.7623556000008</v>
      </c>
      <c r="N63" s="125">
        <v>26</v>
      </c>
      <c r="O63" s="126">
        <f t="shared" si="27"/>
        <v>322.97520000000003</v>
      </c>
      <c r="P63" s="126">
        <f t="shared" si="20"/>
        <v>4.2869999999999999</v>
      </c>
      <c r="Q63" s="126" t="s">
        <v>65</v>
      </c>
      <c r="R63" s="126">
        <f t="shared" si="13"/>
        <v>49.091457999999996</v>
      </c>
      <c r="S63" s="126">
        <f t="shared" si="14"/>
        <v>91.706400000000002</v>
      </c>
      <c r="T63" s="126" t="s">
        <v>65</v>
      </c>
      <c r="U63" s="126" t="s">
        <v>65</v>
      </c>
      <c r="V63" s="126">
        <f t="shared" si="15"/>
        <v>91.304289999999995</v>
      </c>
      <c r="W63" s="126">
        <f t="shared" si="16"/>
        <v>559.36434800000006</v>
      </c>
      <c r="X63" s="129">
        <f t="shared" si="21"/>
        <v>19.765698600928001</v>
      </c>
      <c r="Y63" s="139">
        <f t="shared" si="28"/>
        <v>3517.8423845719999</v>
      </c>
    </row>
    <row r="64" spans="1:25" x14ac:dyDescent="0.2">
      <c r="A64" s="125">
        <v>27</v>
      </c>
      <c r="B64" s="126">
        <f>Prodiarias!E37/1000</f>
        <v>399.73500000000001</v>
      </c>
      <c r="C64" s="126">
        <f>Prodiarias!O37/1000</f>
        <v>8.5660000000000007</v>
      </c>
      <c r="D64" s="126" t="s">
        <v>65</v>
      </c>
      <c r="E64" s="126">
        <f>Prodiarias!AF37/1000</f>
        <v>156.55000000000001</v>
      </c>
      <c r="F64" s="126">
        <f>Prodiarias!AP37/1000</f>
        <v>113.218</v>
      </c>
      <c r="G64" s="126" t="s">
        <v>65</v>
      </c>
      <c r="H64" s="126" t="s">
        <v>65</v>
      </c>
      <c r="I64" s="126">
        <f>Prodiarias!BE37</f>
        <v>260.72789999999998</v>
      </c>
      <c r="J64" s="126">
        <f t="shared" si="24"/>
        <v>938.79689999999994</v>
      </c>
      <c r="K64" s="129">
        <f t="shared" si="25"/>
        <v>33.173327258399993</v>
      </c>
      <c r="L64" s="139">
        <f t="shared" si="26"/>
        <v>5904.0937040999997</v>
      </c>
      <c r="N64" s="125">
        <v>27</v>
      </c>
      <c r="O64" s="126">
        <f t="shared" si="27"/>
        <v>319.78800000000001</v>
      </c>
      <c r="P64" s="126">
        <f t="shared" si="20"/>
        <v>4.2830000000000004</v>
      </c>
      <c r="Q64" s="126" t="s">
        <v>65</v>
      </c>
      <c r="R64" s="126">
        <f t="shared" si="13"/>
        <v>49.65766</v>
      </c>
      <c r="S64" s="126">
        <f t="shared" si="14"/>
        <v>90.574400000000011</v>
      </c>
      <c r="T64" s="126" t="s">
        <v>65</v>
      </c>
      <c r="U64" s="126" t="s">
        <v>65</v>
      </c>
      <c r="V64" s="126">
        <f t="shared" si="15"/>
        <v>91.254764999999992</v>
      </c>
      <c r="W64" s="126">
        <f t="shared" si="16"/>
        <v>555.55782500000009</v>
      </c>
      <c r="X64" s="129">
        <f t="shared" si="21"/>
        <v>19.631191304200001</v>
      </c>
      <c r="Y64" s="139">
        <f t="shared" si="28"/>
        <v>3493.9031614250002</v>
      </c>
    </row>
    <row r="65" spans="1:25" x14ac:dyDescent="0.2">
      <c r="A65" s="125">
        <v>28</v>
      </c>
      <c r="B65" s="126">
        <f>Prodiarias!E38/1000</f>
        <v>392.05599999999998</v>
      </c>
      <c r="C65" s="126">
        <f>Prodiarias!O38/1000</f>
        <v>8.5</v>
      </c>
      <c r="D65" s="126" t="s">
        <v>65</v>
      </c>
      <c r="E65" s="126">
        <f>Prodiarias!AF38/1000</f>
        <v>148.21199999999999</v>
      </c>
      <c r="F65" s="126">
        <f>Prodiarias!AP38/1000</f>
        <v>112.026</v>
      </c>
      <c r="G65" s="126" t="s">
        <v>65</v>
      </c>
      <c r="H65" s="126" t="s">
        <v>65</v>
      </c>
      <c r="I65" s="126">
        <f>Prodiarias!BE38</f>
        <v>257.75639999999999</v>
      </c>
      <c r="J65" s="126">
        <f t="shared" si="24"/>
        <v>918.55039999999997</v>
      </c>
      <c r="K65" s="129">
        <f t="shared" si="25"/>
        <v>32.457896934399997</v>
      </c>
      <c r="L65" s="139">
        <f t="shared" si="26"/>
        <v>5776.7634656</v>
      </c>
      <c r="N65" s="125">
        <v>28</v>
      </c>
      <c r="O65" s="126">
        <f t="shared" si="27"/>
        <v>313.64480000000003</v>
      </c>
      <c r="P65" s="126">
        <f t="shared" si="20"/>
        <v>4.25</v>
      </c>
      <c r="Q65" s="126" t="s">
        <v>65</v>
      </c>
      <c r="R65" s="126">
        <f t="shared" si="13"/>
        <v>47.012846399999994</v>
      </c>
      <c r="S65" s="126">
        <f t="shared" si="14"/>
        <v>89.620800000000003</v>
      </c>
      <c r="T65" s="126" t="s">
        <v>65</v>
      </c>
      <c r="U65" s="126" t="s">
        <v>65</v>
      </c>
      <c r="V65" s="126">
        <f t="shared" si="15"/>
        <v>90.214739999999992</v>
      </c>
      <c r="W65" s="126">
        <f t="shared" si="16"/>
        <v>544.74318640000001</v>
      </c>
      <c r="X65" s="129">
        <f t="shared" si="21"/>
        <v>19.249045234630401</v>
      </c>
      <c r="Y65" s="139">
        <f t="shared" si="28"/>
        <v>3425.8898992695999</v>
      </c>
    </row>
    <row r="66" spans="1:25" x14ac:dyDescent="0.2">
      <c r="A66" s="125">
        <v>29</v>
      </c>
      <c r="B66" s="126">
        <f>Prodiarias!E39/1000</f>
        <v>383.81200000000001</v>
      </c>
      <c r="C66" s="126">
        <f>Prodiarias!O39/1000</f>
        <v>8.85</v>
      </c>
      <c r="D66" s="126" t="s">
        <v>65</v>
      </c>
      <c r="E66" s="126">
        <f>Prodiarias!AF39/1000</f>
        <v>154.804</v>
      </c>
      <c r="F66" s="126">
        <f>Prodiarias!AP39/1000</f>
        <v>110.342</v>
      </c>
      <c r="G66" s="126" t="s">
        <v>65</v>
      </c>
      <c r="H66" s="126" t="s">
        <v>65</v>
      </c>
      <c r="I66" s="126">
        <f>Prodiarias!BE39</f>
        <v>252.91709999999995</v>
      </c>
      <c r="J66" s="126">
        <f t="shared" si="24"/>
        <v>910.72509999999988</v>
      </c>
      <c r="K66" s="129">
        <f t="shared" si="25"/>
        <v>32.181382133599996</v>
      </c>
      <c r="L66" s="139">
        <f t="shared" si="26"/>
        <v>5727.5501538999988</v>
      </c>
      <c r="N66" s="125">
        <v>29</v>
      </c>
      <c r="O66" s="126">
        <f t="shared" si="27"/>
        <v>307.04960000000005</v>
      </c>
      <c r="P66" s="126">
        <f t="shared" si="20"/>
        <v>4.4249999999999998</v>
      </c>
      <c r="Q66" s="126" t="s">
        <v>65</v>
      </c>
      <c r="R66" s="126">
        <f t="shared" si="13"/>
        <v>49.103828799999995</v>
      </c>
      <c r="S66" s="126">
        <f t="shared" si="14"/>
        <v>88.273600000000002</v>
      </c>
      <c r="T66" s="126" t="s">
        <v>65</v>
      </c>
      <c r="U66" s="126" t="s">
        <v>65</v>
      </c>
      <c r="V66" s="126">
        <f t="shared" si="15"/>
        <v>88.520984999999982</v>
      </c>
      <c r="W66" s="126">
        <f t="shared" si="16"/>
        <v>537.37301379999997</v>
      </c>
      <c r="X66" s="129">
        <f t="shared" si="21"/>
        <v>18.988612815636799</v>
      </c>
      <c r="Y66" s="139">
        <f t="shared" si="28"/>
        <v>3379.5388837882001</v>
      </c>
    </row>
    <row r="67" spans="1:25" x14ac:dyDescent="0.2">
      <c r="A67" s="125">
        <v>30</v>
      </c>
      <c r="B67" s="126">
        <f>Prodiarias!E40/1000</f>
        <v>389.577</v>
      </c>
      <c r="C67" s="126">
        <f>Prodiarias!O40/1000</f>
        <v>10.711</v>
      </c>
      <c r="D67" s="126" t="s">
        <v>65</v>
      </c>
      <c r="E67" s="126">
        <f>Prodiarias!AF40/1000</f>
        <v>153.11799999999999</v>
      </c>
      <c r="F67" s="126">
        <f>Prodiarias!AP40/1000</f>
        <v>110.336</v>
      </c>
      <c r="G67" s="126" t="s">
        <v>65</v>
      </c>
      <c r="H67" s="126" t="s">
        <v>65</v>
      </c>
      <c r="I67" s="126">
        <f>Prodiarias!BE40</f>
        <v>256.11500000000001</v>
      </c>
      <c r="J67" s="126">
        <f t="shared" si="24"/>
        <v>919.85699999999997</v>
      </c>
      <c r="K67" s="129">
        <f t="shared" si="25"/>
        <v>32.504066951999995</v>
      </c>
      <c r="L67" s="139">
        <f t="shared" si="26"/>
        <v>5784.9806729999991</v>
      </c>
      <c r="N67" s="125">
        <v>30</v>
      </c>
      <c r="O67" s="126">
        <f t="shared" si="27"/>
        <v>311.66160000000002</v>
      </c>
      <c r="P67" s="126">
        <f t="shared" si="20"/>
        <v>5.3555000000000001</v>
      </c>
      <c r="Q67" s="126" t="s">
        <v>65</v>
      </c>
      <c r="R67" s="126">
        <f t="shared" si="13"/>
        <v>48.569029599999993</v>
      </c>
      <c r="S67" s="126">
        <f t="shared" si="14"/>
        <v>88.268799999999999</v>
      </c>
      <c r="T67" s="126" t="s">
        <v>65</v>
      </c>
      <c r="U67" s="126" t="s">
        <v>65</v>
      </c>
      <c r="V67" s="126">
        <f t="shared" si="15"/>
        <v>89.640249999999995</v>
      </c>
      <c r="W67" s="126">
        <f t="shared" si="16"/>
        <v>543.49517960000003</v>
      </c>
      <c r="X67" s="129">
        <f t="shared" si="21"/>
        <v>19.204945666345601</v>
      </c>
      <c r="Y67" s="139">
        <f t="shared" si="28"/>
        <v>3418.0411845044005</v>
      </c>
    </row>
    <row r="68" spans="1:25" ht="10.5" thickBot="1" x14ac:dyDescent="0.25">
      <c r="A68" s="130">
        <v>31</v>
      </c>
      <c r="B68" s="131">
        <f>Prodiarias!E41/1000</f>
        <v>390.75700000000001</v>
      </c>
      <c r="C68" s="131">
        <f>Prodiarias!O41/1000</f>
        <v>10.321999999999999</v>
      </c>
      <c r="D68" s="131" t="s">
        <v>65</v>
      </c>
      <c r="E68" s="131">
        <f>Prodiarias!AF41/1000</f>
        <v>150.904</v>
      </c>
      <c r="F68" s="131">
        <f>Prodiarias!AP41/1000</f>
        <v>110.75</v>
      </c>
      <c r="G68" s="131" t="s">
        <v>65</v>
      </c>
      <c r="H68" s="131" t="s">
        <v>65</v>
      </c>
      <c r="I68" s="131">
        <f>Prodiarias!BE41</f>
        <v>258.97329999999999</v>
      </c>
      <c r="J68" s="131">
        <f>SUM(B68:I68)</f>
        <v>921.70629999999994</v>
      </c>
      <c r="K68" s="136">
        <f>J68*35.336/1000</f>
        <v>32.569413816799994</v>
      </c>
      <c r="L68" s="140">
        <f>J68/1000*6289</f>
        <v>5796.6109207</v>
      </c>
      <c r="N68" s="130">
        <v>31</v>
      </c>
      <c r="O68" s="131">
        <f>B68*0.8</f>
        <v>312.60560000000004</v>
      </c>
      <c r="P68" s="131">
        <f t="shared" si="20"/>
        <v>5.1609999999999996</v>
      </c>
      <c r="Q68" s="131" t="s">
        <v>65</v>
      </c>
      <c r="R68" s="131">
        <f t="shared" si="13"/>
        <v>47.866748799999996</v>
      </c>
      <c r="S68" s="131">
        <f t="shared" si="14"/>
        <v>88.600000000000009</v>
      </c>
      <c r="T68" s="131" t="s">
        <v>65</v>
      </c>
      <c r="U68" s="131" t="s">
        <v>65</v>
      </c>
      <c r="V68" s="131">
        <f t="shared" si="15"/>
        <v>90.640654999999995</v>
      </c>
      <c r="W68" s="131">
        <f t="shared" si="16"/>
        <v>544.87400380000008</v>
      </c>
      <c r="X68" s="136">
        <f>W68*35.336/1000</f>
        <v>19.253667798276801</v>
      </c>
      <c r="Y68" s="140">
        <f>W68/1000*6289</f>
        <v>3426.7126098982003</v>
      </c>
    </row>
    <row r="70" spans="1:25" ht="21" customHeight="1" x14ac:dyDescent="0.25">
      <c r="E70" s="409" t="s">
        <v>86</v>
      </c>
      <c r="F70" s="410"/>
      <c r="G70" s="410"/>
      <c r="H70" s="411"/>
      <c r="I70" s="155" t="str">
        <f>D1</f>
        <v>ENERO 2021</v>
      </c>
      <c r="J70" s="156"/>
      <c r="Q70" s="409" t="s">
        <v>87</v>
      </c>
      <c r="R70" s="410"/>
      <c r="S70" s="410"/>
      <c r="T70" s="411"/>
      <c r="U70" s="155" t="str">
        <f>D1</f>
        <v>ENERO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14117.984273989507</v>
      </c>
      <c r="G72" s="151">
        <f>L38</f>
        <v>5864.8868203000002</v>
      </c>
      <c r="H72" s="153">
        <f>F72+G72</f>
        <v>19982.871094289505</v>
      </c>
      <c r="I72" s="152">
        <f>H72</f>
        <v>19982.871094289505</v>
      </c>
      <c r="J72" s="146">
        <f t="shared" ref="J72:J84" si="29">IF(F72=0,"",I72/E72)</f>
        <v>19982.871094289505</v>
      </c>
      <c r="Q72" s="126">
        <v>1</v>
      </c>
      <c r="R72" s="144">
        <f t="shared" ref="R72:R84" si="30">X3</f>
        <v>12813.065865988234</v>
      </c>
      <c r="S72" s="151">
        <f t="shared" ref="S72:S84" si="31">Y38</f>
        <v>3462.3877925461998</v>
      </c>
      <c r="T72" s="153">
        <f t="shared" ref="T72:T84" si="32">R72+S72</f>
        <v>16275.453658534434</v>
      </c>
      <c r="U72" s="152">
        <f>T72</f>
        <v>16275.453658534434</v>
      </c>
      <c r="V72" s="146">
        <f t="shared" ref="V72:V84" si="33">IF(R72=0,"",U72/Q72)</f>
        <v>16275.453658534434</v>
      </c>
    </row>
    <row r="73" spans="1:25" ht="14.15" customHeight="1" x14ac:dyDescent="0.2">
      <c r="E73" s="126">
        <v>2</v>
      </c>
      <c r="F73" s="144">
        <f t="shared" ref="F73:F84" si="34">K4</f>
        <v>14039.50164509461</v>
      </c>
      <c r="G73" s="151">
        <f t="shared" ref="G73:G84" si="35">L39</f>
        <v>5751.0169285000002</v>
      </c>
      <c r="H73" s="153">
        <f t="shared" ref="H73:H84" si="36">F73+G73</f>
        <v>19790.518573594611</v>
      </c>
      <c r="I73" s="152">
        <f t="shared" ref="I73:I84" si="37">H73+I72</f>
        <v>39773.389667884112</v>
      </c>
      <c r="J73" s="146">
        <f t="shared" si="29"/>
        <v>19886.694833942056</v>
      </c>
      <c r="Q73" s="126">
        <v>2</v>
      </c>
      <c r="R73" s="144">
        <f t="shared" si="30"/>
        <v>12757.991534170773</v>
      </c>
      <c r="S73" s="151">
        <f t="shared" si="31"/>
        <v>3404.9097109970003</v>
      </c>
      <c r="T73" s="153">
        <f t="shared" si="32"/>
        <v>16162.901245167774</v>
      </c>
      <c r="U73" s="152">
        <f t="shared" ref="U73:U84" si="38">T73+U72</f>
        <v>32438.354903702209</v>
      </c>
      <c r="V73" s="146">
        <f t="shared" si="33"/>
        <v>16219.177451851105</v>
      </c>
    </row>
    <row r="74" spans="1:25" ht="14.15" customHeight="1" x14ac:dyDescent="0.2">
      <c r="E74" s="126">
        <v>3</v>
      </c>
      <c r="F74" s="144">
        <f t="shared" si="34"/>
        <v>14169.453158848783</v>
      </c>
      <c r="G74" s="151">
        <f t="shared" si="35"/>
        <v>5796.6486547000004</v>
      </c>
      <c r="H74" s="153">
        <f t="shared" si="36"/>
        <v>19966.101813548783</v>
      </c>
      <c r="I74" s="152">
        <f t="shared" si="37"/>
        <v>59739.491481432895</v>
      </c>
      <c r="J74" s="146">
        <f t="shared" si="29"/>
        <v>19913.163827144297</v>
      </c>
      <c r="Q74" s="126">
        <v>3</v>
      </c>
      <c r="R74" s="144">
        <f t="shared" si="30"/>
        <v>12850.680240038164</v>
      </c>
      <c r="S74" s="151">
        <f t="shared" si="31"/>
        <v>3422.8612564854002</v>
      </c>
      <c r="T74" s="153">
        <f t="shared" si="32"/>
        <v>16273.541496523565</v>
      </c>
      <c r="U74" s="152">
        <f t="shared" si="38"/>
        <v>48711.896400225771</v>
      </c>
      <c r="V74" s="146">
        <f t="shared" si="33"/>
        <v>16237.298800075258</v>
      </c>
    </row>
    <row r="75" spans="1:25" ht="14.15" customHeight="1" x14ac:dyDescent="0.2">
      <c r="E75" s="126">
        <v>4</v>
      </c>
      <c r="F75" s="144">
        <f t="shared" si="34"/>
        <v>14380.842292637941</v>
      </c>
      <c r="G75" s="151">
        <f t="shared" si="35"/>
        <v>5799.957297599999</v>
      </c>
      <c r="H75" s="153">
        <f t="shared" si="36"/>
        <v>20180.799590237941</v>
      </c>
      <c r="I75" s="152">
        <f t="shared" si="37"/>
        <v>79920.291071670828</v>
      </c>
      <c r="J75" s="146">
        <f t="shared" si="29"/>
        <v>19980.072767917707</v>
      </c>
      <c r="Q75" s="126">
        <v>4</v>
      </c>
      <c r="R75" s="144">
        <f t="shared" si="30"/>
        <v>13015.863796012085</v>
      </c>
      <c r="S75" s="151">
        <f t="shared" si="31"/>
        <v>3430.6092881339996</v>
      </c>
      <c r="T75" s="153">
        <f t="shared" si="32"/>
        <v>16446.473084146084</v>
      </c>
      <c r="U75" s="152">
        <f t="shared" si="38"/>
        <v>65158.369484371855</v>
      </c>
      <c r="V75" s="146">
        <f t="shared" si="33"/>
        <v>16289.592371092964</v>
      </c>
    </row>
    <row r="76" spans="1:25" ht="14.15" customHeight="1" x14ac:dyDescent="0.2">
      <c r="E76" s="126">
        <v>5</v>
      </c>
      <c r="F76" s="144">
        <f t="shared" si="34"/>
        <v>13955.165139513434</v>
      </c>
      <c r="G76" s="151">
        <f t="shared" si="35"/>
        <v>5881.7878788999988</v>
      </c>
      <c r="H76" s="153">
        <f t="shared" si="36"/>
        <v>19836.953018413435</v>
      </c>
      <c r="I76" s="152">
        <f t="shared" si="37"/>
        <v>99757.244090084263</v>
      </c>
      <c r="J76" s="146">
        <f t="shared" si="29"/>
        <v>19951.448818016852</v>
      </c>
      <c r="Q76" s="126">
        <v>5</v>
      </c>
      <c r="R76" s="144">
        <f t="shared" si="30"/>
        <v>12677.383019926858</v>
      </c>
      <c r="S76" s="151">
        <f t="shared" si="31"/>
        <v>3498.7666363105991</v>
      </c>
      <c r="T76" s="153">
        <f t="shared" si="32"/>
        <v>16176.149656237456</v>
      </c>
      <c r="U76" s="152">
        <f t="shared" si="38"/>
        <v>81334.519140609307</v>
      </c>
      <c r="V76" s="146">
        <f t="shared" si="33"/>
        <v>16266.903828121862</v>
      </c>
    </row>
    <row r="77" spans="1:25" ht="14.15" customHeight="1" x14ac:dyDescent="0.2">
      <c r="E77" s="126">
        <v>6</v>
      </c>
      <c r="F77" s="144">
        <f t="shared" si="34"/>
        <v>14239.987254953096</v>
      </c>
      <c r="G77" s="151">
        <f t="shared" si="35"/>
        <v>5931.8627836000005</v>
      </c>
      <c r="H77" s="153">
        <f t="shared" si="36"/>
        <v>20171.850038553097</v>
      </c>
      <c r="I77" s="152">
        <f t="shared" si="37"/>
        <v>119929.09412863736</v>
      </c>
      <c r="J77" s="146">
        <f t="shared" si="29"/>
        <v>19988.182354772893</v>
      </c>
      <c r="Q77" s="126">
        <v>6</v>
      </c>
      <c r="R77" s="144">
        <f t="shared" si="30"/>
        <v>12894.227555465099</v>
      </c>
      <c r="S77" s="151">
        <f t="shared" si="31"/>
        <v>3517.8061272292002</v>
      </c>
      <c r="T77" s="153">
        <f t="shared" si="32"/>
        <v>16412.033682694298</v>
      </c>
      <c r="U77" s="152">
        <f t="shared" si="38"/>
        <v>97746.552823303602</v>
      </c>
      <c r="V77" s="146">
        <f t="shared" si="33"/>
        <v>16291.092137217267</v>
      </c>
    </row>
    <row r="78" spans="1:25" ht="14.15" customHeight="1" x14ac:dyDescent="0.2">
      <c r="E78" s="126">
        <v>7</v>
      </c>
      <c r="F78" s="144">
        <f t="shared" si="34"/>
        <v>14166.186690093813</v>
      </c>
      <c r="G78" s="151">
        <f t="shared" si="35"/>
        <v>5852.2509614999999</v>
      </c>
      <c r="H78" s="153">
        <f t="shared" si="36"/>
        <v>20018.437651593813</v>
      </c>
      <c r="I78" s="152">
        <f t="shared" si="37"/>
        <v>139947.53178023116</v>
      </c>
      <c r="J78" s="146">
        <f t="shared" si="29"/>
        <v>19992.504540033024</v>
      </c>
      <c r="Q78" s="126">
        <v>7</v>
      </c>
      <c r="R78" s="144">
        <f t="shared" si="30"/>
        <v>12797.326122944825</v>
      </c>
      <c r="S78" s="151">
        <f t="shared" si="31"/>
        <v>3456.1064399702</v>
      </c>
      <c r="T78" s="153">
        <f t="shared" si="32"/>
        <v>16253.432562915026</v>
      </c>
      <c r="U78" s="152">
        <f t="shared" si="38"/>
        <v>113999.98538621863</v>
      </c>
      <c r="V78" s="146">
        <f t="shared" si="33"/>
        <v>16285.712198031233</v>
      </c>
    </row>
    <row r="79" spans="1:25" ht="14.15" customHeight="1" x14ac:dyDescent="0.2">
      <c r="E79" s="126">
        <v>8</v>
      </c>
      <c r="F79" s="144">
        <f t="shared" si="34"/>
        <v>14249.054700206711</v>
      </c>
      <c r="G79" s="151">
        <f t="shared" si="35"/>
        <v>5853.7100094999996</v>
      </c>
      <c r="H79" s="153">
        <f t="shared" si="36"/>
        <v>20102.764709706709</v>
      </c>
      <c r="I79" s="152">
        <f t="shared" si="37"/>
        <v>160050.29648993787</v>
      </c>
      <c r="J79" s="146">
        <f t="shared" si="29"/>
        <v>20006.287061242234</v>
      </c>
      <c r="Q79" s="126">
        <v>8</v>
      </c>
      <c r="R79" s="144">
        <f t="shared" si="30"/>
        <v>12907.346646220385</v>
      </c>
      <c r="S79" s="151">
        <f t="shared" si="31"/>
        <v>3459.0875341410001</v>
      </c>
      <c r="T79" s="153">
        <f t="shared" si="32"/>
        <v>16366.434180361386</v>
      </c>
      <c r="U79" s="152">
        <f t="shared" si="38"/>
        <v>130366.41956658001</v>
      </c>
      <c r="V79" s="146">
        <f t="shared" si="33"/>
        <v>16295.802445822501</v>
      </c>
    </row>
    <row r="80" spans="1:25" ht="14.15" customHeight="1" x14ac:dyDescent="0.2">
      <c r="E80" s="126">
        <v>9</v>
      </c>
      <c r="F80" s="144">
        <f t="shared" si="34"/>
        <v>14208.745288471939</v>
      </c>
      <c r="G80" s="151">
        <f t="shared" si="35"/>
        <v>5958.753289799999</v>
      </c>
      <c r="H80" s="153">
        <f t="shared" si="36"/>
        <v>20167.498578271938</v>
      </c>
      <c r="I80" s="152">
        <f t="shared" si="37"/>
        <v>180217.79506820982</v>
      </c>
      <c r="J80" s="146">
        <f t="shared" si="29"/>
        <v>20024.199452023313</v>
      </c>
      <c r="Q80" s="126">
        <v>9</v>
      </c>
      <c r="R80" s="144">
        <f t="shared" si="30"/>
        <v>12859.943017357289</v>
      </c>
      <c r="S80" s="151">
        <f t="shared" si="31"/>
        <v>3531.1758418923996</v>
      </c>
      <c r="T80" s="153">
        <f t="shared" si="32"/>
        <v>16391.118859249687</v>
      </c>
      <c r="U80" s="152">
        <f t="shared" si="38"/>
        <v>146757.5384258297</v>
      </c>
      <c r="V80" s="146">
        <f t="shared" si="33"/>
        <v>16306.393158425522</v>
      </c>
    </row>
    <row r="81" spans="5:22" ht="14.15" customHeight="1" x14ac:dyDescent="0.2">
      <c r="E81" s="126">
        <v>10</v>
      </c>
      <c r="F81" s="144">
        <f t="shared" si="34"/>
        <v>14203.528914167597</v>
      </c>
      <c r="G81" s="151">
        <f t="shared" si="35"/>
        <v>5945.4036294999987</v>
      </c>
      <c r="H81" s="153">
        <f t="shared" si="36"/>
        <v>20148.932543667594</v>
      </c>
      <c r="I81" s="152">
        <f t="shared" si="37"/>
        <v>200366.7276118774</v>
      </c>
      <c r="J81" s="146">
        <f t="shared" si="29"/>
        <v>20036.67276118774</v>
      </c>
      <c r="Q81" s="126">
        <v>10</v>
      </c>
      <c r="R81" s="144">
        <f t="shared" si="30"/>
        <v>12861.440830809352</v>
      </c>
      <c r="S81" s="151">
        <f t="shared" si="31"/>
        <v>3531.9276503349993</v>
      </c>
      <c r="T81" s="153">
        <f t="shared" si="32"/>
        <v>16393.368481144353</v>
      </c>
      <c r="U81" s="152">
        <f t="shared" si="38"/>
        <v>163150.90690697404</v>
      </c>
      <c r="V81" s="146">
        <f t="shared" si="33"/>
        <v>16315.090690697403</v>
      </c>
    </row>
    <row r="82" spans="5:22" ht="14.15" customHeight="1" x14ac:dyDescent="0.2">
      <c r="E82" s="126">
        <v>11</v>
      </c>
      <c r="F82" s="144">
        <f t="shared" si="34"/>
        <v>14121.239634663702</v>
      </c>
      <c r="G82" s="151">
        <f t="shared" si="35"/>
        <v>5907.7469841999991</v>
      </c>
      <c r="H82" s="153">
        <f t="shared" si="36"/>
        <v>20028.986618863702</v>
      </c>
      <c r="I82" s="152">
        <f t="shared" si="37"/>
        <v>220395.71423074111</v>
      </c>
      <c r="J82" s="146">
        <f t="shared" si="29"/>
        <v>20035.974020976464</v>
      </c>
      <c r="Q82" s="126">
        <v>11</v>
      </c>
      <c r="R82" s="144">
        <f t="shared" si="30"/>
        <v>12797.976315140724</v>
      </c>
      <c r="S82" s="151">
        <f t="shared" si="31"/>
        <v>3505.3453390956001</v>
      </c>
      <c r="T82" s="153">
        <f t="shared" si="32"/>
        <v>16303.321654236324</v>
      </c>
      <c r="U82" s="152">
        <f t="shared" si="38"/>
        <v>179454.22856121036</v>
      </c>
      <c r="V82" s="146">
        <f t="shared" si="33"/>
        <v>16314.020778291851</v>
      </c>
    </row>
    <row r="83" spans="5:22" ht="14.15" customHeight="1" x14ac:dyDescent="0.2">
      <c r="E83" s="126">
        <v>12</v>
      </c>
      <c r="F83" s="144">
        <f t="shared" si="34"/>
        <v>13947.758144633486</v>
      </c>
      <c r="G83" s="151">
        <f t="shared" si="35"/>
        <v>5899.8297620999992</v>
      </c>
      <c r="H83" s="153">
        <f t="shared" si="36"/>
        <v>19847.587906733486</v>
      </c>
      <c r="I83" s="152">
        <f t="shared" si="37"/>
        <v>240243.30213747459</v>
      </c>
      <c r="J83" s="146">
        <f t="shared" si="29"/>
        <v>20020.275178122884</v>
      </c>
      <c r="Q83" s="126">
        <v>12</v>
      </c>
      <c r="R83" s="144">
        <f t="shared" si="30"/>
        <v>12637.828238715219</v>
      </c>
      <c r="S83" s="151">
        <f t="shared" si="31"/>
        <v>3497.4165691338003</v>
      </c>
      <c r="T83" s="153">
        <f t="shared" si="32"/>
        <v>16135.24480784902</v>
      </c>
      <c r="U83" s="152">
        <f t="shared" si="38"/>
        <v>195589.47336905939</v>
      </c>
      <c r="V83" s="146">
        <f t="shared" si="33"/>
        <v>16299.122780754949</v>
      </c>
    </row>
    <row r="84" spans="5:22" ht="14.15" customHeight="1" x14ac:dyDescent="0.2">
      <c r="E84" s="126">
        <v>13</v>
      </c>
      <c r="F84" s="144">
        <f t="shared" si="34"/>
        <v>13848.895746414377</v>
      </c>
      <c r="G84" s="151">
        <f t="shared" si="35"/>
        <v>5790.2514838999996</v>
      </c>
      <c r="H84" s="153">
        <f t="shared" si="36"/>
        <v>19639.147230314375</v>
      </c>
      <c r="I84" s="152">
        <f t="shared" si="37"/>
        <v>259882.44936778897</v>
      </c>
      <c r="J84" s="146">
        <f t="shared" si="29"/>
        <v>19990.957643676076</v>
      </c>
      <c r="Q84" s="126">
        <v>13</v>
      </c>
      <c r="R84" s="144">
        <f t="shared" si="30"/>
        <v>12569.522984410878</v>
      </c>
      <c r="S84" s="151">
        <f t="shared" si="31"/>
        <v>3400.1579488761995</v>
      </c>
      <c r="T84" s="153">
        <f t="shared" si="32"/>
        <v>15969.680933287078</v>
      </c>
      <c r="U84" s="152">
        <f t="shared" si="38"/>
        <v>211559.15430234646</v>
      </c>
      <c r="V84" s="146">
        <f t="shared" si="33"/>
        <v>16273.781100180497</v>
      </c>
    </row>
    <row r="85" spans="5:22" ht="14.15" customHeight="1" x14ac:dyDescent="0.2">
      <c r="E85" s="126">
        <v>14</v>
      </c>
      <c r="F85" s="144">
        <f t="shared" ref="F85:F102" si="39">K16</f>
        <v>13465.582979996821</v>
      </c>
      <c r="G85" s="151">
        <f t="shared" ref="G85:G102" si="40">L51</f>
        <v>5679.8914829999994</v>
      </c>
      <c r="H85" s="153">
        <f t="shared" ref="H85:H102" si="41">F85+G85</f>
        <v>19145.474462996819</v>
      </c>
      <c r="I85" s="152">
        <f t="shared" ref="I85:I102" si="42">H85+I84</f>
        <v>279027.92383078579</v>
      </c>
      <c r="J85" s="146">
        <f t="shared" ref="J85:J102" si="43">IF(F85=0,"",I85/E85)</f>
        <v>19930.565987913269</v>
      </c>
      <c r="Q85" s="126">
        <v>14</v>
      </c>
      <c r="R85" s="144">
        <f t="shared" ref="R85:R102" si="44">X16</f>
        <v>12261.275080960409</v>
      </c>
      <c r="S85" s="151">
        <f t="shared" ref="S85:S102" si="45">Y51</f>
        <v>3333.6994407227999</v>
      </c>
      <c r="T85" s="153">
        <f t="shared" ref="T85:T102" si="46">R85+S85</f>
        <v>15594.974521683209</v>
      </c>
      <c r="U85" s="152">
        <f t="shared" ref="U85:U102" si="47">T85+U84</f>
        <v>227154.12882402967</v>
      </c>
      <c r="V85" s="146">
        <f t="shared" ref="V85:V102" si="48">IF(R85=0,"",U85/Q85)</f>
        <v>16225.29491600212</v>
      </c>
    </row>
    <row r="86" spans="5:22" ht="14.15" customHeight="1" x14ac:dyDescent="0.2">
      <c r="E86" s="126">
        <v>15</v>
      </c>
      <c r="F86" s="144">
        <f t="shared" si="39"/>
        <v>13708.66773013198</v>
      </c>
      <c r="G86" s="151">
        <f t="shared" si="40"/>
        <v>5802.1043621999997</v>
      </c>
      <c r="H86" s="153">
        <f t="shared" si="41"/>
        <v>19510.772092331979</v>
      </c>
      <c r="I86" s="152">
        <f t="shared" si="42"/>
        <v>298538.69592311775</v>
      </c>
      <c r="J86" s="146">
        <f t="shared" si="43"/>
        <v>19902.579728207849</v>
      </c>
      <c r="Q86" s="126">
        <v>15</v>
      </c>
      <c r="R86" s="144">
        <f t="shared" si="44"/>
        <v>12431.23126917475</v>
      </c>
      <c r="S86" s="151">
        <f t="shared" si="45"/>
        <v>3438.5575049416002</v>
      </c>
      <c r="T86" s="153">
        <f t="shared" si="46"/>
        <v>15869.78877411635</v>
      </c>
      <c r="U86" s="152">
        <f t="shared" si="47"/>
        <v>243023.91759814601</v>
      </c>
      <c r="V86" s="146">
        <f t="shared" si="48"/>
        <v>16201.594506543068</v>
      </c>
    </row>
    <row r="87" spans="5:22" ht="14.15" customHeight="1" x14ac:dyDescent="0.2">
      <c r="E87" s="126">
        <v>16</v>
      </c>
      <c r="F87" s="144">
        <f t="shared" si="39"/>
        <v>14142.182590872953</v>
      </c>
      <c r="G87" s="151">
        <f t="shared" si="40"/>
        <v>5838.9044457</v>
      </c>
      <c r="H87" s="153">
        <f t="shared" si="41"/>
        <v>19981.087036572953</v>
      </c>
      <c r="I87" s="152">
        <f t="shared" si="42"/>
        <v>318519.78295969072</v>
      </c>
      <c r="J87" s="146">
        <f t="shared" si="43"/>
        <v>19907.48643498067</v>
      </c>
      <c r="Q87" s="126">
        <v>16</v>
      </c>
      <c r="R87" s="144">
        <f t="shared" si="44"/>
        <v>12794.915537605342</v>
      </c>
      <c r="S87" s="151">
        <f t="shared" si="45"/>
        <v>3451.503845382601</v>
      </c>
      <c r="T87" s="153">
        <f t="shared" si="46"/>
        <v>16246.419382987944</v>
      </c>
      <c r="U87" s="152">
        <f t="shared" si="47"/>
        <v>259270.33698113397</v>
      </c>
      <c r="V87" s="146">
        <f t="shared" si="48"/>
        <v>16204.396061320873</v>
      </c>
    </row>
    <row r="88" spans="5:22" ht="14.15" customHeight="1" x14ac:dyDescent="0.2">
      <c r="E88" s="126">
        <v>17</v>
      </c>
      <c r="F88" s="144">
        <f t="shared" si="39"/>
        <v>14172.939502496425</v>
      </c>
      <c r="G88" s="151">
        <f t="shared" si="40"/>
        <v>5799.5931645000001</v>
      </c>
      <c r="H88" s="153">
        <f t="shared" si="41"/>
        <v>19972.532666996427</v>
      </c>
      <c r="I88" s="152">
        <f t="shared" si="42"/>
        <v>338492.31562668714</v>
      </c>
      <c r="J88" s="146">
        <f t="shared" si="43"/>
        <v>19911.312683922773</v>
      </c>
      <c r="Q88" s="126">
        <v>17</v>
      </c>
      <c r="R88" s="144">
        <f t="shared" si="44"/>
        <v>12806.751786827796</v>
      </c>
      <c r="S88" s="151">
        <f t="shared" si="45"/>
        <v>3428.7433783102006</v>
      </c>
      <c r="T88" s="153">
        <f t="shared" si="46"/>
        <v>16235.495165137996</v>
      </c>
      <c r="U88" s="152">
        <f t="shared" si="47"/>
        <v>275505.83214627195</v>
      </c>
      <c r="V88" s="146">
        <f t="shared" si="48"/>
        <v>16206.225420368937</v>
      </c>
    </row>
    <row r="89" spans="5:22" ht="14.15" customHeight="1" x14ac:dyDescent="0.2">
      <c r="E89" s="126">
        <v>18</v>
      </c>
      <c r="F89" s="144">
        <f t="shared" si="39"/>
        <v>13955.010780728255</v>
      </c>
      <c r="G89" s="151">
        <f t="shared" si="40"/>
        <v>5817.0350771000003</v>
      </c>
      <c r="H89" s="153">
        <f t="shared" si="41"/>
        <v>19772.045857828256</v>
      </c>
      <c r="I89" s="152">
        <f t="shared" si="42"/>
        <v>358264.36148451536</v>
      </c>
      <c r="J89" s="146">
        <f t="shared" si="43"/>
        <v>19903.575638028633</v>
      </c>
      <c r="Q89" s="126">
        <v>18</v>
      </c>
      <c r="R89" s="144">
        <f t="shared" si="44"/>
        <v>12631.249650628079</v>
      </c>
      <c r="S89" s="151">
        <f t="shared" si="45"/>
        <v>3440.2386766481995</v>
      </c>
      <c r="T89" s="153">
        <f t="shared" si="46"/>
        <v>16071.488327276278</v>
      </c>
      <c r="U89" s="152">
        <f t="shared" si="47"/>
        <v>291577.3204735482</v>
      </c>
      <c r="V89" s="146">
        <f t="shared" si="48"/>
        <v>16198.740026308233</v>
      </c>
    </row>
    <row r="90" spans="5:22" ht="14.15" customHeight="1" x14ac:dyDescent="0.2">
      <c r="E90" s="126">
        <v>19</v>
      </c>
      <c r="F90" s="144">
        <f t="shared" si="39"/>
        <v>14087.81278937828</v>
      </c>
      <c r="G90" s="151">
        <f t="shared" si="40"/>
        <v>5741.6689588999998</v>
      </c>
      <c r="H90" s="153">
        <f t="shared" si="41"/>
        <v>19829.481748278282</v>
      </c>
      <c r="I90" s="152">
        <f t="shared" si="42"/>
        <v>378093.84323279362</v>
      </c>
      <c r="J90" s="146">
        <f t="shared" si="43"/>
        <v>19899.675959620716</v>
      </c>
      <c r="Q90" s="126">
        <v>19</v>
      </c>
      <c r="R90" s="144">
        <f t="shared" si="44"/>
        <v>12732.864388411515</v>
      </c>
      <c r="S90" s="151">
        <f t="shared" si="45"/>
        <v>3403.6933655694002</v>
      </c>
      <c r="T90" s="153">
        <f t="shared" si="46"/>
        <v>16136.557753980916</v>
      </c>
      <c r="U90" s="152">
        <f t="shared" si="47"/>
        <v>307713.87822752912</v>
      </c>
      <c r="V90" s="146">
        <f t="shared" si="48"/>
        <v>16195.467275133111</v>
      </c>
    </row>
    <row r="91" spans="5:22" ht="14.15" customHeight="1" x14ac:dyDescent="0.2">
      <c r="E91" s="126">
        <v>20</v>
      </c>
      <c r="F91" s="144">
        <f t="shared" si="39"/>
        <v>13254.1746836699</v>
      </c>
      <c r="G91" s="151">
        <f t="shared" si="40"/>
        <v>5655.6983289</v>
      </c>
      <c r="H91" s="153">
        <f t="shared" si="41"/>
        <v>18909.8730125699</v>
      </c>
      <c r="I91" s="152">
        <f t="shared" si="42"/>
        <v>397003.71624536352</v>
      </c>
      <c r="J91" s="146">
        <f t="shared" si="43"/>
        <v>19850.185812268177</v>
      </c>
      <c r="Q91" s="126">
        <v>20</v>
      </c>
      <c r="R91" s="144">
        <f t="shared" si="44"/>
        <v>12052.044957048814</v>
      </c>
      <c r="S91" s="151">
        <f t="shared" si="45"/>
        <v>3324.9689968374</v>
      </c>
      <c r="T91" s="153">
        <f t="shared" si="46"/>
        <v>15377.013953886215</v>
      </c>
      <c r="U91" s="152">
        <f t="shared" si="47"/>
        <v>323090.89218141534</v>
      </c>
      <c r="V91" s="146">
        <f t="shared" si="48"/>
        <v>16154.544609070766</v>
      </c>
    </row>
    <row r="92" spans="5:22" ht="14.15" customHeight="1" x14ac:dyDescent="0.2">
      <c r="E92" s="126">
        <v>21</v>
      </c>
      <c r="F92" s="144">
        <f>K23</f>
        <v>14052.46845209095</v>
      </c>
      <c r="G92" s="151">
        <f t="shared" si="40"/>
        <v>5599.3212172999993</v>
      </c>
      <c r="H92" s="153">
        <f t="shared" si="41"/>
        <v>19651.78966939095</v>
      </c>
      <c r="I92" s="152">
        <f t="shared" si="42"/>
        <v>416655.50591475447</v>
      </c>
      <c r="J92" s="146">
        <f t="shared" si="43"/>
        <v>19840.73837689307</v>
      </c>
      <c r="Q92" s="126">
        <v>21</v>
      </c>
      <c r="R92" s="144">
        <f t="shared" si="44"/>
        <v>12744.486860003182</v>
      </c>
      <c r="S92" s="151">
        <f t="shared" si="45"/>
        <v>3239.3963951317996</v>
      </c>
      <c r="T92" s="153">
        <f t="shared" si="46"/>
        <v>15983.883255134982</v>
      </c>
      <c r="U92" s="152">
        <f t="shared" si="47"/>
        <v>339074.77543655032</v>
      </c>
      <c r="V92" s="146">
        <f t="shared" si="48"/>
        <v>16146.417877930968</v>
      </c>
    </row>
    <row r="93" spans="5:22" ht="14.15" customHeight="1" x14ac:dyDescent="0.2">
      <c r="E93" s="126">
        <v>22</v>
      </c>
      <c r="F93" s="144">
        <f t="shared" si="39"/>
        <v>14545.997225632058</v>
      </c>
      <c r="G93" s="151">
        <f t="shared" si="40"/>
        <v>5762.8616310999996</v>
      </c>
      <c r="H93" s="153">
        <f t="shared" si="41"/>
        <v>20308.858856732058</v>
      </c>
      <c r="I93" s="152">
        <f t="shared" si="42"/>
        <v>436964.36477148655</v>
      </c>
      <c r="J93" s="146">
        <f t="shared" si="43"/>
        <v>19862.016580522115</v>
      </c>
      <c r="Q93" s="126">
        <v>22</v>
      </c>
      <c r="R93" s="144">
        <f t="shared" si="44"/>
        <v>13212.354716743523</v>
      </c>
      <c r="S93" s="151">
        <f t="shared" si="45"/>
        <v>3366.7185459778007</v>
      </c>
      <c r="T93" s="153">
        <f t="shared" si="46"/>
        <v>16579.073262721322</v>
      </c>
      <c r="U93" s="152">
        <f t="shared" si="47"/>
        <v>355653.84869927162</v>
      </c>
      <c r="V93" s="146">
        <f t="shared" si="48"/>
        <v>16166.084031785074</v>
      </c>
    </row>
    <row r="94" spans="5:22" ht="14.15" customHeight="1" x14ac:dyDescent="0.2">
      <c r="E94" s="126">
        <v>23</v>
      </c>
      <c r="F94" s="144">
        <f t="shared" si="39"/>
        <v>14516.151967498809</v>
      </c>
      <c r="G94" s="151">
        <f t="shared" si="40"/>
        <v>5981.1918128999996</v>
      </c>
      <c r="H94" s="153">
        <f t="shared" si="41"/>
        <v>20497.343780398809</v>
      </c>
      <c r="I94" s="152">
        <f t="shared" si="42"/>
        <v>457461.70855188539</v>
      </c>
      <c r="J94" s="146">
        <f t="shared" si="43"/>
        <v>19889.639502255886</v>
      </c>
      <c r="Q94" s="126">
        <v>23</v>
      </c>
      <c r="R94" s="144">
        <f t="shared" si="44"/>
        <v>13197.530317901099</v>
      </c>
      <c r="S94" s="151">
        <f t="shared" si="45"/>
        <v>3552.2439705097995</v>
      </c>
      <c r="T94" s="153">
        <f t="shared" si="46"/>
        <v>16749.774288410899</v>
      </c>
      <c r="U94" s="152">
        <f t="shared" si="47"/>
        <v>372403.62298768252</v>
      </c>
      <c r="V94" s="146">
        <f t="shared" si="48"/>
        <v>16191.461869029676</v>
      </c>
    </row>
    <row r="95" spans="5:22" ht="14.15" customHeight="1" x14ac:dyDescent="0.2">
      <c r="E95" s="126">
        <v>24</v>
      </c>
      <c r="F95" s="144">
        <f t="shared" si="39"/>
        <v>14564.837824773411</v>
      </c>
      <c r="G95" s="151">
        <f t="shared" si="40"/>
        <v>5971.1797249000001</v>
      </c>
      <c r="H95" s="153">
        <f t="shared" si="41"/>
        <v>20536.017549673412</v>
      </c>
      <c r="I95" s="152">
        <f t="shared" si="42"/>
        <v>477997.72610155877</v>
      </c>
      <c r="J95" s="146">
        <f t="shared" si="43"/>
        <v>19916.571920898281</v>
      </c>
      <c r="Q95" s="126">
        <v>24</v>
      </c>
      <c r="R95" s="144">
        <f t="shared" si="44"/>
        <v>13237.246883256477</v>
      </c>
      <c r="S95" s="151">
        <f t="shared" si="45"/>
        <v>3544.733274401</v>
      </c>
      <c r="T95" s="153">
        <f t="shared" si="46"/>
        <v>16781.980157657476</v>
      </c>
      <c r="U95" s="152">
        <f t="shared" si="47"/>
        <v>389185.60314533999</v>
      </c>
      <c r="V95" s="146">
        <f t="shared" si="48"/>
        <v>16216.0667977225</v>
      </c>
    </row>
    <row r="96" spans="5:22" ht="14.15" customHeight="1" x14ac:dyDescent="0.2">
      <c r="E96" s="126">
        <v>25</v>
      </c>
      <c r="F96" s="144">
        <f t="shared" si="39"/>
        <v>14392.255845635236</v>
      </c>
      <c r="G96" s="151">
        <f t="shared" si="40"/>
        <v>5913.9252977999995</v>
      </c>
      <c r="H96" s="153">
        <f t="shared" si="41"/>
        <v>20306.181143435235</v>
      </c>
      <c r="I96" s="152">
        <f t="shared" si="42"/>
        <v>498303.90724499401</v>
      </c>
      <c r="J96" s="146">
        <f t="shared" si="43"/>
        <v>19932.156289799761</v>
      </c>
      <c r="Q96" s="126">
        <v>25</v>
      </c>
      <c r="R96" s="144">
        <f t="shared" si="44"/>
        <v>13100.716360019082</v>
      </c>
      <c r="S96" s="151">
        <f t="shared" si="45"/>
        <v>3512.4668844624002</v>
      </c>
      <c r="T96" s="153">
        <f t="shared" si="46"/>
        <v>16613.183244481483</v>
      </c>
      <c r="U96" s="152">
        <f t="shared" si="47"/>
        <v>405798.7863898215</v>
      </c>
      <c r="V96" s="146">
        <f t="shared" si="48"/>
        <v>16231.95145559286</v>
      </c>
    </row>
    <row r="97" spans="5:22" ht="14.15" customHeight="1" x14ac:dyDescent="0.2">
      <c r="E97" s="126">
        <v>26</v>
      </c>
      <c r="F97" s="144">
        <f t="shared" si="39"/>
        <v>14724.092833073619</v>
      </c>
      <c r="G97" s="151">
        <f t="shared" si="40"/>
        <v>5927.7623556000008</v>
      </c>
      <c r="H97" s="153">
        <f t="shared" si="41"/>
        <v>20651.85518867362</v>
      </c>
      <c r="I97" s="152">
        <f t="shared" si="42"/>
        <v>518955.76243366761</v>
      </c>
      <c r="J97" s="146">
        <f t="shared" si="43"/>
        <v>19959.837016679525</v>
      </c>
      <c r="Q97" s="126">
        <v>26</v>
      </c>
      <c r="R97" s="144">
        <f t="shared" si="44"/>
        <v>13369.599238314517</v>
      </c>
      <c r="S97" s="151">
        <f t="shared" si="45"/>
        <v>3517.8423845719999</v>
      </c>
      <c r="T97" s="153">
        <f t="shared" si="46"/>
        <v>16887.441622886516</v>
      </c>
      <c r="U97" s="152">
        <f t="shared" si="47"/>
        <v>422686.22801270802</v>
      </c>
      <c r="V97" s="146">
        <f t="shared" si="48"/>
        <v>16257.162615873385</v>
      </c>
    </row>
    <row r="98" spans="5:22" ht="14.15" customHeight="1" x14ac:dyDescent="0.2">
      <c r="E98" s="126">
        <v>27</v>
      </c>
      <c r="F98" s="144">
        <f t="shared" si="39"/>
        <v>14760.446234250279</v>
      </c>
      <c r="G98" s="151">
        <f t="shared" si="40"/>
        <v>5904.0937040999997</v>
      </c>
      <c r="H98" s="153">
        <f t="shared" si="41"/>
        <v>20664.539938350281</v>
      </c>
      <c r="I98" s="152">
        <f t="shared" si="42"/>
        <v>539620.30237201788</v>
      </c>
      <c r="J98" s="146">
        <f t="shared" si="43"/>
        <v>19985.937124889551</v>
      </c>
      <c r="Q98" s="126">
        <v>27</v>
      </c>
      <c r="R98" s="144">
        <f t="shared" si="44"/>
        <v>13406.326383870251</v>
      </c>
      <c r="S98" s="151">
        <f t="shared" si="45"/>
        <v>3493.9031614250002</v>
      </c>
      <c r="T98" s="153">
        <f t="shared" si="46"/>
        <v>16900.229545295253</v>
      </c>
      <c r="U98" s="152">
        <f t="shared" si="47"/>
        <v>439586.45755800325</v>
      </c>
      <c r="V98" s="146">
        <f t="shared" si="48"/>
        <v>16280.979909555675</v>
      </c>
    </row>
    <row r="99" spans="5:22" ht="14.15" customHeight="1" x14ac:dyDescent="0.2">
      <c r="E99" s="126">
        <v>28</v>
      </c>
      <c r="F99" s="144">
        <f t="shared" si="39"/>
        <v>14620.450581702529</v>
      </c>
      <c r="G99" s="151">
        <f t="shared" si="40"/>
        <v>5776.7634656</v>
      </c>
      <c r="H99" s="153">
        <f t="shared" si="41"/>
        <v>20397.214047302528</v>
      </c>
      <c r="I99" s="152">
        <f t="shared" si="42"/>
        <v>560017.51641932037</v>
      </c>
      <c r="J99" s="146">
        <f t="shared" si="43"/>
        <v>20000.625586404298</v>
      </c>
      <c r="Q99" s="126">
        <v>28</v>
      </c>
      <c r="R99" s="144">
        <f t="shared" si="44"/>
        <v>13290.055587384602</v>
      </c>
      <c r="S99" s="151">
        <f t="shared" si="45"/>
        <v>3425.8898992695999</v>
      </c>
      <c r="T99" s="153">
        <f t="shared" si="46"/>
        <v>16715.945486654204</v>
      </c>
      <c r="U99" s="152">
        <f t="shared" si="47"/>
        <v>456302.40304465743</v>
      </c>
      <c r="V99" s="146">
        <f t="shared" si="48"/>
        <v>16296.514394452051</v>
      </c>
    </row>
    <row r="100" spans="5:22" ht="14.15" customHeight="1" x14ac:dyDescent="0.2">
      <c r="E100" s="126">
        <v>29</v>
      </c>
      <c r="F100" s="144">
        <f t="shared" si="39"/>
        <v>11468.547833041817</v>
      </c>
      <c r="G100" s="151">
        <f t="shared" si="40"/>
        <v>5727.5501538999988</v>
      </c>
      <c r="H100" s="153">
        <f t="shared" si="41"/>
        <v>17196.097986941815</v>
      </c>
      <c r="I100" s="152">
        <f t="shared" si="42"/>
        <v>577213.61440626218</v>
      </c>
      <c r="J100" s="146">
        <f t="shared" si="43"/>
        <v>19903.917738146971</v>
      </c>
      <c r="Q100" s="126">
        <v>29</v>
      </c>
      <c r="R100" s="144">
        <f t="shared" si="44"/>
        <v>10084.200658076004</v>
      </c>
      <c r="S100" s="151">
        <f t="shared" si="45"/>
        <v>3379.5388837882001</v>
      </c>
      <c r="T100" s="153">
        <f t="shared" si="46"/>
        <v>13463.739541864205</v>
      </c>
      <c r="U100" s="152">
        <f t="shared" si="47"/>
        <v>469766.14258652163</v>
      </c>
      <c r="V100" s="146">
        <f t="shared" si="48"/>
        <v>16198.832502983505</v>
      </c>
    </row>
    <row r="101" spans="5:22" ht="14.15" customHeight="1" x14ac:dyDescent="0.2">
      <c r="E101" s="126">
        <v>30</v>
      </c>
      <c r="F101" s="144">
        <f t="shared" si="39"/>
        <v>14673.527269645412</v>
      </c>
      <c r="G101" s="151">
        <f t="shared" si="40"/>
        <v>5784.9806729999991</v>
      </c>
      <c r="H101" s="153">
        <f t="shared" si="41"/>
        <v>20458.50794264541</v>
      </c>
      <c r="I101" s="152">
        <f t="shared" si="42"/>
        <v>597672.12234890764</v>
      </c>
      <c r="J101" s="146">
        <f t="shared" si="43"/>
        <v>19922.40407829692</v>
      </c>
      <c r="Q101" s="126">
        <v>30</v>
      </c>
      <c r="R101" s="144">
        <f t="shared" si="44"/>
        <v>13332.93318121164</v>
      </c>
      <c r="S101" s="151">
        <f t="shared" si="45"/>
        <v>3418.0411845044005</v>
      </c>
      <c r="T101" s="153">
        <f t="shared" si="46"/>
        <v>16750.97436571604</v>
      </c>
      <c r="U101" s="152">
        <f t="shared" si="47"/>
        <v>486517.11695223767</v>
      </c>
      <c r="V101" s="146">
        <f t="shared" si="48"/>
        <v>16217.237231741256</v>
      </c>
    </row>
    <row r="102" spans="5:22" ht="14.15" customHeight="1" x14ac:dyDescent="0.2">
      <c r="E102" s="147">
        <v>31</v>
      </c>
      <c r="F102" s="144">
        <f t="shared" si="39"/>
        <v>14678.144442677692</v>
      </c>
      <c r="G102" s="151">
        <f t="shared" si="40"/>
        <v>5796.6109207</v>
      </c>
      <c r="H102" s="153">
        <f t="shared" si="41"/>
        <v>20474.755363377692</v>
      </c>
      <c r="I102" s="152">
        <f t="shared" si="42"/>
        <v>618146.87771228538</v>
      </c>
      <c r="J102" s="146">
        <f t="shared" si="43"/>
        <v>19940.221861686627</v>
      </c>
      <c r="Q102" s="147">
        <v>31</v>
      </c>
      <c r="R102" s="144">
        <f t="shared" si="44"/>
        <v>13332.585291779298</v>
      </c>
      <c r="S102" s="151">
        <f t="shared" si="45"/>
        <v>3426.7126098982003</v>
      </c>
      <c r="T102" s="153">
        <f t="shared" si="46"/>
        <v>16759.297901677499</v>
      </c>
      <c r="U102" s="152">
        <f t="shared" si="47"/>
        <v>503276.41485391516</v>
      </c>
      <c r="V102" s="146">
        <f t="shared" si="48"/>
        <v>16234.723059803715</v>
      </c>
    </row>
    <row r="103" spans="5:22" x14ac:dyDescent="0.2"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H45" sqref="H45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2"/>
  <sheetViews>
    <sheetView zoomScaleNormal="100" workbookViewId="0">
      <pane xSplit="4" ySplit="8" topLeftCell="E33" activePane="bottomRight" state="frozen"/>
      <selection pane="topRight" activeCell="E1" sqref="E1"/>
      <selection pane="bottomLeft" activeCell="A9" sqref="A9"/>
      <selection pane="bottomRight" activeCell="G39" sqref="G39:G40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110</v>
      </c>
      <c r="D9" s="225">
        <v>44197</v>
      </c>
      <c r="E9" s="233">
        <v>65.44</v>
      </c>
      <c r="F9" s="247">
        <v>9.3390000000000004</v>
      </c>
      <c r="G9" s="246">
        <v>3736.93</v>
      </c>
      <c r="H9" s="236">
        <v>2752.03</v>
      </c>
    </row>
    <row r="10" spans="3:11" ht="15.5" x14ac:dyDescent="0.35">
      <c r="C10" s="14" t="s">
        <v>111</v>
      </c>
      <c r="D10" s="225">
        <f>+D9+1</f>
        <v>44198</v>
      </c>
      <c r="E10" s="233">
        <v>43.85</v>
      </c>
      <c r="F10" s="247">
        <v>8.9350000000000005</v>
      </c>
      <c r="G10" s="246">
        <v>3734.23</v>
      </c>
      <c r="H10" s="236">
        <v>2750.15</v>
      </c>
    </row>
    <row r="11" spans="3:11" ht="15.5" x14ac:dyDescent="0.35">
      <c r="C11" s="14" t="s">
        <v>112</v>
      </c>
      <c r="D11" s="225">
        <f t="shared" ref="D11:D39" si="0">+D10+1</f>
        <v>44199</v>
      </c>
      <c r="E11" s="233">
        <v>68.459999999999994</v>
      </c>
      <c r="F11" s="247">
        <v>9.3710000000000004</v>
      </c>
      <c r="G11" s="246">
        <v>3725.58</v>
      </c>
      <c r="H11" s="236">
        <v>2740.12</v>
      </c>
    </row>
    <row r="12" spans="3:11" ht="15.5" x14ac:dyDescent="0.35">
      <c r="C12" s="14" t="s">
        <v>113</v>
      </c>
      <c r="D12" s="225">
        <f t="shared" si="0"/>
        <v>44200</v>
      </c>
      <c r="E12" s="233">
        <v>59.69</v>
      </c>
      <c r="F12" s="247">
        <v>9.3379999999999992</v>
      </c>
      <c r="G12" s="246">
        <v>3727.05</v>
      </c>
      <c r="H12" s="236">
        <v>2728.18</v>
      </c>
    </row>
    <row r="13" spans="3:11" ht="15.5" x14ac:dyDescent="0.35">
      <c r="C13" s="14" t="s">
        <v>114</v>
      </c>
      <c r="D13" s="225">
        <f t="shared" si="0"/>
        <v>44201</v>
      </c>
      <c r="E13" s="252">
        <v>51.71</v>
      </c>
      <c r="F13" s="247">
        <v>9.2870000000000008</v>
      </c>
      <c r="G13" s="246">
        <v>3721.29</v>
      </c>
      <c r="H13" s="236">
        <v>2723.16</v>
      </c>
      <c r="J13" s="14" t="s">
        <v>54</v>
      </c>
    </row>
    <row r="14" spans="3:11" ht="15.5" x14ac:dyDescent="0.35">
      <c r="C14" s="14" t="s">
        <v>115</v>
      </c>
      <c r="D14" s="225">
        <f t="shared" si="0"/>
        <v>44202</v>
      </c>
      <c r="E14" s="233">
        <v>74.2</v>
      </c>
      <c r="F14" s="247">
        <v>9.2880000000000003</v>
      </c>
      <c r="G14" s="246">
        <v>3730.53</v>
      </c>
      <c r="H14" s="236">
        <v>2708.12</v>
      </c>
    </row>
    <row r="15" spans="3:11" ht="15.5" x14ac:dyDescent="0.35">
      <c r="C15" s="14" t="s">
        <v>116</v>
      </c>
      <c r="D15" s="225">
        <f t="shared" si="0"/>
        <v>44203</v>
      </c>
      <c r="E15" s="252">
        <v>54.97</v>
      </c>
      <c r="F15" s="247">
        <v>9.2850000000000001</v>
      </c>
      <c r="G15" s="246">
        <v>3524.32</v>
      </c>
      <c r="H15" s="246">
        <v>2702.24</v>
      </c>
    </row>
    <row r="16" spans="3:11" ht="15.5" x14ac:dyDescent="0.35">
      <c r="C16" s="14" t="s">
        <v>110</v>
      </c>
      <c r="D16" s="225">
        <f t="shared" si="0"/>
        <v>44204</v>
      </c>
      <c r="E16" s="252">
        <v>51.2</v>
      </c>
      <c r="F16" s="247">
        <v>9.2750000000000004</v>
      </c>
      <c r="G16" s="246">
        <v>3730.45</v>
      </c>
      <c r="H16" s="236">
        <v>2690.22</v>
      </c>
      <c r="K16" s="251"/>
    </row>
    <row r="17" spans="3:13" ht="15.5" x14ac:dyDescent="0.35">
      <c r="C17" s="14" t="s">
        <v>111</v>
      </c>
      <c r="D17" s="225">
        <f t="shared" si="0"/>
        <v>44205</v>
      </c>
      <c r="E17" s="252">
        <v>49.01</v>
      </c>
      <c r="F17" s="247">
        <v>9.3239999999999998</v>
      </c>
      <c r="G17" s="246">
        <v>3740.89</v>
      </c>
      <c r="H17" s="236">
        <v>2595.19</v>
      </c>
    </row>
    <row r="18" spans="3:13" ht="15.5" x14ac:dyDescent="0.35">
      <c r="C18" s="14" t="s">
        <v>112</v>
      </c>
      <c r="D18" s="225">
        <f t="shared" si="0"/>
        <v>44206</v>
      </c>
      <c r="E18" s="252">
        <v>65.66</v>
      </c>
      <c r="F18" s="247">
        <v>9.2850000000000001</v>
      </c>
      <c r="G18" s="246">
        <v>3740.14</v>
      </c>
      <c r="H18" s="236">
        <v>2666.2</v>
      </c>
      <c r="M18" s="251"/>
    </row>
    <row r="19" spans="3:13" ht="15.5" x14ac:dyDescent="0.35">
      <c r="C19" s="14" t="s">
        <v>113</v>
      </c>
      <c r="D19" s="225">
        <f t="shared" si="0"/>
        <v>44207</v>
      </c>
      <c r="E19" s="252">
        <v>49.99</v>
      </c>
      <c r="F19" s="247">
        <v>9.2759999999999998</v>
      </c>
      <c r="G19" s="246">
        <v>3742.94</v>
      </c>
      <c r="H19" s="236">
        <v>2665.15</v>
      </c>
    </row>
    <row r="20" spans="3:13" ht="15.5" x14ac:dyDescent="0.35">
      <c r="C20" s="14" t="s">
        <v>114</v>
      </c>
      <c r="D20" s="225">
        <f t="shared" si="0"/>
        <v>44208</v>
      </c>
      <c r="E20" s="252">
        <v>72</v>
      </c>
      <c r="F20" s="247">
        <v>9.2729999999999997</v>
      </c>
      <c r="G20" s="246">
        <v>3740.73</v>
      </c>
      <c r="H20" s="236">
        <v>2641.36</v>
      </c>
    </row>
    <row r="21" spans="3:13" ht="15.5" x14ac:dyDescent="0.35">
      <c r="C21" s="14" t="s">
        <v>115</v>
      </c>
      <c r="D21" s="225">
        <f t="shared" si="0"/>
        <v>44209</v>
      </c>
      <c r="E21" s="252">
        <v>54.18</v>
      </c>
      <c r="F21" s="247">
        <v>9.2970000000000006</v>
      </c>
      <c r="G21" s="246">
        <v>3732.29</v>
      </c>
      <c r="H21" s="236">
        <v>2661.19</v>
      </c>
    </row>
    <row r="22" spans="3:13" ht="15.5" x14ac:dyDescent="0.35">
      <c r="C22" s="14" t="s">
        <v>116</v>
      </c>
      <c r="D22" s="225">
        <f t="shared" si="0"/>
        <v>44210</v>
      </c>
      <c r="E22" s="252">
        <v>49.41</v>
      </c>
      <c r="F22" s="247">
        <v>9.2899999999999991</v>
      </c>
      <c r="G22" s="246">
        <v>3722.67</v>
      </c>
      <c r="H22" s="236">
        <v>2662.14</v>
      </c>
    </row>
    <row r="23" spans="3:13" ht="15.5" x14ac:dyDescent="0.35">
      <c r="C23" s="14" t="s">
        <v>110</v>
      </c>
      <c r="D23" s="225">
        <f t="shared" si="0"/>
        <v>44211</v>
      </c>
      <c r="E23" s="252">
        <v>63.62</v>
      </c>
      <c r="F23" s="247">
        <v>9.2859999999999996</v>
      </c>
      <c r="G23" s="246">
        <v>3720.95</v>
      </c>
      <c r="H23" s="236">
        <v>2578.13</v>
      </c>
    </row>
    <row r="24" spans="3:13" ht="15.5" x14ac:dyDescent="0.35">
      <c r="C24" s="14" t="s">
        <v>111</v>
      </c>
      <c r="D24" s="225">
        <f t="shared" si="0"/>
        <v>44212</v>
      </c>
      <c r="E24" s="233">
        <v>56.92</v>
      </c>
      <c r="F24" s="247">
        <v>9.2810000000000006</v>
      </c>
      <c r="G24" s="246">
        <v>3701.06</v>
      </c>
      <c r="H24" s="236">
        <v>2666.17</v>
      </c>
    </row>
    <row r="25" spans="3:13" ht="15.5" x14ac:dyDescent="0.35">
      <c r="C25" s="14" t="s">
        <v>112</v>
      </c>
      <c r="D25" s="225">
        <f t="shared" si="0"/>
        <v>44213</v>
      </c>
      <c r="E25" s="233">
        <v>58.96</v>
      </c>
      <c r="F25" s="247">
        <v>9.2750000000000004</v>
      </c>
      <c r="G25" s="246">
        <v>3653.69</v>
      </c>
      <c r="H25" s="236">
        <v>2661.11</v>
      </c>
    </row>
    <row r="26" spans="3:13" ht="15.5" x14ac:dyDescent="0.35">
      <c r="C26" s="14" t="s">
        <v>113</v>
      </c>
      <c r="D26" s="225">
        <f t="shared" si="0"/>
        <v>44214</v>
      </c>
      <c r="E26" s="233">
        <v>59.31</v>
      </c>
      <c r="F26" s="247">
        <v>9.2729999999999997</v>
      </c>
      <c r="G26" s="246">
        <v>3646.83</v>
      </c>
      <c r="H26" s="236">
        <v>2659.18</v>
      </c>
    </row>
    <row r="27" spans="3:13" ht="15.5" x14ac:dyDescent="0.35">
      <c r="C27" s="14" t="s">
        <v>114</v>
      </c>
      <c r="D27" s="225">
        <f t="shared" si="0"/>
        <v>44215</v>
      </c>
      <c r="E27" s="233">
        <v>51.3</v>
      </c>
      <c r="F27" s="247">
        <v>9.2569999999999997</v>
      </c>
      <c r="G27" s="246">
        <v>3608.36</v>
      </c>
      <c r="H27" s="236">
        <v>2656.46</v>
      </c>
    </row>
    <row r="28" spans="3:13" ht="15.5" x14ac:dyDescent="0.35">
      <c r="C28" s="14" t="s">
        <v>115</v>
      </c>
      <c r="D28" s="225">
        <f t="shared" si="0"/>
        <v>44216</v>
      </c>
      <c r="E28" s="233">
        <v>65.849999999999994</v>
      </c>
      <c r="F28" s="247">
        <v>9.2270000000000003</v>
      </c>
      <c r="G28" s="246">
        <v>3587.64</v>
      </c>
      <c r="H28" s="236">
        <v>2653.48</v>
      </c>
    </row>
    <row r="29" spans="3:13" ht="15.5" x14ac:dyDescent="0.35">
      <c r="C29" s="14" t="s">
        <v>116</v>
      </c>
      <c r="D29" s="225">
        <f t="shared" si="0"/>
        <v>44217</v>
      </c>
      <c r="E29" s="233">
        <v>50.17</v>
      </c>
      <c r="F29" s="247">
        <v>9.2490000000000006</v>
      </c>
      <c r="G29" s="246">
        <v>3824.91</v>
      </c>
      <c r="H29" s="236">
        <v>2650.35</v>
      </c>
    </row>
    <row r="30" spans="3:13" ht="15.5" x14ac:dyDescent="0.35">
      <c r="C30" s="14" t="s">
        <v>110</v>
      </c>
      <c r="D30" s="225">
        <f t="shared" si="0"/>
        <v>44218</v>
      </c>
      <c r="E30" s="233">
        <v>51.7</v>
      </c>
      <c r="F30" s="247">
        <v>9.2430000000000003</v>
      </c>
      <c r="G30" s="246">
        <v>4180.6000000000004</v>
      </c>
      <c r="H30" s="236">
        <v>2658.19</v>
      </c>
    </row>
    <row r="31" spans="3:13" ht="15.5" x14ac:dyDescent="0.35">
      <c r="C31" s="14" t="s">
        <v>111</v>
      </c>
      <c r="D31" s="225">
        <f t="shared" si="0"/>
        <v>44219</v>
      </c>
      <c r="E31" s="233">
        <v>58.3</v>
      </c>
      <c r="F31" s="247">
        <v>9.2270000000000003</v>
      </c>
      <c r="G31" s="246">
        <v>4209.5600000000004</v>
      </c>
      <c r="H31" s="236">
        <v>2657.33</v>
      </c>
    </row>
    <row r="32" spans="3:13" ht="15.5" x14ac:dyDescent="0.35">
      <c r="C32" s="14" t="s">
        <v>112</v>
      </c>
      <c r="D32" s="225">
        <f t="shared" si="0"/>
        <v>44220</v>
      </c>
      <c r="E32" s="233">
        <v>53.6</v>
      </c>
      <c r="F32" s="247">
        <v>9.2270000000000003</v>
      </c>
      <c r="G32" s="246">
        <v>4207.4799999999996</v>
      </c>
      <c r="H32" s="236">
        <v>2658.34</v>
      </c>
    </row>
    <row r="33" spans="3:8" ht="15.5" x14ac:dyDescent="0.35">
      <c r="C33" s="14" t="s">
        <v>113</v>
      </c>
      <c r="D33" s="225">
        <f t="shared" si="0"/>
        <v>44221</v>
      </c>
      <c r="E33" s="233">
        <v>63.83</v>
      </c>
      <c r="F33" s="247">
        <v>9.2140000000000004</v>
      </c>
      <c r="G33" s="246">
        <v>4213.8599999999997</v>
      </c>
      <c r="H33" s="236">
        <v>2656.25</v>
      </c>
    </row>
    <row r="34" spans="3:8" ht="15.5" x14ac:dyDescent="0.35">
      <c r="C34" s="14" t="s">
        <v>114</v>
      </c>
      <c r="D34" s="225">
        <f t="shared" si="0"/>
        <v>44222</v>
      </c>
      <c r="E34" s="233">
        <v>59.52</v>
      </c>
      <c r="F34" s="247">
        <v>9.218</v>
      </c>
      <c r="G34" s="246">
        <v>4215.42</v>
      </c>
      <c r="H34" s="236">
        <v>2658.31</v>
      </c>
    </row>
    <row r="35" spans="3:8" ht="15.5" x14ac:dyDescent="0.35">
      <c r="C35" s="14" t="s">
        <v>115</v>
      </c>
      <c r="D35" s="225">
        <f t="shared" si="0"/>
        <v>44223</v>
      </c>
      <c r="E35" s="233">
        <v>54.3</v>
      </c>
      <c r="F35" s="247">
        <v>9.2129999999999992</v>
      </c>
      <c r="G35" s="246">
        <v>4260.29</v>
      </c>
      <c r="H35" s="236">
        <v>2658.21</v>
      </c>
    </row>
    <row r="36" spans="3:8" ht="15.5" x14ac:dyDescent="0.35">
      <c r="C36" s="14" t="s">
        <v>116</v>
      </c>
      <c r="D36" s="225">
        <f t="shared" si="0"/>
        <v>44224</v>
      </c>
      <c r="E36" s="233">
        <v>49.3</v>
      </c>
      <c r="F36" s="247">
        <v>9.1080000000000005</v>
      </c>
      <c r="G36" s="246">
        <v>4214.1499999999996</v>
      </c>
      <c r="H36" s="236">
        <v>2659.12</v>
      </c>
    </row>
    <row r="37" spans="3:8" ht="15.5" x14ac:dyDescent="0.35">
      <c r="C37" s="14" t="s">
        <v>110</v>
      </c>
      <c r="D37" s="225">
        <f t="shared" si="0"/>
        <v>44225</v>
      </c>
      <c r="E37" s="233">
        <v>65.11</v>
      </c>
      <c r="F37" s="247">
        <v>8.9369999999999994</v>
      </c>
      <c r="G37" s="246">
        <v>4194.26</v>
      </c>
      <c r="H37" s="236">
        <v>2660.24</v>
      </c>
    </row>
    <row r="38" spans="3:8" ht="15.5" x14ac:dyDescent="0.35">
      <c r="C38" s="14" t="s">
        <v>111</v>
      </c>
      <c r="D38" s="225">
        <f t="shared" si="0"/>
        <v>44226</v>
      </c>
      <c r="E38" s="238">
        <v>51.98</v>
      </c>
      <c r="F38" s="247">
        <v>9.0500000000000007</v>
      </c>
      <c r="G38" s="246">
        <v>4233.7299999999996</v>
      </c>
      <c r="H38" s="236">
        <v>2661.49</v>
      </c>
    </row>
    <row r="39" spans="3:8" ht="15.5" x14ac:dyDescent="0.35">
      <c r="C39" s="14" t="s">
        <v>112</v>
      </c>
      <c r="D39" s="225">
        <f t="shared" si="0"/>
        <v>44227</v>
      </c>
      <c r="E39" s="238">
        <v>55.74</v>
      </c>
      <c r="F39" s="247">
        <v>9.1509999999999998</v>
      </c>
      <c r="G39" s="246">
        <v>4247.7</v>
      </c>
      <c r="H39" s="236">
        <v>2660.27</v>
      </c>
    </row>
    <row r="41" spans="3:8" ht="12.75" customHeight="1" x14ac:dyDescent="0.25"/>
    <row r="42" spans="3:8" ht="12.75" customHeight="1" x14ac:dyDescent="0.25"/>
  </sheetData>
  <phoneticPr fontId="9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PETROLEO</vt:lpstr>
      <vt:lpstr>Prodiarias</vt:lpstr>
      <vt:lpstr>Prod. Total vs % PCR</vt:lpstr>
      <vt:lpstr>oil-MyS</vt:lpstr>
      <vt:lpstr>borrador</vt:lpstr>
      <vt:lpstr>Grafico GAS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2019-03-28T12:04:06Z</cp:lastPrinted>
  <dcterms:created xsi:type="dcterms:W3CDTF">1998-07-21T11:45:52Z</dcterms:created>
  <dcterms:modified xsi:type="dcterms:W3CDTF">2021-02-01T21:49:13Z</dcterms:modified>
</cp:coreProperties>
</file>