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fernandez\Documents\Areas\Prodiarias\2021\"/>
    </mc:Choice>
  </mc:AlternateContent>
  <xr:revisionPtr revIDLastSave="0" documentId="8_{B24B2945-BDC5-43C9-98BB-AA557F50BD6A}" xr6:coauthVersionLast="47" xr6:coauthVersionMax="47" xr10:uidLastSave="{00000000-0000-0000-0000-000000000000}"/>
  <bookViews>
    <workbookView xWindow="-110" yWindow="-110" windowWidth="19420" windowHeight="10420" tabRatio="626" activeTab="2" xr2:uid="{00000000-000D-0000-FFFF-FFFF00000000}"/>
  </bookViews>
  <sheets>
    <sheet name="Grafico GAS" sheetId="5" r:id="rId1"/>
    <sheet name="Grafico PETROLEO" sheetId="10" r:id="rId2"/>
    <sheet name="Prodiarias" sheetId="1" r:id="rId3"/>
    <sheet name="Prod. Total vs % PCR" sheetId="12" r:id="rId4"/>
    <sheet name="oil-MyS" sheetId="7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5" i="1" l="1"/>
  <c r="AE25" i="1"/>
  <c r="W25" i="1"/>
  <c r="X25" i="1"/>
  <c r="C25" i="1" l="1"/>
  <c r="D25" i="1"/>
  <c r="AN25" i="1"/>
  <c r="AO25" i="1"/>
  <c r="G25" i="1" l="1"/>
  <c r="F25" i="1" s="1"/>
  <c r="Q25" i="1"/>
  <c r="P25" i="1" s="1"/>
  <c r="S25" i="1" s="1"/>
  <c r="R25" i="1"/>
  <c r="T25" i="1"/>
  <c r="J25" i="1"/>
  <c r="K25" i="1"/>
  <c r="L25" i="1"/>
  <c r="M25" i="1"/>
  <c r="N25" i="1"/>
  <c r="AQ25" i="1"/>
  <c r="AR25" i="1"/>
  <c r="AT25" i="1"/>
  <c r="AV25" i="1" s="1"/>
  <c r="AU25" i="1" s="1"/>
  <c r="AX25" i="1"/>
  <c r="AZ25" i="1" s="1"/>
  <c r="AY25" i="1" s="1"/>
  <c r="BB25" i="1"/>
  <c r="BD25" i="1" s="1"/>
  <c r="BE25" i="1"/>
  <c r="BC25" i="1" l="1"/>
  <c r="BG25" i="1"/>
  <c r="BF25" i="1" s="1"/>
  <c r="AH25" i="1" l="1"/>
  <c r="AK25" i="1" s="1"/>
  <c r="AI25" i="1"/>
  <c r="AG25" i="1" l="1"/>
  <c r="AJ25" i="1" s="1"/>
  <c r="AD24" i="1" l="1"/>
  <c r="AE24" i="1"/>
  <c r="X24" i="1"/>
  <c r="W24" i="1" s="1"/>
  <c r="Q24" i="1"/>
  <c r="T24" i="1" s="1"/>
  <c r="R24" i="1"/>
  <c r="K24" i="1"/>
  <c r="N24" i="1" s="1"/>
  <c r="L24" i="1"/>
  <c r="G24" i="1"/>
  <c r="F24" i="1" s="1"/>
  <c r="D24" i="1"/>
  <c r="C24" i="1" s="1"/>
  <c r="AR24" i="1"/>
  <c r="AQ24" i="1" s="1"/>
  <c r="AT24" i="1"/>
  <c r="AV24" i="1" s="1"/>
  <c r="AU24" i="1" s="1"/>
  <c r="AX24" i="1"/>
  <c r="AZ24" i="1"/>
  <c r="AY24" i="1" s="1"/>
  <c r="BB24" i="1"/>
  <c r="BC24" i="1" s="1"/>
  <c r="BD24" i="1"/>
  <c r="BE24" i="1"/>
  <c r="AO24" i="1"/>
  <c r="AN24" i="1" s="1"/>
  <c r="AG24" i="1"/>
  <c r="AJ24" i="1" s="1"/>
  <c r="AH24" i="1"/>
  <c r="AI24" i="1"/>
  <c r="AK24" i="1"/>
  <c r="W23" i="1"/>
  <c r="X23" i="1"/>
  <c r="F23" i="1"/>
  <c r="G23" i="1"/>
  <c r="J23" i="1"/>
  <c r="K23" i="1"/>
  <c r="L23" i="1"/>
  <c r="M23" i="1"/>
  <c r="N23" i="1"/>
  <c r="Q23" i="1"/>
  <c r="P23" i="1" s="1"/>
  <c r="S23" i="1" s="1"/>
  <c r="R23" i="1"/>
  <c r="T23" i="1"/>
  <c r="P24" i="1" l="1"/>
  <c r="S24" i="1" s="1"/>
  <c r="J24" i="1"/>
  <c r="M24" i="1" s="1"/>
  <c r="BG24" i="1"/>
  <c r="BF24" i="1" s="1"/>
  <c r="AE23" i="1"/>
  <c r="AD23" i="1" s="1"/>
  <c r="D23" i="1"/>
  <c r="C23" i="1" s="1"/>
  <c r="AQ23" i="1"/>
  <c r="AR23" i="1"/>
  <c r="AT23" i="1"/>
  <c r="AV23" i="1" s="1"/>
  <c r="AU23" i="1" s="1"/>
  <c r="AX23" i="1"/>
  <c r="AZ23" i="1"/>
  <c r="AY23" i="1" s="1"/>
  <c r="BB23" i="1"/>
  <c r="BD23" i="1" s="1"/>
  <c r="BC23" i="1" s="1"/>
  <c r="BE23" i="1"/>
  <c r="AN23" i="1"/>
  <c r="AO23" i="1"/>
  <c r="BG23" i="1" l="1"/>
  <c r="BF23" i="1" s="1"/>
  <c r="AG23" i="1"/>
  <c r="AJ23" i="1" s="1"/>
  <c r="AH23" i="1"/>
  <c r="AI23" i="1"/>
  <c r="AK23" i="1"/>
  <c r="AE22" i="1" l="1"/>
  <c r="AD22" i="1" s="1"/>
  <c r="W22" i="1"/>
  <c r="X22" i="1"/>
  <c r="AO22" i="1" l="1"/>
  <c r="AN22" i="1" s="1"/>
  <c r="C22" i="1"/>
  <c r="D22" i="1"/>
  <c r="AH22" i="1"/>
  <c r="AG22" i="1" s="1"/>
  <c r="AJ22" i="1" s="1"/>
  <c r="AI22" i="1"/>
  <c r="G22" i="1"/>
  <c r="F22" i="1" s="1"/>
  <c r="AQ22" i="1"/>
  <c r="AR22" i="1"/>
  <c r="AT22" i="1"/>
  <c r="AV22" i="1" s="1"/>
  <c r="AU22" i="1" s="1"/>
  <c r="AX22" i="1"/>
  <c r="AZ22" i="1"/>
  <c r="AY22" i="1" s="1"/>
  <c r="BB22" i="1"/>
  <c r="BD22" i="1" s="1"/>
  <c r="BC22" i="1" s="1"/>
  <c r="BE22" i="1"/>
  <c r="Q22" i="1"/>
  <c r="P22" i="1" s="1"/>
  <c r="S22" i="1" s="1"/>
  <c r="R22" i="1"/>
  <c r="T22" i="1"/>
  <c r="J22" i="1"/>
  <c r="M22" i="1" s="1"/>
  <c r="K22" i="1"/>
  <c r="L22" i="1"/>
  <c r="N22" i="1"/>
  <c r="AK22" i="1" l="1"/>
  <c r="BG22" i="1"/>
  <c r="BF22" i="1" s="1"/>
  <c r="G21" i="1" l="1"/>
  <c r="F21" i="1" s="1"/>
  <c r="Q21" i="1"/>
  <c r="P21" i="1" s="1"/>
  <c r="S21" i="1" s="1"/>
  <c r="R21" i="1"/>
  <c r="K21" i="1"/>
  <c r="J21" i="1" s="1"/>
  <c r="M21" i="1" s="1"/>
  <c r="L21" i="1"/>
  <c r="T21" i="1" l="1"/>
  <c r="N21" i="1"/>
  <c r="AD20" i="1" l="1"/>
  <c r="AE20" i="1"/>
  <c r="AE21" i="1"/>
  <c r="AD21" i="1" s="1"/>
  <c r="AR21" i="1" l="1"/>
  <c r="AQ21" i="1" s="1"/>
  <c r="AT21" i="1"/>
  <c r="AX21" i="1"/>
  <c r="BB21" i="1"/>
  <c r="BD21" i="1"/>
  <c r="BE21" i="1"/>
  <c r="AO18" i="1"/>
  <c r="AN18" i="1" s="1"/>
  <c r="AO19" i="1"/>
  <c r="AO20" i="1" s="1"/>
  <c r="AO21" i="1" s="1"/>
  <c r="AN21" i="1" s="1"/>
  <c r="AN20" i="1"/>
  <c r="C18" i="1"/>
  <c r="D18" i="1"/>
  <c r="D19" i="1"/>
  <c r="D20" i="1" s="1"/>
  <c r="D21" i="1" s="1"/>
  <c r="C20" i="1"/>
  <c r="C21" i="1"/>
  <c r="AG18" i="1"/>
  <c r="AH18" i="1"/>
  <c r="AI18" i="1"/>
  <c r="AJ18" i="1"/>
  <c r="AK18" i="1"/>
  <c r="AG19" i="1"/>
  <c r="AJ19" i="1" s="1"/>
  <c r="AH19" i="1"/>
  <c r="AK19" i="1" s="1"/>
  <c r="AI19" i="1"/>
  <c r="AH20" i="1"/>
  <c r="AH21" i="1" s="1"/>
  <c r="AI20" i="1"/>
  <c r="AI21" i="1"/>
  <c r="AE18" i="1"/>
  <c r="AD18" i="1" s="1"/>
  <c r="AE19" i="1"/>
  <c r="G18" i="1"/>
  <c r="F18" i="1" s="1"/>
  <c r="G19" i="1"/>
  <c r="G20" i="1" s="1"/>
  <c r="F20" i="1" s="1"/>
  <c r="AR18" i="1"/>
  <c r="AQ18" i="1" s="1"/>
  <c r="AT18" i="1"/>
  <c r="AV18" i="1" s="1"/>
  <c r="AX18" i="1"/>
  <c r="AZ18" i="1" s="1"/>
  <c r="AY18" i="1" s="1"/>
  <c r="BB18" i="1"/>
  <c r="BD18" i="1" s="1"/>
  <c r="BC18" i="1" s="1"/>
  <c r="BE18" i="1"/>
  <c r="AR19" i="1"/>
  <c r="AR20" i="1" s="1"/>
  <c r="AQ20" i="1" s="1"/>
  <c r="AT19" i="1"/>
  <c r="AX19" i="1"/>
  <c r="BB19" i="1"/>
  <c r="BE19" i="1"/>
  <c r="AT20" i="1"/>
  <c r="AX20" i="1"/>
  <c r="BB20" i="1"/>
  <c r="BE20" i="1"/>
  <c r="P18" i="1"/>
  <c r="Q18" i="1"/>
  <c r="R18" i="1"/>
  <c r="S18" i="1"/>
  <c r="T18" i="1"/>
  <c r="Q19" i="1"/>
  <c r="P19" i="1" s="1"/>
  <c r="S19" i="1" s="1"/>
  <c r="R19" i="1"/>
  <c r="T19" i="1"/>
  <c r="Q20" i="1"/>
  <c r="P20" i="1" s="1"/>
  <c r="S20" i="1" s="1"/>
  <c r="R20" i="1"/>
  <c r="J18" i="1"/>
  <c r="M18" i="1" s="1"/>
  <c r="K18" i="1"/>
  <c r="L18" i="1"/>
  <c r="N18" i="1"/>
  <c r="K19" i="1"/>
  <c r="J19" i="1" s="1"/>
  <c r="M19" i="1" s="1"/>
  <c r="L19" i="1"/>
  <c r="N19" i="1"/>
  <c r="K20" i="1"/>
  <c r="J20" i="1" s="1"/>
  <c r="M20" i="1" s="1"/>
  <c r="L20" i="1"/>
  <c r="BC21" i="1" l="1"/>
  <c r="AD19" i="1"/>
  <c r="AN19" i="1"/>
  <c r="C19" i="1"/>
  <c r="BG21" i="1"/>
  <c r="BF21" i="1" s="1"/>
  <c r="BD19" i="1"/>
  <c r="AG21" i="1"/>
  <c r="AJ21" i="1" s="1"/>
  <c r="AK21" i="1"/>
  <c r="AK20" i="1"/>
  <c r="AG20" i="1"/>
  <c r="AJ20" i="1" s="1"/>
  <c r="F19" i="1"/>
  <c r="BD20" i="1"/>
  <c r="BC20" i="1" s="1"/>
  <c r="BC19" i="1"/>
  <c r="AV19" i="1"/>
  <c r="AU19" i="1" s="1"/>
  <c r="AU18" i="1"/>
  <c r="AQ19" i="1"/>
  <c r="AZ19" i="1"/>
  <c r="AZ20" i="1" s="1"/>
  <c r="BG18" i="1"/>
  <c r="BG19" i="1" s="1"/>
  <c r="BF19" i="1" s="1"/>
  <c r="T20" i="1"/>
  <c r="N20" i="1"/>
  <c r="AY20" i="1" l="1"/>
  <c r="AZ21" i="1"/>
  <c r="AY21" i="1" s="1"/>
  <c r="AV20" i="1"/>
  <c r="AY19" i="1"/>
  <c r="BF18" i="1"/>
  <c r="BG20" i="1"/>
  <c r="BF20" i="1" s="1"/>
  <c r="AU20" i="1" l="1"/>
  <c r="AV21" i="1"/>
  <c r="AU21" i="1" s="1"/>
  <c r="D17" i="1"/>
  <c r="C17" i="1" s="1"/>
  <c r="G17" i="1"/>
  <c r="F17" i="1" s="1"/>
  <c r="K17" i="1"/>
  <c r="J17" i="1" s="1"/>
  <c r="M17" i="1" s="1"/>
  <c r="L17" i="1"/>
  <c r="N17" i="1"/>
  <c r="Q17" i="1"/>
  <c r="P17" i="1" s="1"/>
  <c r="S17" i="1" s="1"/>
  <c r="R17" i="1"/>
  <c r="AN17" i="1"/>
  <c r="AO17" i="1"/>
  <c r="AR17" i="1"/>
  <c r="AQ17" i="1" s="1"/>
  <c r="AT17" i="1"/>
  <c r="AX17" i="1"/>
  <c r="BB17" i="1"/>
  <c r="BD17" i="1" s="1"/>
  <c r="BC17" i="1" s="1"/>
  <c r="BE17" i="1"/>
  <c r="BG17" i="1"/>
  <c r="BF17" i="1" s="1"/>
  <c r="X17" i="1"/>
  <c r="X18" i="1" s="1"/>
  <c r="AG17" i="1"/>
  <c r="AJ17" i="1" s="1"/>
  <c r="AH17" i="1"/>
  <c r="AK17" i="1" s="1"/>
  <c r="AI17" i="1"/>
  <c r="AD17" i="1"/>
  <c r="AE17" i="1"/>
  <c r="W17" i="1" l="1"/>
  <c r="X19" i="1"/>
  <c r="W18" i="1"/>
  <c r="AV17" i="1"/>
  <c r="AU17" i="1" s="1"/>
  <c r="T17" i="1"/>
  <c r="AZ17" i="1"/>
  <c r="AY17" i="1" s="1"/>
  <c r="X20" i="1" l="1"/>
  <c r="W19" i="1"/>
  <c r="W16" i="1"/>
  <c r="X16" i="1"/>
  <c r="X21" i="1" l="1"/>
  <c r="W21" i="1" s="1"/>
  <c r="W20" i="1"/>
  <c r="AE16" i="1"/>
  <c r="AD16" i="1" s="1"/>
  <c r="AH16" i="1" l="1"/>
  <c r="AG16" i="1" s="1"/>
  <c r="AJ16" i="1" s="1"/>
  <c r="AI16" i="1"/>
  <c r="D16" i="1"/>
  <c r="C16" i="1" s="1"/>
  <c r="AN16" i="1"/>
  <c r="AO16" i="1"/>
  <c r="G16" i="1"/>
  <c r="F16" i="1" s="1"/>
  <c r="AQ16" i="1"/>
  <c r="AR16" i="1"/>
  <c r="AT16" i="1"/>
  <c r="AU16" i="1"/>
  <c r="AV16" i="1"/>
  <c r="AX16" i="1"/>
  <c r="AY16" i="1" s="1"/>
  <c r="AZ16" i="1"/>
  <c r="BB16" i="1"/>
  <c r="BE16" i="1"/>
  <c r="P16" i="1"/>
  <c r="Q16" i="1"/>
  <c r="R16" i="1"/>
  <c r="S16" i="1"/>
  <c r="T16" i="1"/>
  <c r="J16" i="1"/>
  <c r="K16" i="1"/>
  <c r="L16" i="1"/>
  <c r="M16" i="1"/>
  <c r="N16" i="1"/>
  <c r="AK16" i="1" l="1"/>
  <c r="BC16" i="1"/>
  <c r="BF16" i="1"/>
  <c r="BD16" i="1"/>
  <c r="BG16" i="1"/>
  <c r="W15" i="1" l="1"/>
  <c r="X15" i="1"/>
  <c r="AD15" i="1" l="1"/>
  <c r="AE15" i="1"/>
  <c r="D15" i="1"/>
  <c r="C15" i="1" s="1"/>
  <c r="AN15" i="1"/>
  <c r="AO15" i="1"/>
  <c r="G15" i="1"/>
  <c r="F15" i="1" s="1"/>
  <c r="AQ15" i="1"/>
  <c r="AR15" i="1"/>
  <c r="AT15" i="1"/>
  <c r="AV15" i="1"/>
  <c r="AU15" i="1" s="1"/>
  <c r="AX15" i="1"/>
  <c r="AZ15" i="1" s="1"/>
  <c r="AY15" i="1" s="1"/>
  <c r="BB15" i="1"/>
  <c r="BC15" i="1" s="1"/>
  <c r="BD15" i="1"/>
  <c r="BE15" i="1"/>
  <c r="Q15" i="1"/>
  <c r="P15" i="1" s="1"/>
  <c r="S15" i="1" s="1"/>
  <c r="R15" i="1"/>
  <c r="T15" i="1"/>
  <c r="J15" i="1"/>
  <c r="K15" i="1"/>
  <c r="L15" i="1"/>
  <c r="M15" i="1"/>
  <c r="N15" i="1"/>
  <c r="BG15" i="1" l="1"/>
  <c r="BF15" i="1" s="1"/>
  <c r="AG15" i="1" l="1"/>
  <c r="AJ15" i="1" s="1"/>
  <c r="AH15" i="1"/>
  <c r="AI15" i="1"/>
  <c r="AK15" i="1"/>
  <c r="F13" i="1" l="1"/>
  <c r="G13" i="1"/>
  <c r="G14" i="1"/>
  <c r="F14" i="1" s="1"/>
  <c r="Q13" i="1"/>
  <c r="P13" i="1" s="1"/>
  <c r="S13" i="1" s="1"/>
  <c r="R13" i="1"/>
  <c r="Q14" i="1"/>
  <c r="P14" i="1" s="1"/>
  <c r="S14" i="1" s="1"/>
  <c r="R14" i="1"/>
  <c r="J13" i="1"/>
  <c r="K13" i="1"/>
  <c r="L13" i="1"/>
  <c r="M13" i="1"/>
  <c r="N13" i="1"/>
  <c r="K14" i="1"/>
  <c r="J14" i="1" s="1"/>
  <c r="M14" i="1" s="1"/>
  <c r="L14" i="1"/>
  <c r="N14" i="1"/>
  <c r="T14" i="1" l="1"/>
  <c r="T13" i="1"/>
  <c r="AT13" i="1" l="1"/>
  <c r="AV13" i="1" s="1"/>
  <c r="AX13" i="1"/>
  <c r="AZ13" i="1" s="1"/>
  <c r="AY13" i="1" s="1"/>
  <c r="BB13" i="1"/>
  <c r="BD13" i="1" s="1"/>
  <c r="BC13" i="1" s="1"/>
  <c r="BE13" i="1"/>
  <c r="AT14" i="1"/>
  <c r="AX14" i="1"/>
  <c r="BB14" i="1"/>
  <c r="BE14" i="1"/>
  <c r="AO13" i="1"/>
  <c r="AN13" i="1" s="1"/>
  <c r="C13" i="1"/>
  <c r="D13" i="1"/>
  <c r="D14" i="1"/>
  <c r="C14" i="1" s="1"/>
  <c r="AH13" i="1"/>
  <c r="AK13" i="1" s="1"/>
  <c r="AI13" i="1"/>
  <c r="AI14" i="1"/>
  <c r="AE13" i="1"/>
  <c r="AD13" i="1" s="1"/>
  <c r="AE14" i="1"/>
  <c r="AD14" i="1" s="1"/>
  <c r="AI12" i="1"/>
  <c r="AI11" i="1"/>
  <c r="AO14" i="1" l="1"/>
  <c r="AN14" i="1" s="1"/>
  <c r="AH14" i="1"/>
  <c r="BD14" i="1"/>
  <c r="BC14" i="1" s="1"/>
  <c r="AG13" i="1"/>
  <c r="AJ13" i="1" s="1"/>
  <c r="AV14" i="1"/>
  <c r="AU14" i="1" s="1"/>
  <c r="AU13" i="1"/>
  <c r="AZ14" i="1"/>
  <c r="AY14" i="1" s="1"/>
  <c r="BG13" i="1"/>
  <c r="BG14" i="1" s="1"/>
  <c r="BF14" i="1" s="1"/>
  <c r="K11" i="1"/>
  <c r="J11" i="1" s="1"/>
  <c r="M11" i="1" s="1"/>
  <c r="L11" i="1"/>
  <c r="L12" i="1"/>
  <c r="AK14" i="1" l="1"/>
  <c r="AG14" i="1"/>
  <c r="AJ14" i="1" s="1"/>
  <c r="BF13" i="1"/>
  <c r="K12" i="1"/>
  <c r="N11" i="1"/>
  <c r="N12" i="1" l="1"/>
  <c r="J12" i="1"/>
  <c r="M12" i="1" s="1"/>
  <c r="R12" i="1"/>
  <c r="AT12" i="1"/>
  <c r="AX12" i="1"/>
  <c r="BB12" i="1"/>
  <c r="BE12" i="1"/>
  <c r="D10" i="13" l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Q11" i="1" l="1"/>
  <c r="Q12" i="1" s="1"/>
  <c r="R11" i="1"/>
  <c r="X11" i="1"/>
  <c r="X12" i="1" s="1"/>
  <c r="X13" i="1" s="1"/>
  <c r="AB11" i="1"/>
  <c r="AE11" i="1"/>
  <c r="AE12" i="1" s="1"/>
  <c r="AH11" i="1"/>
  <c r="AK11" i="1" s="1"/>
  <c r="X14" i="1" l="1"/>
  <c r="W14" i="1" s="1"/>
  <c r="W13" i="1"/>
  <c r="W12" i="1"/>
  <c r="AD12" i="1"/>
  <c r="W11" i="1"/>
  <c r="AG11" i="1"/>
  <c r="AJ11" i="1" s="1"/>
  <c r="AH12" i="1"/>
  <c r="AD11" i="1"/>
  <c r="T11" i="1"/>
  <c r="P11" i="1"/>
  <c r="S11" i="1" s="1"/>
  <c r="AK12" i="1" l="1"/>
  <c r="P12" i="1"/>
  <c r="S12" i="1" s="1"/>
  <c r="T12" i="1"/>
  <c r="AG12" i="1"/>
  <c r="AJ12" i="1" s="1"/>
  <c r="I7" i="12" l="1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AX11" i="1" l="1"/>
  <c r="AT11" i="1"/>
  <c r="F9" i="12" l="1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I7" i="1" l="1"/>
  <c r="BB11" i="1" l="1"/>
  <c r="B5" i="12" l="1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AR13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G11" i="1"/>
  <c r="G12" i="1" s="1"/>
  <c r="AO11" i="1"/>
  <c r="AO12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I3" i="12"/>
  <c r="V3" i="12" s="1"/>
  <c r="AV11" i="1"/>
  <c r="AV12" i="1" s="1"/>
  <c r="AR14" i="1" l="1"/>
  <c r="AQ14" i="1" s="1"/>
  <c r="AQ13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11" i="1"/>
  <c r="H3" i="12"/>
  <c r="U3" i="12" s="1"/>
  <c r="AZ11" i="1"/>
  <c r="AZ12" i="1" s="1"/>
  <c r="F82" i="12"/>
  <c r="BC11" i="1"/>
  <c r="BW42" i="1"/>
  <c r="BG11" i="1"/>
  <c r="BG12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BF12" i="1" l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H74" i="12" l="1"/>
  <c r="K38" i="12"/>
  <c r="H72" i="12"/>
  <c r="I72" i="12" s="1"/>
  <c r="J72" i="12" s="1"/>
  <c r="U73" i="12"/>
  <c r="U74" i="12" s="1"/>
  <c r="V72" i="12"/>
  <c r="I73" i="12" l="1"/>
  <c r="J73" i="12" s="1"/>
  <c r="V73" i="12"/>
  <c r="V74" i="12"/>
  <c r="U75" i="12"/>
  <c r="I74" i="12" l="1"/>
  <c r="I75" i="12" s="1"/>
  <c r="V75" i="12"/>
  <c r="U76" i="12"/>
  <c r="J74" i="12" l="1"/>
  <c r="U77" i="12"/>
  <c r="V76" i="12"/>
  <c r="J75" i="12"/>
  <c r="I76" i="12"/>
  <c r="I77" i="12" l="1"/>
  <c r="J76" i="12"/>
  <c r="U78" i="12"/>
  <c r="V77" i="12"/>
  <c r="I78" i="12" l="1"/>
  <c r="J77" i="12"/>
  <c r="U79" i="12"/>
  <c r="V78" i="12"/>
  <c r="U80" i="12" l="1"/>
  <c r="V79" i="12"/>
  <c r="I79" i="12"/>
  <c r="J78" i="12"/>
  <c r="I80" i="12" l="1"/>
  <c r="J79" i="12"/>
  <c r="U81" i="12"/>
  <c r="V80" i="12"/>
  <c r="U82" i="12" l="1"/>
  <c r="V81" i="12"/>
  <c r="I81" i="12"/>
  <c r="J80" i="12"/>
  <c r="I82" i="12" l="1"/>
  <c r="J81" i="12"/>
  <c r="U83" i="12"/>
  <c r="V82" i="12"/>
  <c r="I83" i="12" l="1"/>
  <c r="J82" i="12"/>
  <c r="U84" i="12"/>
  <c r="U85" i="12" s="1"/>
  <c r="V83" i="12"/>
  <c r="U86" i="12" l="1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K56" i="12"/>
  <c r="H90" i="12" l="1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<sst xmlns="http://schemas.openxmlformats.org/spreadsheetml/2006/main" count="626" uniqueCount="125">
  <si>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</si>
  <si>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</si>
  <si>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</si>
  <si>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</si>
  <si>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</si>
  <si>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</si>
  <si>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</si>
  <si>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</si>
  <si>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</si>
  <si>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</si>
  <si>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</si>
  <si>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</si>
  <si>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</si>
  <si>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</si>
  <si>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</si>
  <si>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</si>
  <si>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</si>
  <si>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</si>
  <si>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</si>
  <si>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</si>
  <si>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</si>
  <si>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</si>
  <si>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</si>
  <si>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</si>
  <si>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</si>
  <si>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</si>
  <si>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</si>
  <si>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</si>
  <si>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</si>
  <si>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</si>
  <si>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</si>
  <si>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</si>
  <si>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</si>
  <si>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</si>
  <si>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</si>
  <si>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</si>
  <si>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</si>
  <si>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</si>
  <si>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</si>
  <si>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</si>
  <si>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</si>
  <si>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</si>
  <si>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</si>
  <si>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</si>
  <si>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</si>
  <si>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</si>
  <si>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</si>
  <si>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</si>
  <si>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</si>
  <si>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</si>
  <si>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</si>
  <si>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</si>
  <si>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</si>
  <si>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</si>
  <si>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</si>
  <si>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</si>
  <si>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</si>
  <si>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</si>
  <si>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</si>
  <si>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</si>
  <si>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</si>
  <si>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</si>
  <si>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</si>
  <si>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</si>
  <si>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</si>
  <si>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</si>
  <si>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</si>
  <si>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</si>
  <si>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</si>
  <si>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</si>
  <si>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</si>
  <si>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</si>
  <si>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</si>
  <si>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</si>
  <si>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</si>
  <si>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</si>
  <si>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</si>
  <si>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</si>
  <si>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</si>
  <si>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</si>
  <si>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</si>
  <si>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</si>
  <si>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</si>
  <si>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</si>
  <si>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</si>
  <si>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</si>
  <si>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</si>
  <si>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</si>
  <si>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</si>
  <si>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</si>
  <si>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</si>
  <si>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</si>
  <si>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</si>
  <si>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</si>
  <si>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</si>
  <si>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</si>
  <si>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</si>
  <si>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</si>
  <si>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</si>
  <si>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</si>
  <si>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</si>
  <si>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</si>
  <si>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</si>
  <si>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</si>
  <si>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</si>
  <si>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</si>
  <si>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</si>
  <si>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</si>
  <si>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</si>
  <si>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</si>
  <si>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</si>
  <si>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</si>
  <si>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</si>
  <si>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</si>
  <si>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</si>
  <si>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</si>
  <si>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</si>
  <si>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</si>
  <si>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</si>
  <si>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</si>
  <si>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</si>
  <si>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diaria. PCR (18,32%)</t>
  </si>
  <si>
    <t>prom . PCR (18,32%)</t>
  </si>
  <si>
    <t>Acum. PCR (18,32%)</t>
  </si>
  <si>
    <t>Julio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</si>
</sst>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32">
    <xf numFmtId="0" fontId="0" fillId="0" borderId="0"/>
    <xf numFmtId="165" fontId="98" fillId="0" borderId="0" applyFont="0" applyFill="0" applyBorder="0" applyAlignment="0" applyProtection="0"/>
    <xf numFmtId="0" fontId="111" fillId="0" borderId="0"/>
    <xf numFmtId="0" fontId="106" fillId="0" borderId="0"/>
    <xf numFmtId="0" fontId="117" fillId="0" borderId="0"/>
    <xf numFmtId="0" fontId="98" fillId="0" borderId="0"/>
    <xf numFmtId="0" fontId="97" fillId="0" borderId="0"/>
    <xf numFmtId="0" fontId="98" fillId="0" borderId="0" applyProtection="0">
      <protection locked="0"/>
    </xf>
    <xf numFmtId="9" fontId="98" fillId="0" borderId="0" applyFont="0" applyFill="0" applyBorder="0" applyAlignment="0" applyProtection="0"/>
    <xf numFmtId="0" fontId="136" fillId="38" borderId="0" applyNumberFormat="0" applyBorder="0" applyAlignment="0" applyProtection="0"/>
    <xf numFmtId="0" fontId="136" fillId="38" borderId="0" applyNumberFormat="0" applyBorder="0" applyAlignment="0" applyProtection="0"/>
    <xf numFmtId="0" fontId="136" fillId="39" borderId="0" applyNumberFormat="0" applyBorder="0" applyAlignment="0" applyProtection="0"/>
    <xf numFmtId="0" fontId="136" fillId="39" borderId="0" applyNumberFormat="0" applyBorder="0" applyAlignment="0" applyProtection="0"/>
    <xf numFmtId="0" fontId="136" fillId="40" borderId="0" applyNumberFormat="0" applyBorder="0" applyAlignment="0" applyProtection="0"/>
    <xf numFmtId="0" fontId="136" fillId="40" borderId="0" applyNumberFormat="0" applyBorder="0" applyAlignment="0" applyProtection="0"/>
    <xf numFmtId="0" fontId="136" fillId="41" borderId="0" applyNumberFormat="0" applyBorder="0" applyAlignment="0" applyProtection="0"/>
    <xf numFmtId="0" fontId="136" fillId="41" borderId="0" applyNumberFormat="0" applyBorder="0" applyAlignment="0" applyProtection="0"/>
    <xf numFmtId="0" fontId="136" fillId="42" borderId="0" applyNumberFormat="0" applyBorder="0" applyAlignment="0" applyProtection="0"/>
    <xf numFmtId="0" fontId="136" fillId="42" borderId="0" applyNumberFormat="0" applyBorder="0" applyAlignment="0" applyProtection="0"/>
    <xf numFmtId="0" fontId="136" fillId="43" borderId="0" applyNumberFormat="0" applyBorder="0" applyAlignment="0" applyProtection="0"/>
    <xf numFmtId="0" fontId="136" fillId="43" borderId="0" applyNumberFormat="0" applyBorder="0" applyAlignment="0" applyProtection="0"/>
    <xf numFmtId="0" fontId="136" fillId="44" borderId="0" applyNumberFormat="0" applyBorder="0" applyAlignment="0" applyProtection="0"/>
    <xf numFmtId="0" fontId="136" fillId="44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6" borderId="0" applyNumberFormat="0" applyBorder="0" applyAlignment="0" applyProtection="0"/>
    <xf numFmtId="0" fontId="136" fillId="46" borderId="0" applyNumberFormat="0" applyBorder="0" applyAlignment="0" applyProtection="0"/>
    <xf numFmtId="0" fontId="136" fillId="41" borderId="0" applyNumberFormat="0" applyBorder="0" applyAlignment="0" applyProtection="0"/>
    <xf numFmtId="0" fontId="136" fillId="41" borderId="0" applyNumberFormat="0" applyBorder="0" applyAlignment="0" applyProtection="0"/>
    <xf numFmtId="0" fontId="136" fillId="44" borderId="0" applyNumberFormat="0" applyBorder="0" applyAlignment="0" applyProtection="0"/>
    <xf numFmtId="0" fontId="136" fillId="44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7" fillId="48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9" borderId="0" applyNumberFormat="0" applyBorder="0" applyAlignment="0" applyProtection="0"/>
    <xf numFmtId="0" fontId="137" fillId="50" borderId="0" applyNumberFormat="0" applyBorder="0" applyAlignment="0" applyProtection="0"/>
    <xf numFmtId="0" fontId="137" fillId="51" borderId="0" applyNumberFormat="0" applyBorder="0" applyAlignment="0" applyProtection="0"/>
    <xf numFmtId="0" fontId="138" fillId="40" borderId="0" applyNumberFormat="0" applyBorder="0" applyAlignment="0" applyProtection="0"/>
    <xf numFmtId="0" fontId="139" fillId="52" borderId="53" applyNumberFormat="0" applyAlignment="0" applyProtection="0"/>
    <xf numFmtId="0" fontId="140" fillId="53" borderId="54" applyNumberFormat="0" applyAlignment="0" applyProtection="0"/>
    <xf numFmtId="0" fontId="141" fillId="0" borderId="55" applyNumberFormat="0" applyFill="0" applyAlignment="0" applyProtection="0"/>
    <xf numFmtId="167" fontId="142" fillId="0" borderId="0">
      <protection locked="0"/>
    </xf>
    <xf numFmtId="168" fontId="142" fillId="0" borderId="0">
      <protection locked="0"/>
    </xf>
    <xf numFmtId="169" fontId="142" fillId="0" borderId="0">
      <protection locked="0"/>
    </xf>
    <xf numFmtId="0" fontId="143" fillId="0" borderId="0" applyNumberFormat="0" applyFill="0" applyBorder="0" applyAlignment="0" applyProtection="0"/>
    <xf numFmtId="0" fontId="137" fillId="54" borderId="0" applyNumberFormat="0" applyBorder="0" applyAlignment="0" applyProtection="0"/>
    <xf numFmtId="0" fontId="137" fillId="55" borderId="0" applyNumberFormat="0" applyBorder="0" applyAlignment="0" applyProtection="0"/>
    <xf numFmtId="0" fontId="137" fillId="56" borderId="0" applyNumberFormat="0" applyBorder="0" applyAlignment="0" applyProtection="0"/>
    <xf numFmtId="0" fontId="137" fillId="49" borderId="0" applyNumberFormat="0" applyBorder="0" applyAlignment="0" applyProtection="0"/>
    <xf numFmtId="0" fontId="137" fillId="50" borderId="0" applyNumberFormat="0" applyBorder="0" applyAlignment="0" applyProtection="0"/>
    <xf numFmtId="0" fontId="137" fillId="57" borderId="0" applyNumberFormat="0" applyBorder="0" applyAlignment="0" applyProtection="0"/>
    <xf numFmtId="0" fontId="144" fillId="43" borderId="53" applyNumberFormat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69" fontId="142" fillId="0" borderId="0">
      <protection locked="0"/>
    </xf>
    <xf numFmtId="169" fontId="142" fillId="0" borderId="0">
      <protection locked="0"/>
    </xf>
    <xf numFmtId="169" fontId="145" fillId="0" borderId="0">
      <protection locked="0"/>
    </xf>
    <xf numFmtId="169" fontId="142" fillId="0" borderId="0">
      <protection locked="0"/>
    </xf>
    <xf numFmtId="169" fontId="142" fillId="0" borderId="0">
      <protection locked="0"/>
    </xf>
    <xf numFmtId="169" fontId="142" fillId="0" borderId="0">
      <protection locked="0"/>
    </xf>
    <xf numFmtId="169" fontId="145" fillId="0" borderId="0">
      <protection locked="0"/>
    </xf>
    <xf numFmtId="171" fontId="142" fillId="0" borderId="0">
      <protection locked="0"/>
    </xf>
    <xf numFmtId="169" fontId="146" fillId="0" borderId="0">
      <protection locked="0"/>
    </xf>
    <xf numFmtId="169" fontId="146" fillId="0" borderId="0">
      <protection locked="0"/>
    </xf>
    <xf numFmtId="0" fontId="147" fillId="39" borderId="0" applyNumberFormat="0" applyBorder="0" applyAlignment="0" applyProtection="0"/>
    <xf numFmtId="172" fontId="98" fillId="0" borderId="0" applyFont="0" applyFill="0" applyBorder="0" applyAlignment="0" applyProtection="0"/>
    <xf numFmtId="0" fontId="148" fillId="58" borderId="0" applyNumberFormat="0" applyBorder="0" applyAlignment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98" fillId="0" borderId="0"/>
    <xf numFmtId="0" fontId="98" fillId="0" borderId="0"/>
    <xf numFmtId="0" fontId="98" fillId="0" borderId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8" fillId="0" borderId="0"/>
    <xf numFmtId="0" fontId="98" fillId="0" borderId="0"/>
    <xf numFmtId="0" fontId="98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8" fillId="0" borderId="0"/>
    <xf numFmtId="0" fontId="97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35" fillId="3" borderId="0" applyBorder="0"/>
    <xf numFmtId="0" fontId="98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173" fontId="142" fillId="0" borderId="0">
      <protection locked="0"/>
    </xf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149" fillId="52" borderId="57" applyNumberFormat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58" applyNumberFormat="0" applyFill="0" applyAlignment="0" applyProtection="0"/>
    <xf numFmtId="0" fontId="153" fillId="0" borderId="59" applyNumberFormat="0" applyFill="0" applyAlignment="0" applyProtection="0"/>
    <xf numFmtId="0" fontId="143" fillId="0" borderId="60" applyNumberFormat="0" applyFill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61" applyNumberFormat="0" applyFill="0" applyAlignment="0" applyProtection="0"/>
    <xf numFmtId="0" fontId="156" fillId="0" borderId="0"/>
    <xf numFmtId="0" fontId="9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06" fillId="0" borderId="0"/>
    <xf numFmtId="0" fontId="10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6" fillId="0" borderId="0"/>
    <xf numFmtId="0" fontId="106" fillId="0" borderId="0"/>
    <xf numFmtId="0" fontId="106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9" fillId="52" borderId="53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9" fillId="52" borderId="53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43" fontId="135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35" fillId="3" borderId="0" applyBorder="0"/>
    <xf numFmtId="0" fontId="135" fillId="3" borderId="0" applyBorder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98" fillId="0" borderId="0"/>
    <xf numFmtId="0" fontId="136" fillId="0" borderId="0"/>
    <xf numFmtId="0" fontId="136" fillId="0" borderId="0"/>
    <xf numFmtId="0" fontId="136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9" fontId="98" fillId="0" borderId="0" applyFont="0" applyFill="0" applyBorder="0" applyAlignment="0" applyProtection="0"/>
    <xf numFmtId="0" fontId="143" fillId="0" borderId="62" applyNumberFormat="0" applyFill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5" fillId="0" borderId="0" applyFont="0" applyFill="0" applyBorder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17" fillId="0" borderId="0"/>
    <xf numFmtId="0" fontId="117" fillId="0" borderId="0"/>
    <xf numFmtId="0" fontId="117" fillId="0" borderId="0"/>
    <xf numFmtId="0" fontId="117" fillId="0" borderId="0"/>
    <xf numFmtId="0" fontId="10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06" fillId="0" borderId="0"/>
    <xf numFmtId="0" fontId="93" fillId="0" borderId="0"/>
    <xf numFmtId="0" fontId="117" fillId="0" borderId="0"/>
    <xf numFmtId="0" fontId="117" fillId="0" borderId="0"/>
    <xf numFmtId="0" fontId="106" fillId="0" borderId="0"/>
    <xf numFmtId="0" fontId="144" fillId="43" borderId="63" applyNumberFormat="0" applyAlignment="0" applyProtection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39" fillId="52" borderId="63" applyNumberFormat="0" applyAlignment="0" applyProtection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8" fillId="59" borderId="64" applyNumberFormat="0" applyFont="0" applyAlignment="0" applyProtection="0"/>
    <xf numFmtId="0" fontId="136" fillId="59" borderId="64" applyNumberFormat="0" applyFont="0" applyAlignment="0" applyProtection="0"/>
    <xf numFmtId="0" fontId="136" fillId="59" borderId="64" applyNumberFormat="0" applyFont="0" applyAlignment="0" applyProtection="0"/>
    <xf numFmtId="0" fontId="149" fillId="52" borderId="65" applyNumberFormat="0" applyAlignment="0" applyProtection="0"/>
    <xf numFmtId="0" fontId="143" fillId="0" borderId="66" applyNumberFormat="0" applyFill="0" applyAlignment="0" applyProtection="0"/>
    <xf numFmtId="0" fontId="155" fillId="0" borderId="67" applyNumberFormat="0" applyFill="0" applyAlignment="0" applyProtection="0"/>
    <xf numFmtId="0" fontId="92" fillId="0" borderId="0"/>
    <xf numFmtId="0" fontId="158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7" fillId="0" borderId="0"/>
    <xf numFmtId="0" fontId="159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16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71" fillId="0" borderId="0"/>
    <xf numFmtId="0" fontId="162" fillId="0" borderId="0"/>
    <xf numFmtId="0" fontId="70" fillId="0" borderId="0"/>
    <xf numFmtId="0" fontId="162" fillId="0" borderId="0"/>
    <xf numFmtId="0" fontId="162" fillId="0" borderId="0"/>
    <xf numFmtId="0" fontId="162" fillId="0" borderId="0"/>
    <xf numFmtId="0" fontId="69" fillId="0" borderId="0"/>
    <xf numFmtId="0" fontId="69" fillId="0" borderId="0"/>
    <xf numFmtId="0" fontId="68" fillId="0" borderId="0"/>
    <xf numFmtId="0" fontId="68" fillId="0" borderId="0"/>
    <xf numFmtId="164" fontId="98" fillId="0" borderId="0" applyFont="0" applyFill="0" applyBorder="0" applyAlignment="0" applyProtection="0"/>
    <xf numFmtId="0" fontId="162" fillId="0" borderId="0"/>
    <xf numFmtId="0" fontId="68" fillId="0" borderId="0"/>
    <xf numFmtId="0" fontId="162" fillId="0" borderId="0"/>
    <xf numFmtId="0" fontId="162" fillId="0" borderId="0"/>
    <xf numFmtId="0" fontId="162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2" fillId="0" borderId="0"/>
    <xf numFmtId="0" fontId="162" fillId="0" borderId="0"/>
    <xf numFmtId="0" fontId="16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63" fillId="0" borderId="0"/>
    <xf numFmtId="0" fontId="163" fillId="0" borderId="0"/>
    <xf numFmtId="0" fontId="163" fillId="0" borderId="0"/>
    <xf numFmtId="0" fontId="163" fillId="0" borderId="0"/>
    <xf numFmtId="0" fontId="163" fillId="0" borderId="0"/>
    <xf numFmtId="0" fontId="163" fillId="0" borderId="0"/>
    <xf numFmtId="0" fontId="65" fillId="0" borderId="0"/>
    <xf numFmtId="0" fontId="163" fillId="0" borderId="0"/>
    <xf numFmtId="0" fontId="64" fillId="0" borderId="0"/>
    <xf numFmtId="0" fontId="163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74" fontId="98" fillId="0" borderId="0" applyFont="0" applyFill="0" applyBorder="0" applyAlignment="0" applyProtection="0"/>
    <xf numFmtId="0" fontId="98" fillId="0" borderId="0" applyProtection="0">
      <protection locked="0"/>
    </xf>
    <xf numFmtId="0" fontId="60" fillId="0" borderId="0"/>
    <xf numFmtId="0" fontId="59" fillId="0" borderId="0"/>
    <xf numFmtId="0" fontId="59" fillId="0" borderId="0"/>
    <xf numFmtId="0" fontId="59" fillId="0" borderId="0"/>
    <xf numFmtId="0" fontId="166" fillId="0" borderId="0"/>
    <xf numFmtId="0" fontId="59" fillId="0" borderId="0"/>
    <xf numFmtId="0" fontId="166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167" fillId="0" borderId="0"/>
    <xf numFmtId="0" fontId="58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1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70" fillId="0" borderId="0"/>
    <xf numFmtId="0" fontId="170" fillId="0" borderId="0"/>
    <xf numFmtId="0" fontId="170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9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4" fontId="98" fillId="0" borderId="0" applyFont="0" applyFill="0" applyBorder="0" applyAlignment="0" applyProtection="0"/>
    <xf numFmtId="0" fontId="45" fillId="0" borderId="0"/>
    <xf numFmtId="175" fontId="98" fillId="0" borderId="0" applyFont="0" applyFill="0" applyBorder="0" applyAlignment="0" applyProtection="0"/>
    <xf numFmtId="176" fontId="98" fillId="0" borderId="0" applyFont="0" applyFill="0" applyBorder="0" applyAlignment="0" applyProtection="0"/>
    <xf numFmtId="0" fontId="45" fillId="0" borderId="0"/>
    <xf numFmtId="0" fontId="44" fillId="0" borderId="0"/>
    <xf numFmtId="0" fontId="44" fillId="0" borderId="0"/>
    <xf numFmtId="0" fontId="44" fillId="0" borderId="0"/>
    <xf numFmtId="0" fontId="170" fillId="0" borderId="0"/>
    <xf numFmtId="0" fontId="44" fillId="0" borderId="0"/>
    <xf numFmtId="0" fontId="170" fillId="0" borderId="0"/>
    <xf numFmtId="0" fontId="170" fillId="0" borderId="0"/>
    <xf numFmtId="0" fontId="17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2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2" fillId="0" borderId="0"/>
    <xf numFmtId="0" fontId="37" fillId="0" borderId="0"/>
    <xf numFmtId="0" fontId="172" fillId="0" borderId="0"/>
    <xf numFmtId="0" fontId="172" fillId="0" borderId="0"/>
    <xf numFmtId="0" fontId="17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173" fillId="0" borderId="0"/>
    <xf numFmtId="0" fontId="173" fillId="0" borderId="0"/>
    <xf numFmtId="0" fontId="17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29" fillId="0" borderId="0"/>
    <xf numFmtId="0" fontId="173" fillId="0" borderId="0"/>
    <xf numFmtId="0" fontId="29" fillId="0" borderId="0"/>
    <xf numFmtId="0" fontId="29" fillId="0" borderId="0"/>
    <xf numFmtId="0" fontId="29" fillId="0" borderId="0"/>
    <xf numFmtId="0" fontId="173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8" fillId="0" borderId="0"/>
    <xf numFmtId="164" fontId="9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4" fontId="98" fillId="0" borderId="0" applyFont="0" applyFill="0" applyBorder="0" applyAlignment="0" applyProtection="0"/>
    <xf numFmtId="0" fontId="25" fillId="0" borderId="0"/>
    <xf numFmtId="0" fontId="25" fillId="0" borderId="0"/>
    <xf numFmtId="0" fontId="24" fillId="0" borderId="0"/>
    <xf numFmtId="0" fontId="24" fillId="0" borderId="0"/>
    <xf numFmtId="179" fontId="98" fillId="0" borderId="0" applyFont="0" applyFill="0" applyBorder="0" applyAlignment="0" applyProtection="0"/>
    <xf numFmtId="179" fontId="98" fillId="0" borderId="0" applyFont="0" applyFill="0" applyBorder="0" applyAlignment="0" applyProtection="0"/>
    <xf numFmtId="179" fontId="98" fillId="0" borderId="0" applyFont="0" applyFill="0" applyBorder="0" applyAlignment="0" applyProtection="0"/>
    <xf numFmtId="178" fontId="175" fillId="0" borderId="0" applyFont="0" applyFill="0" applyBorder="0" applyAlignment="0" applyProtection="0"/>
    <xf numFmtId="0" fontId="24" fillId="0" borderId="0"/>
    <xf numFmtId="0" fontId="98" fillId="0" borderId="0" applyProtection="0">
      <protection locked="0"/>
    </xf>
    <xf numFmtId="0" fontId="98" fillId="0" borderId="0" applyProtection="0">
      <protection locked="0"/>
    </xf>
    <xf numFmtId="0" fontId="176" fillId="0" borderId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98" fillId="0" borderId="0" applyProtection="0">
      <protection locked="0"/>
    </xf>
    <xf numFmtId="0" fontId="98" fillId="0" borderId="0" applyProtection="0">
      <protection locked="0"/>
    </xf>
    <xf numFmtId="179" fontId="98" fillId="0" borderId="0" applyFont="0" applyFill="0" applyBorder="0" applyAlignment="0" applyProtection="0">
      <protection locked="0"/>
    </xf>
    <xf numFmtId="0" fontId="98" fillId="0" borderId="0" applyProtection="0">
      <protection locked="0"/>
    </xf>
    <xf numFmtId="0" fontId="98" fillId="0" borderId="0" applyProtection="0">
      <protection locked="0"/>
    </xf>
    <xf numFmtId="0" fontId="98" fillId="0" borderId="0"/>
    <xf numFmtId="164" fontId="24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136" fillId="0" borderId="0"/>
    <xf numFmtId="178" fontId="175" fillId="0" borderId="0" applyFont="0" applyFill="0" applyBorder="0" applyAlignment="0" applyProtection="0"/>
    <xf numFmtId="178" fontId="175" fillId="0" borderId="0" applyFont="0" applyFill="0" applyBorder="0" applyAlignment="0" applyProtection="0"/>
    <xf numFmtId="178" fontId="175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98" fillId="0" borderId="0" applyProtection="0">
      <protection locked="0"/>
    </xf>
    <xf numFmtId="0" fontId="98" fillId="0" borderId="0"/>
    <xf numFmtId="0" fontId="23" fillId="0" borderId="0"/>
    <xf numFmtId="176" fontId="98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4" fontId="9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7" fillId="0" borderId="0"/>
    <xf numFmtId="0" fontId="20" fillId="0" borderId="0"/>
    <xf numFmtId="164" fontId="98" fillId="0" borderId="0" applyFont="0" applyFill="0" applyBorder="0" applyAlignment="0" applyProtection="0"/>
    <xf numFmtId="0" fontId="19" fillId="0" borderId="0"/>
    <xf numFmtId="164" fontId="13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98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1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1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98" fillId="0" borderId="0" applyFont="0" applyFill="0" applyBorder="0" applyAlignment="0" applyProtection="0"/>
    <xf numFmtId="0" fontId="4" fillId="0" borderId="0"/>
    <xf numFmtId="0" fontId="156" fillId="0" borderId="0" applyBorder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8">
    <xf numFmtId="0" fontId="0" fillId="0" borderId="0" xfId="0"/>
    <xf numFmtId="0" fontId="100" fillId="0" borderId="0" xfId="0" applyFont="1"/>
    <xf numFmtId="0" fontId="101" fillId="2" borderId="0" xfId="0" applyFont="1" applyFill="1"/>
    <xf numFmtId="0" fontId="100" fillId="0" borderId="0" xfId="0" applyFont="1" applyAlignment="1">
      <alignment vertical="center"/>
    </xf>
    <xf numFmtId="0" fontId="102" fillId="0" borderId="0" xfId="0" applyFont="1"/>
    <xf numFmtId="166" fontId="99" fillId="0" borderId="1" xfId="1" applyNumberFormat="1" applyFont="1" applyBorder="1" applyAlignment="1">
      <alignment horizontal="center"/>
    </xf>
    <xf numFmtId="0" fontId="101" fillId="0" borderId="1" xfId="0" applyFont="1" applyBorder="1" applyAlignment="1">
      <alignment horizontal="center"/>
    </xf>
    <xf numFmtId="165" fontId="101" fillId="0" borderId="0" xfId="1" applyFont="1"/>
    <xf numFmtId="1" fontId="103" fillId="0" borderId="0" xfId="0" applyNumberFormat="1" applyFont="1" applyAlignment="1">
      <alignment horizontal="center"/>
    </xf>
    <xf numFmtId="0" fontId="101" fillId="4" borderId="2" xfId="0" applyFont="1" applyFill="1" applyBorder="1" applyAlignment="1">
      <alignment horizontal="center"/>
    </xf>
    <xf numFmtId="1" fontId="101" fillId="0" borderId="2" xfId="0" applyNumberFormat="1" applyFont="1" applyBorder="1" applyAlignment="1">
      <alignment horizontal="center"/>
    </xf>
    <xf numFmtId="0" fontId="101" fillId="0" borderId="3" xfId="0" applyFont="1" applyBorder="1" applyAlignment="1">
      <alignment horizontal="center"/>
    </xf>
    <xf numFmtId="0" fontId="101" fillId="4" borderId="4" xfId="0" applyFont="1" applyFill="1" applyBorder="1" applyAlignment="1">
      <alignment horizontal="center"/>
    </xf>
    <xf numFmtId="0" fontId="101" fillId="0" borderId="2" xfId="0" applyFont="1" applyBorder="1" applyAlignment="1">
      <alignment horizontal="center"/>
    </xf>
    <xf numFmtId="0" fontId="98" fillId="0" borderId="0" xfId="0" applyFont="1"/>
    <xf numFmtId="165" fontId="101" fillId="5" borderId="0" xfId="1" applyFont="1" applyFill="1"/>
    <xf numFmtId="0" fontId="107" fillId="2" borderId="5" xfId="0" applyFont="1" applyFill="1" applyBorder="1" applyAlignment="1">
      <alignment vertical="center"/>
    </xf>
    <xf numFmtId="0" fontId="109" fillId="2" borderId="6" xfId="0" applyFont="1" applyFill="1" applyBorder="1"/>
    <xf numFmtId="0" fontId="101" fillId="0" borderId="0" xfId="0" applyFont="1"/>
    <xf numFmtId="0" fontId="101" fillId="3" borderId="0" xfId="0" applyFont="1" applyFill="1"/>
    <xf numFmtId="164" fontId="101" fillId="0" borderId="0" xfId="0" applyNumberFormat="1" applyFont="1"/>
    <xf numFmtId="166" fontId="110" fillId="6" borderId="7" xfId="1" applyNumberFormat="1" applyFont="1" applyFill="1" applyBorder="1"/>
    <xf numFmtId="166" fontId="101" fillId="0" borderId="2" xfId="1" applyNumberFormat="1" applyFont="1" applyBorder="1" applyAlignment="1">
      <alignment horizontal="center"/>
    </xf>
    <xf numFmtId="0" fontId="101" fillId="4" borderId="0" xfId="0" applyFont="1" applyFill="1"/>
    <xf numFmtId="1" fontId="104" fillId="8" borderId="6" xfId="0" applyNumberFormat="1" applyFont="1" applyFill="1" applyBorder="1" applyAlignment="1">
      <alignment horizontal="center"/>
    </xf>
    <xf numFmtId="0" fontId="113" fillId="2" borderId="0" xfId="0" applyFont="1" applyFill="1"/>
    <xf numFmtId="0" fontId="105" fillId="0" borderId="9" xfId="0" applyFont="1" applyBorder="1"/>
    <xf numFmtId="0" fontId="105" fillId="4" borderId="0" xfId="0" applyFont="1" applyFill="1"/>
    <xf numFmtId="1" fontId="105" fillId="0" borderId="0" xfId="0" applyNumberFormat="1" applyFont="1"/>
    <xf numFmtId="0" fontId="105" fillId="0" borderId="0" xfId="0" applyFont="1"/>
    <xf numFmtId="1" fontId="101" fillId="0" borderId="0" xfId="0" applyNumberFormat="1" applyFont="1"/>
    <xf numFmtId="0" fontId="101" fillId="0" borderId="6" xfId="0" applyFont="1" applyBorder="1"/>
    <xf numFmtId="0" fontId="113" fillId="0" borderId="0" xfId="0" applyFont="1"/>
    <xf numFmtId="166" fontId="113" fillId="0" borderId="0" xfId="1" applyNumberFormat="1" applyFont="1"/>
    <xf numFmtId="0" fontId="107" fillId="2" borderId="0" xfId="0" applyFont="1" applyFill="1" applyAlignment="1">
      <alignment vertical="center"/>
    </xf>
    <xf numFmtId="1" fontId="118" fillId="4" borderId="9" xfId="0" applyNumberFormat="1" applyFont="1" applyFill="1" applyBorder="1" applyAlignment="1">
      <alignment horizontal="center" vertical="center"/>
    </xf>
    <xf numFmtId="1" fontId="119" fillId="4" borderId="9" xfId="0" applyNumberFormat="1" applyFont="1" applyFill="1" applyBorder="1" applyAlignment="1">
      <alignment horizontal="center" vertical="center"/>
    </xf>
    <xf numFmtId="0" fontId="112" fillId="0" borderId="9" xfId="0" applyFont="1" applyBorder="1"/>
    <xf numFmtId="0" fontId="101" fillId="0" borderId="11" xfId="0" applyFont="1" applyBorder="1"/>
    <xf numFmtId="0" fontId="101" fillId="2" borderId="5" xfId="0" applyFont="1" applyFill="1" applyBorder="1"/>
    <xf numFmtId="0" fontId="101" fillId="0" borderId="4" xfId="0" applyFont="1" applyBorder="1"/>
    <xf numFmtId="0" fontId="101" fillId="0" borderId="13" xfId="0" applyFont="1" applyBorder="1"/>
    <xf numFmtId="1" fontId="101" fillId="11" borderId="14" xfId="0" applyNumberFormat="1" applyFont="1" applyFill="1" applyBorder="1" applyAlignment="1">
      <alignment horizontal="center"/>
    </xf>
    <xf numFmtId="1" fontId="101" fillId="11" borderId="15" xfId="0" applyNumberFormat="1" applyFont="1" applyFill="1" applyBorder="1" applyAlignment="1">
      <alignment horizontal="center"/>
    </xf>
    <xf numFmtId="1" fontId="101" fillId="11" borderId="10" xfId="0" applyNumberFormat="1" applyFont="1" applyFill="1" applyBorder="1" applyAlignment="1">
      <alignment horizontal="center"/>
    </xf>
    <xf numFmtId="1" fontId="101" fillId="0" borderId="14" xfId="0" applyNumberFormat="1" applyFont="1" applyBorder="1" applyAlignment="1">
      <alignment horizontal="center"/>
    </xf>
    <xf numFmtId="0" fontId="122" fillId="0" borderId="16" xfId="0" applyFont="1" applyBorder="1" applyAlignment="1">
      <alignment horizontal="center"/>
    </xf>
    <xf numFmtId="1" fontId="101" fillId="4" borderId="2" xfId="0" applyNumberFormat="1" applyFont="1" applyFill="1" applyBorder="1" applyAlignment="1">
      <alignment horizontal="center"/>
    </xf>
    <xf numFmtId="166" fontId="101" fillId="4" borderId="3" xfId="1" applyNumberFormat="1" applyFont="1" applyFill="1" applyBorder="1" applyAlignment="1">
      <alignment horizontal="center"/>
    </xf>
    <xf numFmtId="3" fontId="101" fillId="4" borderId="4" xfId="0" applyNumberFormat="1" applyFont="1" applyFill="1" applyBorder="1" applyAlignment="1">
      <alignment horizontal="center"/>
    </xf>
    <xf numFmtId="3" fontId="101" fillId="3" borderId="2" xfId="0" applyNumberFormat="1" applyFont="1" applyFill="1" applyBorder="1" applyAlignment="1">
      <alignment horizontal="center"/>
    </xf>
    <xf numFmtId="3" fontId="101" fillId="4" borderId="20" xfId="0" applyNumberFormat="1" applyFont="1" applyFill="1" applyBorder="1" applyAlignment="1">
      <alignment horizontal="center"/>
    </xf>
    <xf numFmtId="2" fontId="101" fillId="0" borderId="2" xfId="1" applyNumberFormat="1" applyFont="1" applyBorder="1" applyAlignment="1">
      <alignment horizontal="center"/>
    </xf>
    <xf numFmtId="2" fontId="101" fillId="0" borderId="0" xfId="1" applyNumberFormat="1" applyFont="1" applyAlignment="1">
      <alignment horizontal="center"/>
    </xf>
    <xf numFmtId="2" fontId="101" fillId="0" borderId="2" xfId="0" applyNumberFormat="1" applyFont="1" applyBorder="1" applyAlignment="1">
      <alignment horizontal="center"/>
    </xf>
    <xf numFmtId="166" fontId="101" fillId="0" borderId="0" xfId="1" applyNumberFormat="1" applyFont="1"/>
    <xf numFmtId="0" fontId="106" fillId="0" borderId="0" xfId="0" applyFont="1"/>
    <xf numFmtId="0" fontId="109" fillId="2" borderId="0" xfId="0" applyFont="1" applyFill="1"/>
    <xf numFmtId="0" fontId="109" fillId="0" borderId="0" xfId="0" applyFont="1"/>
    <xf numFmtId="165" fontId="99" fillId="5" borderId="0" xfId="1" applyFont="1" applyFill="1"/>
    <xf numFmtId="0" fontId="99" fillId="0" borderId="0" xfId="0" applyFont="1"/>
    <xf numFmtId="0" fontId="106" fillId="0" borderId="22" xfId="0" applyFont="1" applyBorder="1"/>
    <xf numFmtId="0" fontId="106" fillId="2" borderId="23" xfId="0" applyFont="1" applyFill="1" applyBorder="1"/>
    <xf numFmtId="165" fontId="106" fillId="0" borderId="0" xfId="1" applyFont="1"/>
    <xf numFmtId="0" fontId="113" fillId="0" borderId="21" xfId="0" applyFont="1" applyBorder="1"/>
    <xf numFmtId="0" fontId="115" fillId="0" borderId="9" xfId="0" applyFont="1" applyBorder="1"/>
    <xf numFmtId="0" fontId="115" fillId="0" borderId="0" xfId="0" applyFont="1"/>
    <xf numFmtId="0" fontId="115" fillId="0" borderId="23" xfId="0" applyFont="1" applyBorder="1"/>
    <xf numFmtId="0" fontId="115" fillId="0" borderId="24" xfId="0" applyFont="1" applyBorder="1"/>
    <xf numFmtId="0" fontId="116" fillId="3" borderId="1" xfId="0" applyFont="1" applyFill="1" applyBorder="1" applyAlignment="1">
      <alignment horizontal="center" vertical="center"/>
    </xf>
    <xf numFmtId="0" fontId="99" fillId="3" borderId="1" xfId="0" applyFont="1" applyFill="1" applyBorder="1" applyAlignment="1">
      <alignment horizontal="center" vertical="center"/>
    </xf>
    <xf numFmtId="0" fontId="101" fillId="14" borderId="19" xfId="0" applyFont="1" applyFill="1" applyBorder="1" applyAlignment="1">
      <alignment horizontal="center"/>
    </xf>
    <xf numFmtId="0" fontId="101" fillId="6" borderId="17" xfId="0" applyFont="1" applyFill="1" applyBorder="1" applyAlignment="1">
      <alignment horizontal="center"/>
    </xf>
    <xf numFmtId="0" fontId="99" fillId="0" borderId="17" xfId="0" applyFont="1" applyBorder="1" applyAlignment="1">
      <alignment horizontal="center"/>
    </xf>
    <xf numFmtId="0" fontId="99" fillId="0" borderId="0" xfId="0" applyFont="1" applyAlignment="1">
      <alignment horizontal="center"/>
    </xf>
    <xf numFmtId="0" fontId="116" fillId="0" borderId="1" xfId="0" applyFont="1" applyBorder="1" applyAlignment="1">
      <alignment horizontal="center"/>
    </xf>
    <xf numFmtId="0" fontId="101" fillId="14" borderId="8" xfId="0" applyFont="1" applyFill="1" applyBorder="1" applyAlignment="1">
      <alignment horizontal="center"/>
    </xf>
    <xf numFmtId="0" fontId="101" fillId="6" borderId="8" xfId="0" applyFont="1" applyFill="1" applyBorder="1" applyAlignment="1">
      <alignment horizontal="center"/>
    </xf>
    <xf numFmtId="0" fontId="101" fillId="0" borderId="8" xfId="0" applyFont="1" applyBorder="1" applyAlignment="1">
      <alignment horizontal="center"/>
    </xf>
    <xf numFmtId="0" fontId="101" fillId="0" borderId="14" xfId="0" applyFont="1" applyBorder="1" applyAlignment="1">
      <alignment horizontal="center"/>
    </xf>
    <xf numFmtId="0" fontId="101" fillId="0" borderId="0" xfId="0" applyFont="1" applyAlignment="1">
      <alignment horizontal="center"/>
    </xf>
    <xf numFmtId="166" fontId="101" fillId="0" borderId="25" xfId="1" applyNumberFormat="1" applyFont="1" applyBorder="1" applyAlignment="1">
      <alignment horizontal="center"/>
    </xf>
    <xf numFmtId="3" fontId="119" fillId="4" borderId="7" xfId="1" applyNumberFormat="1" applyFont="1" applyFill="1" applyBorder="1" applyAlignment="1">
      <alignment horizontal="right"/>
    </xf>
    <xf numFmtId="166" fontId="101" fillId="0" borderId="7" xfId="1" applyNumberFormat="1" applyFont="1" applyBorder="1" applyAlignment="1">
      <alignment horizontal="center"/>
    </xf>
    <xf numFmtId="166" fontId="127" fillId="0" borderId="7" xfId="1" applyNumberFormat="1" applyFont="1" applyBorder="1" applyAlignment="1">
      <alignment horizontal="center"/>
    </xf>
    <xf numFmtId="0" fontId="101" fillId="0" borderId="27" xfId="0" applyFont="1" applyBorder="1"/>
    <xf numFmtId="0" fontId="101" fillId="0" borderId="28" xfId="0" applyFont="1" applyBorder="1"/>
    <xf numFmtId="3" fontId="101" fillId="0" borderId="28" xfId="0" applyNumberFormat="1" applyFont="1" applyBorder="1"/>
    <xf numFmtId="0" fontId="99" fillId="0" borderId="29" xfId="0" applyFont="1" applyBorder="1"/>
    <xf numFmtId="0" fontId="128" fillId="0" borderId="28" xfId="0" applyFont="1" applyBorder="1"/>
    <xf numFmtId="164" fontId="98" fillId="0" borderId="0" xfId="0" applyNumberFormat="1" applyFont="1"/>
    <xf numFmtId="166" fontId="110" fillId="6" borderId="30" xfId="0" applyNumberFormat="1" applyFont="1" applyFill="1" applyBorder="1" applyAlignment="1">
      <alignment horizontal="right"/>
    </xf>
    <xf numFmtId="166" fontId="126" fillId="0" borderId="7" xfId="1" applyNumberFormat="1" applyFont="1" applyBorder="1" applyAlignment="1">
      <alignment horizontal="right"/>
    </xf>
    <xf numFmtId="166" fontId="110" fillId="6" borderId="30" xfId="0" applyNumberFormat="1" applyFont="1" applyFill="1" applyBorder="1"/>
    <xf numFmtId="0" fontId="101" fillId="4" borderId="0" xfId="0" applyFont="1" applyFill="1" applyAlignment="1">
      <alignment horizontal="center"/>
    </xf>
    <xf numFmtId="0" fontId="99" fillId="4" borderId="0" xfId="0" applyFont="1" applyFill="1" applyAlignment="1">
      <alignment horizontal="center"/>
    </xf>
    <xf numFmtId="166" fontId="101" fillId="4" borderId="0" xfId="1" applyNumberFormat="1" applyFont="1" applyFill="1" applyAlignment="1">
      <alignment horizontal="center"/>
    </xf>
    <xf numFmtId="166" fontId="110" fillId="4" borderId="0" xfId="1" applyNumberFormat="1" applyFont="1" applyFill="1"/>
    <xf numFmtId="1" fontId="126" fillId="4" borderId="0" xfId="0" applyNumberFormat="1" applyFont="1" applyFill="1" applyAlignment="1">
      <alignment horizontal="center"/>
    </xf>
    <xf numFmtId="1" fontId="126" fillId="4" borderId="0" xfId="1" applyNumberFormat="1" applyFont="1" applyFill="1" applyAlignment="1">
      <alignment horizontal="center"/>
    </xf>
    <xf numFmtId="0" fontId="101" fillId="4" borderId="28" xfId="0" applyFont="1" applyFill="1" applyBorder="1"/>
    <xf numFmtId="166" fontId="110" fillId="4" borderId="28" xfId="0" applyNumberFormat="1" applyFont="1" applyFill="1" applyBorder="1"/>
    <xf numFmtId="165" fontId="130" fillId="0" borderId="0" xfId="1" applyFont="1"/>
    <xf numFmtId="0" fontId="131" fillId="16" borderId="14" xfId="0" applyFont="1" applyFill="1" applyBorder="1" applyAlignment="1">
      <alignment horizontal="center"/>
    </xf>
    <xf numFmtId="0" fontId="131" fillId="17" borderId="17" xfId="0" applyFont="1" applyFill="1" applyBorder="1" applyAlignment="1">
      <alignment horizontal="center"/>
    </xf>
    <xf numFmtId="0" fontId="101" fillId="18" borderId="17" xfId="0" applyFont="1" applyFill="1" applyBorder="1" applyAlignment="1">
      <alignment horizontal="center"/>
    </xf>
    <xf numFmtId="0" fontId="101" fillId="18" borderId="8" xfId="0" applyFont="1" applyFill="1" applyBorder="1" applyAlignment="1">
      <alignment horizontal="center"/>
    </xf>
    <xf numFmtId="166" fontId="110" fillId="18" borderId="7" xfId="1" applyNumberFormat="1" applyFont="1" applyFill="1" applyBorder="1"/>
    <xf numFmtId="166" fontId="110" fillId="18" borderId="30" xfId="0" applyNumberFormat="1" applyFont="1" applyFill="1" applyBorder="1"/>
    <xf numFmtId="166" fontId="110" fillId="18" borderId="7" xfId="1" applyNumberFormat="1" applyFont="1" applyFill="1" applyBorder="1" applyAlignment="1">
      <alignment horizontal="center"/>
    </xf>
    <xf numFmtId="166" fontId="101" fillId="11" borderId="14" xfId="1" applyNumberFormat="1" applyFont="1" applyFill="1" applyBorder="1" applyAlignment="1">
      <alignment horizontal="center"/>
    </xf>
    <xf numFmtId="0" fontId="132" fillId="10" borderId="14" xfId="0" applyFont="1" applyFill="1" applyBorder="1" applyAlignment="1">
      <alignment horizontal="center"/>
    </xf>
    <xf numFmtId="0" fontId="116" fillId="20" borderId="20" xfId="0" applyFont="1" applyFill="1" applyBorder="1" applyAlignment="1">
      <alignment horizontal="center" vertical="center"/>
    </xf>
    <xf numFmtId="0" fontId="129" fillId="21" borderId="20" xfId="0" applyFont="1" applyFill="1" applyBorder="1" applyAlignment="1">
      <alignment horizontal="center" vertical="center"/>
    </xf>
    <xf numFmtId="0" fontId="129" fillId="22" borderId="20" xfId="0" applyFont="1" applyFill="1" applyBorder="1" applyAlignment="1">
      <alignment horizontal="center" vertical="center"/>
    </xf>
    <xf numFmtId="0" fontId="123" fillId="23" borderId="4" xfId="0" applyFont="1" applyFill="1" applyBorder="1" applyAlignment="1">
      <alignment horizontal="center"/>
    </xf>
    <xf numFmtId="0" fontId="124" fillId="23" borderId="9" xfId="0" applyFont="1" applyFill="1" applyBorder="1"/>
    <xf numFmtId="0" fontId="101" fillId="2" borderId="28" xfId="0" applyFont="1" applyFill="1" applyBorder="1"/>
    <xf numFmtId="2" fontId="101" fillId="0" borderId="28" xfId="1" applyNumberFormat="1" applyFont="1" applyBorder="1" applyAlignment="1">
      <alignment horizontal="center"/>
    </xf>
    <xf numFmtId="2" fontId="101" fillId="0" borderId="31" xfId="0" applyNumberFormat="1" applyFont="1" applyBorder="1" applyAlignment="1">
      <alignment horizontal="center"/>
    </xf>
    <xf numFmtId="2" fontId="101" fillId="0" borderId="31" xfId="1" applyNumberFormat="1" applyFont="1" applyBorder="1" applyAlignment="1">
      <alignment horizontal="center"/>
    </xf>
    <xf numFmtId="10" fontId="133" fillId="24" borderId="17" xfId="0" applyNumberFormat="1" applyFont="1" applyFill="1" applyBorder="1" applyAlignment="1">
      <alignment horizontal="center" vertical="center" wrapText="1"/>
    </xf>
    <xf numFmtId="0" fontId="101" fillId="0" borderId="36" xfId="0" applyFont="1" applyBorder="1" applyAlignment="1">
      <alignment horizontal="center" vertical="center"/>
    </xf>
    <xf numFmtId="0" fontId="101" fillId="0" borderId="37" xfId="0" applyFont="1" applyBorder="1" applyAlignment="1">
      <alignment horizontal="center" vertical="center" wrapText="1"/>
    </xf>
    <xf numFmtId="0" fontId="101" fillId="0" borderId="38" xfId="0" applyFont="1" applyBorder="1" applyAlignment="1">
      <alignment horizontal="center" vertical="center" wrapText="1"/>
    </xf>
    <xf numFmtId="1" fontId="101" fillId="0" borderId="16" xfId="0" applyNumberFormat="1" applyFont="1" applyBorder="1" applyAlignment="1">
      <alignment horizontal="center" vertical="center" wrapText="1"/>
    </xf>
    <xf numFmtId="1" fontId="101" fillId="0" borderId="7" xfId="0" applyNumberFormat="1" applyFont="1" applyBorder="1" applyAlignment="1">
      <alignment horizontal="center" vertical="center" wrapText="1"/>
    </xf>
    <xf numFmtId="1" fontId="101" fillId="0" borderId="39" xfId="0" applyNumberFormat="1" applyFont="1" applyBorder="1" applyAlignment="1">
      <alignment horizontal="center" vertical="center" wrapText="1"/>
    </xf>
    <xf numFmtId="1" fontId="101" fillId="0" borderId="26" xfId="0" applyNumberFormat="1" applyFont="1" applyBorder="1" applyAlignment="1">
      <alignment horizontal="center" vertical="center" wrapText="1"/>
    </xf>
    <xf numFmtId="2" fontId="101" fillId="0" borderId="7" xfId="0" applyNumberFormat="1" applyFont="1" applyBorder="1" applyAlignment="1">
      <alignment horizontal="center" vertical="center" wrapText="1"/>
    </xf>
    <xf numFmtId="1" fontId="101" fillId="0" borderId="35" xfId="0" applyNumberFormat="1" applyFont="1" applyBorder="1" applyAlignment="1">
      <alignment horizontal="center" vertical="center" wrapText="1"/>
    </xf>
    <xf numFmtId="1" fontId="101" fillId="0" borderId="31" xfId="0" applyNumberFormat="1" applyFont="1" applyBorder="1" applyAlignment="1">
      <alignment horizontal="center" vertical="center" wrapText="1"/>
    </xf>
    <xf numFmtId="1" fontId="101" fillId="0" borderId="32" xfId="0" applyNumberFormat="1" applyFont="1" applyBorder="1" applyAlignment="1">
      <alignment horizontal="center" vertical="center" wrapText="1"/>
    </xf>
    <xf numFmtId="1" fontId="101" fillId="0" borderId="33" xfId="0" applyNumberFormat="1" applyFont="1" applyBorder="1" applyAlignment="1">
      <alignment horizontal="center" vertical="center" wrapText="1"/>
    </xf>
    <xf numFmtId="1" fontId="101" fillId="0" borderId="11" xfId="0" applyNumberFormat="1" applyFont="1" applyBorder="1" applyAlignment="1">
      <alignment horizontal="center" vertical="center" wrapText="1"/>
    </xf>
    <xf numFmtId="1" fontId="101" fillId="0" borderId="4" xfId="0" applyNumberFormat="1" applyFont="1" applyBorder="1" applyAlignment="1">
      <alignment horizontal="center" vertical="center" wrapText="1"/>
    </xf>
    <xf numFmtId="2" fontId="101" fillId="0" borderId="31" xfId="0" applyNumberFormat="1" applyFont="1" applyBorder="1" applyAlignment="1">
      <alignment horizontal="center" vertical="center" wrapText="1"/>
    </xf>
    <xf numFmtId="165" fontId="101" fillId="0" borderId="32" xfId="1" applyFont="1" applyBorder="1" applyAlignment="1">
      <alignment horizontal="center" vertical="center" wrapText="1"/>
    </xf>
    <xf numFmtId="165" fontId="101" fillId="0" borderId="39" xfId="1" applyFont="1" applyBorder="1" applyAlignment="1">
      <alignment horizontal="center" vertical="center" wrapText="1"/>
    </xf>
    <xf numFmtId="165" fontId="101" fillId="0" borderId="39" xfId="1" applyFont="1" applyBorder="1" applyAlignment="1">
      <alignment horizontal="center" vertical="center"/>
    </xf>
    <xf numFmtId="165" fontId="101" fillId="0" borderId="32" xfId="1" applyFont="1" applyBorder="1" applyAlignment="1">
      <alignment horizontal="center" vertical="center"/>
    </xf>
    <xf numFmtId="0" fontId="101" fillId="25" borderId="37" xfId="0" applyFont="1" applyFill="1" applyBorder="1" applyAlignment="1">
      <alignment horizontal="center" vertical="center" wrapText="1"/>
    </xf>
    <xf numFmtId="0" fontId="101" fillId="25" borderId="38" xfId="0" applyFont="1" applyFill="1" applyBorder="1" applyAlignment="1">
      <alignment horizontal="center" vertical="center" wrapText="1"/>
    </xf>
    <xf numFmtId="0" fontId="101" fillId="25" borderId="41" xfId="0" applyFont="1" applyFill="1" applyBorder="1" applyAlignment="1">
      <alignment horizontal="center" vertical="center" wrapText="1"/>
    </xf>
    <xf numFmtId="166" fontId="101" fillId="0" borderId="7" xfId="1" applyNumberFormat="1" applyFont="1" applyBorder="1" applyAlignment="1">
      <alignment horizontal="center" vertical="center" wrapText="1"/>
    </xf>
    <xf numFmtId="0" fontId="101" fillId="0" borderId="14" xfId="0" applyFont="1" applyBorder="1" applyAlignment="1">
      <alignment horizontal="center" vertical="center" wrapText="1"/>
    </xf>
    <xf numFmtId="166" fontId="101" fillId="0" borderId="7" xfId="1" applyNumberFormat="1" applyFont="1" applyBorder="1" applyAlignment="1">
      <alignment horizontal="center" vertical="center"/>
    </xf>
    <xf numFmtId="1" fontId="101" fillId="0" borderId="14" xfId="0" applyNumberFormat="1" applyFont="1" applyBorder="1" applyAlignment="1">
      <alignment horizontal="center" vertical="center" wrapText="1"/>
    </xf>
    <xf numFmtId="0" fontId="101" fillId="0" borderId="14" xfId="0" applyFont="1" applyBorder="1" applyAlignment="1">
      <alignment horizontal="center" vertical="center"/>
    </xf>
    <xf numFmtId="0" fontId="101" fillId="0" borderId="8" xfId="0" applyFont="1" applyBorder="1" applyAlignment="1">
      <alignment horizontal="center" vertical="center" wrapText="1"/>
    </xf>
    <xf numFmtId="0" fontId="101" fillId="0" borderId="10" xfId="0" applyFont="1" applyBorder="1" applyAlignment="1">
      <alignment horizontal="center" vertical="center" wrapText="1"/>
    </xf>
    <xf numFmtId="166" fontId="101" fillId="0" borderId="25" xfId="1" applyNumberFormat="1" applyFont="1" applyBorder="1" applyAlignment="1">
      <alignment horizontal="center" vertical="center"/>
    </xf>
    <xf numFmtId="166" fontId="101" fillId="0" borderId="26" xfId="1" applyNumberFormat="1" applyFont="1" applyBorder="1" applyAlignment="1">
      <alignment horizontal="center" vertical="center"/>
    </xf>
    <xf numFmtId="166" fontId="101" fillId="26" borderId="7" xfId="1" applyNumberFormat="1" applyFont="1" applyFill="1" applyBorder="1" applyAlignment="1">
      <alignment horizontal="center" vertical="center"/>
    </xf>
    <xf numFmtId="0" fontId="101" fillId="27" borderId="7" xfId="0" applyFont="1" applyFill="1" applyBorder="1" applyAlignment="1">
      <alignment horizontal="center" vertical="center" wrapText="1"/>
    </xf>
    <xf numFmtId="17" fontId="98" fillId="27" borderId="25" xfId="0" quotePrefix="1" applyNumberFormat="1" applyFont="1" applyFill="1" applyBorder="1"/>
    <xf numFmtId="0" fontId="98" fillId="27" borderId="26" xfId="0" applyFont="1" applyFill="1" applyBorder="1"/>
    <xf numFmtId="1" fontId="101" fillId="4" borderId="0" xfId="0" applyNumberFormat="1" applyFont="1" applyFill="1"/>
    <xf numFmtId="164" fontId="114" fillId="4" borderId="0" xfId="0" applyNumberFormat="1" applyFont="1" applyFill="1"/>
    <xf numFmtId="0" fontId="98" fillId="4" borderId="0" xfId="0" applyFont="1" applyFill="1"/>
    <xf numFmtId="164" fontId="101" fillId="4" borderId="0" xfId="0" applyNumberFormat="1" applyFont="1" applyFill="1"/>
    <xf numFmtId="164" fontId="98" fillId="4" borderId="0" xfId="0" applyNumberFormat="1" applyFont="1" applyFill="1"/>
    <xf numFmtId="166" fontId="101" fillId="4" borderId="0" xfId="1" applyNumberFormat="1" applyFont="1" applyFill="1"/>
    <xf numFmtId="3" fontId="101" fillId="4" borderId="2" xfId="0" applyNumberFormat="1" applyFont="1" applyFill="1" applyBorder="1" applyAlignment="1">
      <alignment horizontal="center"/>
    </xf>
    <xf numFmtId="0" fontId="160" fillId="0" borderId="0" xfId="53341" applyFont="1"/>
    <xf numFmtId="17" fontId="98" fillId="60" borderId="34" xfId="0" applyNumberFormat="1" applyFont="1" applyFill="1" applyBorder="1" applyAlignment="1">
      <alignment horizontal="center" vertical="center" wrapText="1"/>
    </xf>
    <xf numFmtId="0" fontId="98" fillId="60" borderId="28" xfId="0" applyFont="1" applyFill="1" applyBorder="1" applyAlignment="1">
      <alignment horizontal="center" vertical="center" wrapText="1"/>
    </xf>
    <xf numFmtId="17" fontId="98" fillId="60" borderId="68" xfId="0" quotePrefix="1" applyNumberFormat="1" applyFont="1" applyFill="1" applyBorder="1" applyAlignment="1">
      <alignment horizontal="center" vertical="center"/>
    </xf>
    <xf numFmtId="0" fontId="128" fillId="2" borderId="2" xfId="0" applyFont="1" applyFill="1" applyBorder="1"/>
    <xf numFmtId="0" fontId="128" fillId="2" borderId="28" xfId="0" applyFont="1" applyFill="1" applyBorder="1"/>
    <xf numFmtId="2" fontId="128" fillId="0" borderId="28" xfId="1" applyNumberFormat="1" applyFont="1" applyBorder="1" applyAlignment="1">
      <alignment horizontal="center"/>
    </xf>
    <xf numFmtId="2" fontId="128" fillId="0" borderId="31" xfId="0" applyNumberFormat="1" applyFont="1" applyBorder="1" applyAlignment="1">
      <alignment horizontal="center"/>
    </xf>
    <xf numFmtId="2" fontId="128" fillId="0" borderId="31" xfId="1" applyNumberFormat="1" applyFont="1" applyBorder="1" applyAlignment="1">
      <alignment horizontal="center"/>
    </xf>
    <xf numFmtId="3" fontId="101" fillId="61" borderId="2" xfId="0" applyNumberFormat="1" applyFont="1" applyFill="1" applyBorder="1" applyAlignment="1">
      <alignment horizontal="center"/>
    </xf>
    <xf numFmtId="0" fontId="99" fillId="2" borderId="0" xfId="0" applyFont="1" applyFill="1"/>
    <xf numFmtId="0" fontId="164" fillId="2" borderId="0" xfId="0" applyFont="1" applyFill="1" applyAlignment="1">
      <alignment vertical="center"/>
    </xf>
    <xf numFmtId="1" fontId="105" fillId="8" borderId="6" xfId="0" applyNumberFormat="1" applyFont="1" applyFill="1" applyBorder="1" applyAlignment="1">
      <alignment horizontal="center"/>
    </xf>
    <xf numFmtId="1" fontId="101" fillId="4" borderId="31" xfId="0" applyNumberFormat="1" applyFont="1" applyFill="1" applyBorder="1" applyAlignment="1">
      <alignment horizontal="center"/>
    </xf>
    <xf numFmtId="3" fontId="101" fillId="4" borderId="31" xfId="0" applyNumberFormat="1" applyFont="1" applyFill="1" applyBorder="1" applyAlignment="1">
      <alignment horizontal="center"/>
    </xf>
    <xf numFmtId="3" fontId="101" fillId="4" borderId="35" xfId="0" applyNumberFormat="1" applyFont="1" applyFill="1" applyBorder="1" applyAlignment="1">
      <alignment horizontal="center"/>
    </xf>
    <xf numFmtId="3" fontId="101" fillId="3" borderId="31" xfId="0" applyNumberFormat="1" applyFont="1" applyFill="1" applyBorder="1" applyAlignment="1">
      <alignment horizontal="center"/>
    </xf>
    <xf numFmtId="3" fontId="101" fillId="61" borderId="31" xfId="0" applyNumberFormat="1" applyFont="1" applyFill="1" applyBorder="1" applyAlignment="1">
      <alignment horizontal="center"/>
    </xf>
    <xf numFmtId="166" fontId="101" fillId="4" borderId="32" xfId="1" applyNumberFormat="1" applyFont="1" applyFill="1" applyBorder="1" applyAlignment="1">
      <alignment horizontal="center"/>
    </xf>
    <xf numFmtId="3" fontId="101" fillId="4" borderId="34" xfId="0" applyNumberFormat="1" applyFont="1" applyFill="1" applyBorder="1" applyAlignment="1">
      <alignment horizontal="center"/>
    </xf>
    <xf numFmtId="3" fontId="101" fillId="4" borderId="32" xfId="0" applyNumberFormat="1" applyFont="1" applyFill="1" applyBorder="1" applyAlignment="1">
      <alignment horizontal="center"/>
    </xf>
    <xf numFmtId="0" fontId="116" fillId="4" borderId="0" xfId="0" applyFont="1" applyFill="1" applyAlignment="1">
      <alignment horizontal="center" vertical="center"/>
    </xf>
    <xf numFmtId="0" fontId="116" fillId="12" borderId="21" xfId="0" applyFont="1" applyFill="1" applyBorder="1" applyAlignment="1">
      <alignment horizontal="center" vertical="center"/>
    </xf>
    <xf numFmtId="0" fontId="116" fillId="13" borderId="20" xfId="0" applyFont="1" applyFill="1" applyBorder="1" applyAlignment="1">
      <alignment horizontal="center" vertical="center"/>
    </xf>
    <xf numFmtId="0" fontId="129" fillId="15" borderId="20" xfId="0" applyFont="1" applyFill="1" applyBorder="1" applyAlignment="1">
      <alignment horizontal="center" vertical="center"/>
    </xf>
    <xf numFmtId="0" fontId="123" fillId="23" borderId="69" xfId="0" applyFont="1" applyFill="1" applyBorder="1" applyAlignment="1">
      <alignment horizontal="center"/>
    </xf>
    <xf numFmtId="0" fontId="99" fillId="0" borderId="23" xfId="0" applyFont="1" applyBorder="1"/>
    <xf numFmtId="0" fontId="99" fillId="0" borderId="0" xfId="0" applyFont="1" applyBorder="1"/>
    <xf numFmtId="0" fontId="129" fillId="15" borderId="0" xfId="0" applyFont="1" applyFill="1" applyBorder="1" applyAlignment="1">
      <alignment horizontal="center" vertical="center"/>
    </xf>
    <xf numFmtId="0" fontId="116" fillId="20" borderId="0" xfId="0" applyFont="1" applyFill="1" applyBorder="1" applyAlignment="1">
      <alignment horizontal="center" vertical="center"/>
    </xf>
    <xf numFmtId="0" fontId="116" fillId="20" borderId="1" xfId="0" applyFont="1" applyFill="1" applyBorder="1" applyAlignment="1">
      <alignment horizontal="center" vertical="center"/>
    </xf>
    <xf numFmtId="0" fontId="99" fillId="0" borderId="0" xfId="0" applyFont="1" applyBorder="1" applyAlignment="1">
      <alignment horizontal="center"/>
    </xf>
    <xf numFmtId="0" fontId="99" fillId="0" borderId="18" xfId="0" applyFont="1" applyBorder="1" applyAlignment="1">
      <alignment horizontal="center"/>
    </xf>
    <xf numFmtId="0" fontId="101" fillId="0" borderId="0" xfId="0" applyFont="1" applyBorder="1" applyAlignment="1">
      <alignment horizontal="center"/>
    </xf>
    <xf numFmtId="0" fontId="101" fillId="0" borderId="15" xfId="0" applyFont="1" applyBorder="1" applyAlignment="1">
      <alignment horizontal="center"/>
    </xf>
    <xf numFmtId="0" fontId="125" fillId="23" borderId="16" xfId="0" applyFont="1" applyFill="1" applyBorder="1"/>
    <xf numFmtId="1" fontId="126" fillId="0" borderId="39" xfId="0" applyNumberFormat="1" applyFont="1" applyBorder="1" applyAlignment="1">
      <alignment horizontal="center"/>
    </xf>
    <xf numFmtId="1" fontId="126" fillId="0" borderId="39" xfId="1" applyNumberFormat="1" applyFont="1" applyBorder="1" applyAlignment="1">
      <alignment horizontal="center"/>
    </xf>
    <xf numFmtId="0" fontId="101" fillId="0" borderId="29" xfId="0" applyFont="1" applyBorder="1"/>
    <xf numFmtId="0" fontId="98" fillId="0" borderId="19" xfId="0" applyFont="1" applyBorder="1"/>
    <xf numFmtId="0" fontId="98" fillId="0" borderId="43" xfId="0" applyFont="1" applyBorder="1"/>
    <xf numFmtId="0" fontId="98" fillId="0" borderId="40" xfId="0" applyFont="1" applyBorder="1"/>
    <xf numFmtId="0" fontId="98" fillId="0" borderId="23" xfId="0" applyFont="1" applyBorder="1"/>
    <xf numFmtId="0" fontId="98" fillId="0" borderId="0" xfId="0" applyFont="1" applyBorder="1"/>
    <xf numFmtId="0" fontId="116" fillId="12" borderId="9" xfId="0" applyFont="1" applyFill="1" applyBorder="1" applyAlignment="1">
      <alignment horizontal="center" vertical="center"/>
    </xf>
    <xf numFmtId="0" fontId="116" fillId="12" borderId="0" xfId="0" applyFont="1" applyFill="1" applyBorder="1" applyAlignment="1">
      <alignment horizontal="center" vertical="center"/>
    </xf>
    <xf numFmtId="0" fontId="116" fillId="13" borderId="0" xfId="0" applyFont="1" applyFill="1" applyBorder="1" applyAlignment="1">
      <alignment horizontal="center" vertical="center"/>
    </xf>
    <xf numFmtId="0" fontId="116" fillId="13" borderId="1" xfId="0" applyFont="1" applyFill="1" applyBorder="1" applyAlignment="1">
      <alignment horizontal="center" vertical="center"/>
    </xf>
    <xf numFmtId="0" fontId="101" fillId="14" borderId="46" xfId="0" applyFont="1" applyFill="1" applyBorder="1" applyAlignment="1">
      <alignment horizontal="center"/>
    </xf>
    <xf numFmtId="0" fontId="101" fillId="14" borderId="52" xfId="0" applyFont="1" applyFill="1" applyBorder="1" applyAlignment="1">
      <alignment horizontal="center"/>
    </xf>
    <xf numFmtId="166" fontId="101" fillId="0" borderId="16" xfId="1" applyNumberFormat="1" applyFont="1" applyBorder="1" applyAlignment="1">
      <alignment horizontal="center"/>
    </xf>
    <xf numFmtId="166" fontId="127" fillId="0" borderId="39" xfId="1" applyNumberFormat="1" applyFont="1" applyBorder="1" applyAlignment="1">
      <alignment horizontal="center"/>
    </xf>
    <xf numFmtId="0" fontId="101" fillId="0" borderId="71" xfId="0" applyFont="1" applyBorder="1"/>
    <xf numFmtId="0" fontId="98" fillId="0" borderId="28" xfId="0" applyFont="1" applyBorder="1"/>
    <xf numFmtId="0" fontId="128" fillId="0" borderId="72" xfId="0" applyFont="1" applyBorder="1"/>
    <xf numFmtId="0" fontId="129" fillId="21" borderId="0" xfId="0" applyFont="1" applyFill="1" applyBorder="1" applyAlignment="1">
      <alignment horizontal="center" vertical="center"/>
    </xf>
    <xf numFmtId="3" fontId="119" fillId="4" borderId="39" xfId="1" applyNumberFormat="1" applyFont="1" applyFill="1" applyBorder="1" applyAlignment="1">
      <alignment horizontal="right"/>
    </xf>
    <xf numFmtId="3" fontId="101" fillId="0" borderId="29" xfId="0" applyNumberFormat="1" applyFont="1" applyBorder="1"/>
    <xf numFmtId="0" fontId="101" fillId="16" borderId="15" xfId="0" applyFont="1" applyFill="1" applyBorder="1" applyAlignment="1">
      <alignment horizontal="center"/>
    </xf>
    <xf numFmtId="0" fontId="129" fillId="22" borderId="0" xfId="0" applyFont="1" applyFill="1" applyBorder="1" applyAlignment="1">
      <alignment horizontal="center" vertical="center"/>
    </xf>
    <xf numFmtId="0" fontId="129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1" fillId="0" borderId="0" xfId="0" applyFont="1"/>
    <xf numFmtId="0" fontId="121" fillId="10" borderId="17" xfId="0" applyFont="1" applyFill="1" applyBorder="1" applyAlignment="1">
      <alignment horizontal="center" vertical="center" wrapText="1"/>
    </xf>
    <xf numFmtId="0" fontId="101" fillId="6" borderId="17" xfId="0" applyFont="1" applyFill="1" applyBorder="1" applyAlignment="1">
      <alignment horizontal="center" vertical="center" wrapText="1"/>
    </xf>
    <xf numFmtId="0" fontId="98" fillId="0" borderId="22" xfId="0" applyFont="1" applyBorder="1"/>
    <xf numFmtId="0" fontId="98" fillId="0" borderId="24" xfId="0" applyFont="1" applyBorder="1"/>
    <xf numFmtId="0" fontId="98" fillId="0" borderId="9" xfId="0" applyFont="1" applyBorder="1"/>
    <xf numFmtId="0" fontId="98" fillId="0" borderId="1" xfId="0" applyFont="1" applyBorder="1"/>
    <xf numFmtId="0" fontId="169" fillId="0" borderId="9" xfId="0" applyFont="1" applyBorder="1"/>
    <xf numFmtId="0" fontId="98" fillId="0" borderId="74" xfId="0" applyFont="1" applyBorder="1"/>
    <xf numFmtId="0" fontId="98" fillId="0" borderId="75" xfId="0" applyFont="1" applyBorder="1"/>
    <xf numFmtId="0" fontId="0" fillId="0" borderId="75" xfId="0" applyBorder="1"/>
    <xf numFmtId="3" fontId="101" fillId="4" borderId="3" xfId="0" applyNumberFormat="1" applyFont="1" applyFill="1" applyBorder="1" applyAlignment="1">
      <alignment horizontal="center"/>
    </xf>
    <xf numFmtId="0" fontId="169" fillId="0" borderId="0" xfId="0" applyFont="1"/>
    <xf numFmtId="0" fontId="98" fillId="60" borderId="0" xfId="0" applyFont="1" applyFill="1" applyBorder="1" applyAlignment="1">
      <alignment horizontal="center" vertical="center" wrapText="1"/>
    </xf>
    <xf numFmtId="17" fontId="98" fillId="60" borderId="43" xfId="0" quotePrefix="1" applyNumberFormat="1" applyFont="1" applyFill="1" applyBorder="1" applyAlignment="1">
      <alignment horizontal="center" vertical="center"/>
    </xf>
    <xf numFmtId="0" fontId="101" fillId="25" borderId="7" xfId="0" applyFont="1" applyFill="1" applyBorder="1" applyAlignment="1">
      <alignment horizontal="center" vertical="center" wrapText="1"/>
    </xf>
    <xf numFmtId="165" fontId="101" fillId="0" borderId="7" xfId="1" applyFont="1" applyBorder="1" applyAlignment="1">
      <alignment horizontal="center" vertical="center" wrapText="1"/>
    </xf>
    <xf numFmtId="0" fontId="122" fillId="0" borderId="12" xfId="0" applyFont="1" applyBorder="1" applyAlignment="1">
      <alignment horizontal="center"/>
    </xf>
    <xf numFmtId="0" fontId="122" fillId="3" borderId="12" xfId="0" applyFont="1" applyFill="1" applyBorder="1" applyAlignment="1">
      <alignment horizontal="center"/>
    </xf>
    <xf numFmtId="0" fontId="122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69" fillId="0" borderId="0" xfId="0" applyNumberFormat="1" applyFont="1"/>
    <xf numFmtId="0" fontId="116" fillId="2" borderId="0" xfId="0" applyFont="1" applyFill="1"/>
    <xf numFmtId="0" fontId="174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69" fillId="0" borderId="9" xfId="0" applyNumberFormat="1" applyFont="1" applyBorder="1"/>
    <xf numFmtId="3" fontId="101" fillId="0" borderId="17" xfId="0" applyNumberFormat="1" applyFont="1" applyBorder="1" applyAlignment="1">
      <alignment horizontal="center"/>
    </xf>
    <xf numFmtId="3" fontId="101" fillId="0" borderId="7" xfId="0" applyNumberFormat="1" applyFont="1" applyBorder="1" applyAlignment="1">
      <alignment horizontal="center"/>
    </xf>
    <xf numFmtId="0" fontId="110" fillId="2" borderId="0" xfId="0" applyFont="1" applyFill="1"/>
    <xf numFmtId="17" fontId="178" fillId="9" borderId="8" xfId="0" quotePrefix="1" applyNumberFormat="1" applyFont="1" applyFill="1" applyBorder="1"/>
    <xf numFmtId="1" fontId="179" fillId="9" borderId="0" xfId="0" applyNumberFormat="1" applyFont="1" applyFill="1"/>
    <xf numFmtId="0" fontId="179" fillId="9" borderId="10" xfId="0" applyFont="1" applyFill="1" applyBorder="1"/>
    <xf numFmtId="0" fontId="180" fillId="2" borderId="6" xfId="0" applyFont="1" applyFill="1" applyBorder="1"/>
    <xf numFmtId="0" fontId="110" fillId="2" borderId="0" xfId="0" applyFont="1" applyFill="1" applyAlignment="1">
      <alignment horizontal="left"/>
    </xf>
    <xf numFmtId="0" fontId="106" fillId="63" borderId="23" xfId="0" applyFont="1" applyFill="1" applyBorder="1" applyAlignment="1">
      <alignment horizontal="center"/>
    </xf>
    <xf numFmtId="0" fontId="121" fillId="64" borderId="12" xfId="0" applyFont="1" applyFill="1" applyBorder="1"/>
    <xf numFmtId="0" fontId="121" fillId="64" borderId="6" xfId="0" applyFont="1" applyFill="1" applyBorder="1" applyAlignment="1">
      <alignment horizontal="center"/>
    </xf>
    <xf numFmtId="0" fontId="120" fillId="64" borderId="6" xfId="0" applyFont="1" applyFill="1" applyBorder="1" applyAlignment="1">
      <alignment horizontal="center"/>
    </xf>
    <xf numFmtId="1" fontId="116" fillId="62" borderId="8" xfId="0" applyNumberFormat="1" applyFont="1" applyFill="1" applyBorder="1" applyAlignment="1">
      <alignment horizontal="center" vertical="center" wrapText="1"/>
    </xf>
    <xf numFmtId="1" fontId="116" fillId="62" borderId="5" xfId="0" applyNumberFormat="1" applyFont="1" applyFill="1" applyBorder="1" applyAlignment="1">
      <alignment horizontal="center" vertical="center" wrapText="1"/>
    </xf>
    <xf numFmtId="1" fontId="116" fillId="62" borderId="10" xfId="0" applyNumberFormat="1" applyFont="1" applyFill="1" applyBorder="1" applyAlignment="1">
      <alignment horizontal="center" vertical="center" wrapText="1"/>
    </xf>
    <xf numFmtId="4" fontId="101" fillId="0" borderId="0" xfId="0" applyNumberFormat="1" applyFont="1"/>
    <xf numFmtId="4" fontId="106" fillId="0" borderId="0" xfId="0" applyNumberFormat="1" applyFont="1"/>
    <xf numFmtId="3" fontId="101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1" fillId="4" borderId="0" xfId="0" applyNumberFormat="1" applyFont="1" applyFill="1" applyBorder="1"/>
    <xf numFmtId="166" fontId="101" fillId="0" borderId="0" xfId="0" applyNumberFormat="1" applyFont="1"/>
    <xf numFmtId="2" fontId="0" fillId="0" borderId="75" xfId="0" applyNumberFormat="1" applyBorder="1"/>
    <xf numFmtId="1" fontId="116" fillId="62" borderId="20" xfId="0" applyNumberFormat="1" applyFont="1" applyFill="1" applyBorder="1" applyAlignment="1">
      <alignment horizontal="center" vertical="center" wrapText="1"/>
    </xf>
    <xf numFmtId="1" fontId="116" fillId="62" borderId="0" xfId="0" applyNumberFormat="1" applyFont="1" applyFill="1" applyBorder="1" applyAlignment="1">
      <alignment horizontal="center" vertical="center" wrapText="1"/>
    </xf>
    <xf numFmtId="1" fontId="116" fillId="62" borderId="21" xfId="0" applyNumberFormat="1" applyFont="1" applyFill="1" applyBorder="1" applyAlignment="1">
      <alignment horizontal="center" vertical="center" wrapText="1"/>
    </xf>
    <xf numFmtId="1" fontId="108" fillId="0" borderId="0" xfId="0" applyNumberFormat="1" applyFont="1" applyFill="1" applyAlignment="1">
      <alignment horizontal="center"/>
    </xf>
    <xf numFmtId="1" fontId="116" fillId="62" borderId="19" xfId="0" applyNumberFormat="1" applyFont="1" applyFill="1" applyBorder="1" applyAlignment="1">
      <alignment horizontal="center" vertical="center" wrapText="1"/>
    </xf>
    <xf numFmtId="1" fontId="116" fillId="62" borderId="43" xfId="0" applyNumberFormat="1" applyFont="1" applyFill="1" applyBorder="1" applyAlignment="1">
      <alignment horizontal="center" vertical="center" wrapText="1"/>
    </xf>
    <xf numFmtId="1" fontId="116" fillId="62" borderId="40" xfId="0" applyNumberFormat="1" applyFont="1" applyFill="1" applyBorder="1" applyAlignment="1">
      <alignment horizontal="center" vertical="center" wrapText="1"/>
    </xf>
    <xf numFmtId="1" fontId="101" fillId="32" borderId="0" xfId="0" applyNumberFormat="1" applyFont="1" applyFill="1" applyAlignment="1">
      <alignment horizontal="center" vertical="center"/>
    </xf>
    <xf numFmtId="1" fontId="103" fillId="62" borderId="20" xfId="0" applyNumberFormat="1" applyFont="1" applyFill="1" applyBorder="1" applyAlignment="1">
      <alignment horizontal="center" vertical="center" wrapText="1"/>
    </xf>
    <xf numFmtId="1" fontId="103" fillId="62" borderId="0" xfId="0" applyNumberFormat="1" applyFont="1" applyFill="1" applyBorder="1" applyAlignment="1">
      <alignment horizontal="center" vertical="center" wrapText="1"/>
    </xf>
    <xf numFmtId="1" fontId="103" fillId="62" borderId="21" xfId="0" applyNumberFormat="1" applyFont="1" applyFill="1" applyBorder="1" applyAlignment="1">
      <alignment horizontal="center" vertical="center" wrapText="1"/>
    </xf>
    <xf numFmtId="1" fontId="101" fillId="0" borderId="43" xfId="0" applyNumberFormat="1" applyFont="1" applyFill="1" applyBorder="1" applyAlignment="1">
      <alignment horizontal="center"/>
    </xf>
    <xf numFmtId="1" fontId="103" fillId="62" borderId="19" xfId="0" applyNumberFormat="1" applyFont="1" applyFill="1" applyBorder="1" applyAlignment="1">
      <alignment horizontal="center" vertical="center" wrapText="1"/>
    </xf>
    <xf numFmtId="1" fontId="103" fillId="62" borderId="43" xfId="0" applyNumberFormat="1" applyFont="1" applyFill="1" applyBorder="1" applyAlignment="1">
      <alignment horizontal="center" vertical="center" wrapText="1"/>
    </xf>
    <xf numFmtId="1" fontId="103" fillId="62" borderId="40" xfId="0" applyNumberFormat="1" applyFont="1" applyFill="1" applyBorder="1" applyAlignment="1">
      <alignment horizontal="center" vertical="center" wrapText="1"/>
    </xf>
    <xf numFmtId="0" fontId="99" fillId="13" borderId="20" xfId="0" applyFont="1" applyFill="1" applyBorder="1" applyAlignment="1">
      <alignment horizontal="center" vertical="center"/>
    </xf>
    <xf numFmtId="0" fontId="99" fillId="13" borderId="0" xfId="0" applyFont="1" applyFill="1" applyBorder="1" applyAlignment="1">
      <alignment horizontal="center" vertical="center"/>
    </xf>
    <xf numFmtId="0" fontId="99" fillId="13" borderId="1" xfId="0" applyFont="1" applyFill="1" applyBorder="1" applyAlignment="1">
      <alignment horizontal="center" vertical="center"/>
    </xf>
    <xf numFmtId="0" fontId="129" fillId="15" borderId="20" xfId="0" applyFont="1" applyFill="1" applyBorder="1" applyAlignment="1">
      <alignment horizontal="center" vertical="center"/>
    </xf>
    <xf numFmtId="0" fontId="129" fillId="15" borderId="0" xfId="0" applyFont="1" applyFill="1" applyBorder="1" applyAlignment="1">
      <alignment horizontal="center" vertical="center"/>
    </xf>
    <xf numFmtId="0" fontId="103" fillId="20" borderId="20" xfId="0" applyFont="1" applyFill="1" applyBorder="1" applyAlignment="1">
      <alignment horizontal="center" vertical="center"/>
    </xf>
    <xf numFmtId="0" fontId="103" fillId="20" borderId="0" xfId="0" applyFont="1" applyFill="1" applyBorder="1" applyAlignment="1">
      <alignment horizontal="center" vertical="center"/>
    </xf>
    <xf numFmtId="0" fontId="103" fillId="20" borderId="1" xfId="0" applyFont="1" applyFill="1" applyBorder="1" applyAlignment="1">
      <alignment horizontal="center" vertical="center"/>
    </xf>
    <xf numFmtId="0" fontId="99" fillId="12" borderId="9" xfId="0" applyFont="1" applyFill="1" applyBorder="1" applyAlignment="1">
      <alignment horizontal="center" vertical="center"/>
    </xf>
    <xf numFmtId="0" fontId="99" fillId="12" borderId="0" xfId="0" applyFont="1" applyFill="1" applyBorder="1" applyAlignment="1">
      <alignment horizontal="center" vertical="center"/>
    </xf>
    <xf numFmtId="0" fontId="99" fillId="12" borderId="21" xfId="0" applyFont="1" applyFill="1" applyBorder="1" applyAlignment="1">
      <alignment horizontal="center" vertical="center"/>
    </xf>
    <xf numFmtId="0" fontId="106" fillId="29" borderId="23" xfId="0" applyFont="1" applyFill="1" applyBorder="1" applyAlignment="1">
      <alignment horizontal="center"/>
    </xf>
    <xf numFmtId="0" fontId="106" fillId="29" borderId="44" xfId="0" applyFont="1" applyFill="1" applyBorder="1" applyAlignment="1">
      <alignment horizontal="center"/>
    </xf>
    <xf numFmtId="0" fontId="129" fillId="15" borderId="70" xfId="0" applyFont="1" applyFill="1" applyBorder="1" applyAlignment="1">
      <alignment horizontal="center" vertical="center"/>
    </xf>
    <xf numFmtId="0" fontId="129" fillId="15" borderId="23" xfId="0" applyFont="1" applyFill="1" applyBorder="1" applyAlignment="1">
      <alignment horizontal="center" vertical="center"/>
    </xf>
    <xf numFmtId="0" fontId="116" fillId="20" borderId="70" xfId="0" applyFont="1" applyFill="1" applyBorder="1" applyAlignment="1">
      <alignment horizontal="center" vertical="center"/>
    </xf>
    <xf numFmtId="0" fontId="116" fillId="20" borderId="23" xfId="0" applyFont="1" applyFill="1" applyBorder="1" applyAlignment="1">
      <alignment horizontal="center" vertical="center"/>
    </xf>
    <xf numFmtId="0" fontId="116" fillId="20" borderId="24" xfId="0" applyFont="1" applyFill="1" applyBorder="1" applyAlignment="1">
      <alignment horizontal="center" vertical="center"/>
    </xf>
    <xf numFmtId="0" fontId="98" fillId="30" borderId="47" xfId="0" applyFont="1" applyFill="1" applyBorder="1" applyAlignment="1">
      <alignment horizontal="center"/>
    </xf>
    <xf numFmtId="0" fontId="98" fillId="30" borderId="45" xfId="0" applyFont="1" applyFill="1" applyBorder="1" applyAlignment="1">
      <alignment horizontal="center"/>
    </xf>
    <xf numFmtId="0" fontId="98" fillId="30" borderId="48" xfId="0" applyFont="1" applyFill="1" applyBorder="1" applyAlignment="1">
      <alignment horizontal="center"/>
    </xf>
    <xf numFmtId="0" fontId="98" fillId="31" borderId="49" xfId="0" applyFont="1" applyFill="1" applyBorder="1" applyAlignment="1">
      <alignment horizontal="center"/>
    </xf>
    <xf numFmtId="0" fontId="98" fillId="31" borderId="50" xfId="0" applyFont="1" applyFill="1" applyBorder="1" applyAlignment="1">
      <alignment horizontal="center"/>
    </xf>
    <xf numFmtId="0" fontId="98" fillId="31" borderId="51" xfId="0" applyFont="1" applyFill="1" applyBorder="1" applyAlignment="1">
      <alignment horizontal="center"/>
    </xf>
    <xf numFmtId="0" fontId="116" fillId="12" borderId="22" xfId="0" applyFont="1" applyFill="1" applyBorder="1" applyAlignment="1">
      <alignment horizontal="center" vertical="center"/>
    </xf>
    <xf numFmtId="0" fontId="116" fillId="12" borderId="23" xfId="0" applyFont="1" applyFill="1" applyBorder="1" applyAlignment="1">
      <alignment horizontal="center" vertical="center"/>
    </xf>
    <xf numFmtId="0" fontId="116" fillId="12" borderId="44" xfId="0" applyFont="1" applyFill="1" applyBorder="1" applyAlignment="1">
      <alignment horizontal="center" vertical="center"/>
    </xf>
    <xf numFmtId="0" fontId="116" fillId="13" borderId="70" xfId="0" applyFont="1" applyFill="1" applyBorder="1" applyAlignment="1">
      <alignment horizontal="center" vertical="center"/>
    </xf>
    <xf numFmtId="0" fontId="116" fillId="13" borderId="23" xfId="0" applyFont="1" applyFill="1" applyBorder="1" applyAlignment="1">
      <alignment horizontal="center" vertical="center"/>
    </xf>
    <xf numFmtId="0" fontId="116" fillId="13" borderId="24" xfId="0" applyFont="1" applyFill="1" applyBorder="1" applyAlignment="1">
      <alignment horizontal="center" vertical="center"/>
    </xf>
    <xf numFmtId="1" fontId="101" fillId="19" borderId="25" xfId="0" applyNumberFormat="1" applyFont="1" applyFill="1" applyBorder="1" applyAlignment="1">
      <alignment horizontal="center"/>
    </xf>
    <xf numFmtId="1" fontId="101" fillId="19" borderId="6" xfId="0" applyNumberFormat="1" applyFont="1" applyFill="1" applyBorder="1" applyAlignment="1">
      <alignment horizontal="center"/>
    </xf>
    <xf numFmtId="1" fontId="104" fillId="8" borderId="6" xfId="0" applyNumberFormat="1" applyFont="1" applyFill="1" applyBorder="1" applyAlignment="1">
      <alignment horizontal="center"/>
    </xf>
    <xf numFmtId="1" fontId="104" fillId="8" borderId="26" xfId="0" applyNumberFormat="1" applyFont="1" applyFill="1" applyBorder="1" applyAlignment="1">
      <alignment horizontal="center"/>
    </xf>
    <xf numFmtId="0" fontId="165" fillId="63" borderId="45" xfId="0" applyFont="1" applyFill="1" applyBorder="1" applyAlignment="1">
      <alignment horizontal="center"/>
    </xf>
    <xf numFmtId="0" fontId="106" fillId="34" borderId="23" xfId="0" applyFont="1" applyFill="1" applyBorder="1" applyAlignment="1">
      <alignment horizontal="center"/>
    </xf>
    <xf numFmtId="1" fontId="101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5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98" fillId="7" borderId="22" xfId="0" applyNumberFormat="1" applyFont="1" applyFill="1" applyBorder="1" applyAlignment="1">
      <alignment horizontal="center" vertical="center"/>
    </xf>
    <xf numFmtId="1" fontId="98" fillId="7" borderId="23" xfId="0" applyNumberFormat="1" applyFont="1" applyFill="1" applyBorder="1" applyAlignment="1">
      <alignment horizontal="center" vertical="center"/>
    </xf>
    <xf numFmtId="1" fontId="98" fillId="7" borderId="24" xfId="0" applyNumberFormat="1" applyFont="1" applyFill="1" applyBorder="1" applyAlignment="1">
      <alignment horizontal="center" vertical="center"/>
    </xf>
    <xf numFmtId="1" fontId="98" fillId="7" borderId="9" xfId="0" applyNumberFormat="1" applyFont="1" applyFill="1" applyBorder="1" applyAlignment="1">
      <alignment horizontal="center" vertical="center"/>
    </xf>
    <xf numFmtId="1" fontId="98" fillId="7" borderId="0" xfId="0" applyNumberFormat="1" applyFont="1" applyFill="1" applyBorder="1" applyAlignment="1">
      <alignment horizontal="center" vertical="center"/>
    </xf>
    <xf numFmtId="1" fontId="98" fillId="7" borderId="1" xfId="0" applyNumberFormat="1" applyFont="1" applyFill="1" applyBorder="1" applyAlignment="1">
      <alignment horizontal="center" vertical="center"/>
    </xf>
    <xf numFmtId="1" fontId="98" fillId="7" borderId="52" xfId="0" applyNumberFormat="1" applyFont="1" applyFill="1" applyBorder="1" applyAlignment="1">
      <alignment horizontal="center" vertical="center"/>
    </xf>
    <xf numFmtId="1" fontId="98" fillId="7" borderId="5" xfId="0" applyNumberFormat="1" applyFont="1" applyFill="1" applyBorder="1" applyAlignment="1">
      <alignment horizontal="center" vertical="center"/>
    </xf>
    <xf numFmtId="1" fontId="98" fillId="7" borderId="73" xfId="0" applyNumberFormat="1" applyFont="1" applyFill="1" applyBorder="1" applyAlignment="1">
      <alignment horizontal="center" vertical="center"/>
    </xf>
    <xf numFmtId="0" fontId="98" fillId="35" borderId="47" xfId="0" applyFont="1" applyFill="1" applyBorder="1" applyAlignment="1">
      <alignment horizontal="center"/>
    </xf>
    <xf numFmtId="0" fontId="98" fillId="35" borderId="45" xfId="0" applyFont="1" applyFill="1" applyBorder="1" applyAlignment="1">
      <alignment horizontal="center"/>
    </xf>
    <xf numFmtId="0" fontId="98" fillId="35" borderId="48" xfId="0" applyFont="1" applyFill="1" applyBorder="1" applyAlignment="1">
      <alignment horizontal="center"/>
    </xf>
    <xf numFmtId="1" fontId="134" fillId="33" borderId="25" xfId="0" applyNumberFormat="1" applyFont="1" applyFill="1" applyBorder="1" applyAlignment="1">
      <alignment horizontal="center"/>
    </xf>
    <xf numFmtId="1" fontId="134" fillId="33" borderId="6" xfId="0" applyNumberFormat="1" applyFont="1" applyFill="1" applyBorder="1" applyAlignment="1">
      <alignment horizontal="center"/>
    </xf>
    <xf numFmtId="1" fontId="134" fillId="33" borderId="26" xfId="0" applyNumberFormat="1" applyFont="1" applyFill="1" applyBorder="1" applyAlignment="1">
      <alignment horizontal="center"/>
    </xf>
    <xf numFmtId="1" fontId="101" fillId="60" borderId="25" xfId="0" applyNumberFormat="1" applyFont="1" applyFill="1" applyBorder="1" applyAlignment="1">
      <alignment horizontal="center"/>
    </xf>
    <xf numFmtId="1" fontId="101" fillId="60" borderId="6" xfId="0" applyNumberFormat="1" applyFont="1" applyFill="1" applyBorder="1" applyAlignment="1">
      <alignment horizontal="center"/>
    </xf>
    <xf numFmtId="1" fontId="101" fillId="60" borderId="26" xfId="0" applyNumberFormat="1" applyFont="1" applyFill="1" applyBorder="1" applyAlignment="1">
      <alignment horizontal="center"/>
    </xf>
    <xf numFmtId="1" fontId="121" fillId="64" borderId="25" xfId="0" applyNumberFormat="1" applyFont="1" applyFill="1" applyBorder="1" applyAlignment="1">
      <alignment horizontal="center"/>
    </xf>
    <xf numFmtId="1" fontId="121" fillId="64" borderId="6" xfId="0" applyNumberFormat="1" applyFont="1" applyFill="1" applyBorder="1" applyAlignment="1">
      <alignment horizontal="center"/>
    </xf>
    <xf numFmtId="1" fontId="121" fillId="64" borderId="26" xfId="0" applyNumberFormat="1" applyFont="1" applyFill="1" applyBorder="1" applyAlignment="1">
      <alignment horizontal="center"/>
    </xf>
    <xf numFmtId="1" fontId="101" fillId="60" borderId="42" xfId="0" applyNumberFormat="1" applyFont="1" applyFill="1" applyBorder="1" applyAlignment="1">
      <alignment horizontal="center"/>
    </xf>
    <xf numFmtId="0" fontId="121" fillId="64" borderId="52" xfId="0" applyFont="1" applyFill="1" applyBorder="1" applyAlignment="1">
      <alignment horizontal="center"/>
    </xf>
    <xf numFmtId="0" fontId="121" fillId="64" borderId="5" xfId="0" applyFont="1" applyFill="1" applyBorder="1" applyAlignment="1">
      <alignment horizontal="center"/>
    </xf>
    <xf numFmtId="0" fontId="129" fillId="22" borderId="70" xfId="0" applyFont="1" applyFill="1" applyBorder="1" applyAlignment="1">
      <alignment horizontal="center" vertical="center"/>
    </xf>
    <xf numFmtId="0" fontId="129" fillId="22" borderId="23" xfId="0" applyFont="1" applyFill="1" applyBorder="1" applyAlignment="1">
      <alignment horizontal="center" vertical="center"/>
    </xf>
    <xf numFmtId="0" fontId="129" fillId="22" borderId="24" xfId="0" applyFont="1" applyFill="1" applyBorder="1" applyAlignment="1">
      <alignment horizontal="center" vertical="center"/>
    </xf>
    <xf numFmtId="0" fontId="103" fillId="22" borderId="20" xfId="0" applyFont="1" applyFill="1" applyBorder="1" applyAlignment="1">
      <alignment horizontal="center" vertical="center"/>
    </xf>
    <xf numFmtId="0" fontId="103" fillId="22" borderId="0" xfId="0" applyFont="1" applyFill="1" applyBorder="1" applyAlignment="1">
      <alignment horizontal="center" vertical="center"/>
    </xf>
    <xf numFmtId="0" fontId="103" fillId="22" borderId="1" xfId="0" applyFont="1" applyFill="1" applyBorder="1" applyAlignment="1">
      <alignment horizontal="center" vertical="center"/>
    </xf>
    <xf numFmtId="0" fontId="116" fillId="4" borderId="0" xfId="0" applyFont="1" applyFill="1" applyAlignment="1">
      <alignment horizontal="center" vertical="center"/>
    </xf>
    <xf numFmtId="0" fontId="103" fillId="4" borderId="0" xfId="0" applyFont="1" applyFill="1" applyAlignment="1">
      <alignment horizontal="center" vertical="center"/>
    </xf>
    <xf numFmtId="0" fontId="103" fillId="21" borderId="20" xfId="0" applyFont="1" applyFill="1" applyBorder="1" applyAlignment="1">
      <alignment horizontal="center" vertical="center"/>
    </xf>
    <xf numFmtId="0" fontId="103" fillId="21" borderId="0" xfId="0" applyFont="1" applyFill="1" applyBorder="1" applyAlignment="1">
      <alignment horizontal="center" vertical="center"/>
    </xf>
    <xf numFmtId="0" fontId="129" fillId="21" borderId="70" xfId="0" applyFont="1" applyFill="1" applyBorder="1" applyAlignment="1">
      <alignment horizontal="center" vertical="center"/>
    </xf>
    <xf numFmtId="0" fontId="129" fillId="21" borderId="23" xfId="0" applyFont="1" applyFill="1" applyBorder="1" applyAlignment="1">
      <alignment horizontal="center" vertical="center"/>
    </xf>
    <xf numFmtId="1" fontId="103" fillId="62" borderId="8" xfId="0" applyNumberFormat="1" applyFont="1" applyFill="1" applyBorder="1" applyAlignment="1">
      <alignment horizontal="center" vertical="center" wrapText="1"/>
    </xf>
    <xf numFmtId="1" fontId="103" fillId="62" borderId="5" xfId="0" applyNumberFormat="1" applyFont="1" applyFill="1" applyBorder="1" applyAlignment="1">
      <alignment horizontal="center" vertical="center" wrapText="1"/>
    </xf>
    <xf numFmtId="1" fontId="103" fillId="62" borderId="10" xfId="0" applyNumberFormat="1" applyFont="1" applyFill="1" applyBorder="1" applyAlignment="1">
      <alignment horizontal="center" vertical="center" wrapText="1"/>
    </xf>
    <xf numFmtId="0" fontId="101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103" fillId="62" borderId="25" xfId="0" applyNumberFormat="1" applyFont="1" applyFill="1" applyBorder="1" applyAlignment="1">
      <alignment horizontal="center" vertical="center"/>
    </xf>
    <xf numFmtId="1" fontId="103" fillId="62" borderId="6" xfId="0" applyNumberFormat="1" applyFont="1" applyFill="1" applyBorder="1" applyAlignment="1">
      <alignment horizontal="center" vertical="center"/>
    </xf>
    <xf numFmtId="0" fontId="103" fillId="62" borderId="6" xfId="0" applyFont="1" applyFill="1" applyBorder="1" applyAlignment="1">
      <alignment horizontal="center" vertical="center"/>
    </xf>
    <xf numFmtId="1" fontId="101" fillId="0" borderId="20" xfId="0" applyNumberFormat="1" applyFont="1" applyFill="1" applyBorder="1" applyAlignment="1">
      <alignment horizontal="center"/>
    </xf>
    <xf numFmtId="1" fontId="10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108" fillId="0" borderId="8" xfId="0" applyNumberFormat="1" applyFont="1" applyFill="1" applyBorder="1" applyAlignment="1">
      <alignment horizontal="center" vertical="center"/>
    </xf>
    <xf numFmtId="1" fontId="108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" fontId="177" fillId="65" borderId="25" xfId="0" quotePrefix="1" applyNumberFormat="1" applyFont="1" applyFill="1" applyBorder="1" applyAlignment="1">
      <alignment horizontal="center"/>
    </xf>
    <xf numFmtId="0" fontId="103" fillId="65" borderId="6" xfId="0" applyFont="1" applyFill="1" applyBorder="1" applyAlignment="1">
      <alignment horizontal="center"/>
    </xf>
    <xf numFmtId="0" fontId="103" fillId="65" borderId="26" xfId="0" applyFont="1" applyFill="1" applyBorder="1" applyAlignment="1">
      <alignment horizontal="center"/>
    </xf>
    <xf numFmtId="0" fontId="121" fillId="64" borderId="12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7" fontId="116" fillId="65" borderId="25" xfId="0" applyNumberFormat="1" applyFont="1" applyFill="1" applyBorder="1" applyAlignment="1">
      <alignment horizontal="center"/>
    </xf>
    <xf numFmtId="17" fontId="116" fillId="65" borderId="6" xfId="0" applyNumberFormat="1" applyFont="1" applyFill="1" applyBorder="1" applyAlignment="1">
      <alignment horizontal="center"/>
    </xf>
    <xf numFmtId="17" fontId="116" fillId="65" borderId="26" xfId="0" applyNumberFormat="1" applyFont="1" applyFill="1" applyBorder="1" applyAlignment="1">
      <alignment horizontal="center"/>
    </xf>
    <xf numFmtId="17" fontId="177" fillId="65" borderId="8" xfId="0" quotePrefix="1" applyNumberFormat="1" applyFont="1" applyFill="1" applyBorder="1" applyAlignment="1">
      <alignment horizontal="center"/>
    </xf>
    <xf numFmtId="17" fontId="177" fillId="65" borderId="5" xfId="0" quotePrefix="1" applyNumberFormat="1" applyFont="1" applyFill="1" applyBorder="1" applyAlignment="1">
      <alignment horizontal="center"/>
    </xf>
    <xf numFmtId="1" fontId="103" fillId="62" borderId="12" xfId="0" applyNumberFormat="1" applyFont="1" applyFill="1" applyBorder="1" applyAlignment="1">
      <alignment horizontal="center" vertical="center"/>
    </xf>
    <xf numFmtId="1" fontId="103" fillId="62" borderId="6" xfId="0" applyNumberFormat="1" applyFont="1" applyFill="1" applyBorder="1" applyAlignment="1">
      <alignment horizontal="center" vertical="center" wrapText="1"/>
    </xf>
    <xf numFmtId="0" fontId="103" fillId="62" borderId="6" xfId="0" applyFont="1" applyFill="1" applyBorder="1" applyAlignment="1">
      <alignment horizontal="center" vertical="center" wrapText="1"/>
    </xf>
    <xf numFmtId="1" fontId="116" fillId="62" borderId="25" xfId="0" applyNumberFormat="1" applyFont="1" applyFill="1" applyBorder="1" applyAlignment="1">
      <alignment horizontal="center" vertical="center"/>
    </xf>
    <xf numFmtId="1" fontId="116" fillId="62" borderId="6" xfId="0" applyNumberFormat="1" applyFont="1" applyFill="1" applyBorder="1" applyAlignment="1">
      <alignment horizontal="center" vertical="center"/>
    </xf>
    <xf numFmtId="1" fontId="101" fillId="0" borderId="5" xfId="0" applyNumberFormat="1" applyFont="1" applyFill="1" applyBorder="1" applyAlignment="1">
      <alignment horizontal="center" vertical="center"/>
    </xf>
    <xf numFmtId="17" fontId="177" fillId="65" borderId="6" xfId="0" quotePrefix="1" applyNumberFormat="1" applyFont="1" applyFill="1" applyBorder="1" applyAlignment="1">
      <alignment horizontal="center"/>
    </xf>
    <xf numFmtId="17" fontId="177" fillId="65" borderId="26" xfId="0" quotePrefix="1" applyNumberFormat="1" applyFont="1" applyFill="1" applyBorder="1" applyAlignment="1">
      <alignment horizontal="center"/>
    </xf>
    <xf numFmtId="1" fontId="108" fillId="28" borderId="5" xfId="0" applyNumberFormat="1" applyFont="1" applyFill="1" applyBorder="1" applyAlignment="1">
      <alignment horizontal="center" vertical="center"/>
    </xf>
    <xf numFmtId="0" fontId="128" fillId="4" borderId="0" xfId="0" applyFont="1" applyFill="1" applyAlignment="1">
      <alignment horizontal="left" vertical="center" wrapText="1"/>
    </xf>
    <xf numFmtId="17" fontId="177" fillId="65" borderId="25" xfId="0" quotePrefix="1" applyNumberFormat="1" applyFont="1" applyFill="1" applyBorder="1" applyAlignment="1">
      <alignment horizontal="center" wrapText="1"/>
    </xf>
    <xf numFmtId="0" fontId="103" fillId="65" borderId="6" xfId="0" applyFont="1" applyFill="1" applyBorder="1" applyAlignment="1">
      <alignment horizontal="center" wrapText="1"/>
    </xf>
    <xf numFmtId="17" fontId="177" fillId="65" borderId="19" xfId="0" quotePrefix="1" applyNumberFormat="1" applyFont="1" applyFill="1" applyBorder="1" applyAlignment="1">
      <alignment horizontal="center" wrapText="1"/>
    </xf>
    <xf numFmtId="0" fontId="103" fillId="65" borderId="43" xfId="0" applyFont="1" applyFill="1" applyBorder="1" applyAlignment="1">
      <alignment horizontal="center" wrapText="1"/>
    </xf>
    <xf numFmtId="0" fontId="10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7" fillId="0" borderId="0" xfId="0" applyFont="1" applyAlignment="1">
      <alignment horizontal="left" vertical="center" wrapText="1"/>
    </xf>
    <xf numFmtId="0" fontId="128" fillId="4" borderId="0" xfId="0" applyFont="1" applyFill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98" fillId="36" borderId="17" xfId="0" applyFont="1" applyFill="1" applyBorder="1" applyAlignment="1">
      <alignment horizontal="center" vertical="center" wrapText="1"/>
    </xf>
    <xf numFmtId="0" fontId="98" fillId="37" borderId="25" xfId="0" applyFont="1" applyFill="1" applyBorder="1" applyAlignment="1">
      <alignment horizontal="center" vertical="center" wrapText="1"/>
    </xf>
    <xf numFmtId="0" fontId="98" fillId="37" borderId="6" xfId="0" applyFont="1" applyFill="1" applyBorder="1" applyAlignment="1">
      <alignment horizontal="center" vertical="center" wrapText="1"/>
    </xf>
    <xf numFmtId="0" fontId="98" fillId="37" borderId="26" xfId="0" applyFont="1" applyFill="1" applyBorder="1" applyAlignment="1">
      <alignment horizontal="center" vertical="center" wrapText="1"/>
    </xf>
    <xf numFmtId="0" fontId="98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8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32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0" xfId="54272" xr:uid="{176D8123-E094-48EE-8732-72BC028B16E3}"/>
    <cellStyle name="Normal 2 61" xfId="54302" xr:uid="{B5D12282-39D1-4FD7-A47A-BD7627086059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0" defaultTableStyle="TableStyleMedium2" defaultPivotStyle="PivotStyleLight16"/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PCR: Yac. EL MEDANITO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003366"/>
                </a:solidFill>
                <a:latin typeface="Arial"/>
                <a:cs typeface="Arial"/>
              </a:rPr>
              <a:t>Inyección de Gas - m3/d (a 9300 kcal)  en el PM 470 -TGS </a:t>
            </a:r>
          </a:p>
        </c:rich>
      </c:tx>
      <c:layout>
        <c:manualLayout>
          <c:xMode val="edge"/>
          <c:yMode val="edge"/>
          <c:x val="0.32965936478648628"/>
          <c:y val="3.3670019435490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9282936348284"/>
          <c:y val="0.16155007726837867"/>
          <c:w val="0.81663326653307233"/>
          <c:h val="0.69865319865320064"/>
        </c:manualLayout>
      </c:layout>
      <c:lineChart>
        <c:grouping val="standard"/>
        <c:varyColors val="0"/>
        <c:ser>
          <c:idx val="0"/>
          <c:order val="0"/>
          <c:tx>
            <c:v>Medanito: gas inyectado a TGS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Prodiarias!$E$11:$E$41</c:f>
              <c:numCache>
                <c:formatCode>#,##0</c:formatCode>
                <c:ptCount val="31"/>
                <c:pt idx="0">
                  <c:v>363486</c:v>
                </c:pt>
                <c:pt idx="1">
                  <c:v>344845.68430107529</c:v>
                </c:pt>
                <c:pt idx="2">
                  <c:v>342043.4341935484</c:v>
                </c:pt>
                <c:pt idx="3">
                  <c:v>344830.02903225808</c:v>
                </c:pt>
                <c:pt idx="4">
                  <c:v>350157.76645161293</c:v>
                </c:pt>
                <c:pt idx="5">
                  <c:v>333519</c:v>
                </c:pt>
                <c:pt idx="6">
                  <c:v>331454</c:v>
                </c:pt>
                <c:pt idx="7">
                  <c:v>334618.74688172049</c:v>
                </c:pt>
                <c:pt idx="8">
                  <c:v>338560.5778494624</c:v>
                </c:pt>
                <c:pt idx="9">
                  <c:v>337651.65376344085</c:v>
                </c:pt>
                <c:pt idx="10">
                  <c:v>335123.57913978491</c:v>
                </c:pt>
                <c:pt idx="11">
                  <c:v>341335.07548387098</c:v>
                </c:pt>
                <c:pt idx="12">
                  <c:v>355878.4627956989</c:v>
                </c:pt>
                <c:pt idx="13">
                  <c:v>345833.25870967738</c:v>
                </c:pt>
                <c:pt idx="14">
                  <c:v>336121.51096774195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B91-9A94-43D383B9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3152"/>
        <c:axId val="137005312"/>
      </c:lineChart>
      <c:catAx>
        <c:axId val="121873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3783747058865607"/>
              <c:y val="0.903165694892165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0053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7005312"/>
        <c:scaling>
          <c:orientation val="minMax"/>
          <c:max val="9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243100402667E-2"/>
              <c:y val="0.479798011825703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1873152"/>
        <c:crosses val="autoZero"/>
        <c:crossBetween val="between"/>
        <c:majorUnit val="100000"/>
        <c:minorUnit val="50000"/>
      </c:valAx>
      <c:spPr>
        <a:solidFill>
          <a:srgbClr val="FFFFDD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2110894176375073"/>
          <c:y val="0.90702695720081972"/>
          <c:w val="0.22545087858568136"/>
          <c:h val="5.3739893251598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PCR: Yac. EL MEDANITO y Yac. EL SOSNEADO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0" i="0" u="none" strike="noStrike" baseline="0">
              <a:solidFill>
                <a:srgbClr val="333399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Producción  de  Petróleo  Diaria</a:t>
            </a:r>
          </a:p>
        </c:rich>
      </c:tx>
      <c:layout>
        <c:manualLayout>
          <c:xMode val="edge"/>
          <c:yMode val="edge"/>
          <c:x val="0.3410701476884927"/>
          <c:y val="2.86854968816971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8269238213727E-2"/>
          <c:y val="0.13912017072632279"/>
          <c:w val="0.8613553762802626"/>
          <c:h val="0.73354409203522464"/>
        </c:manualLayout>
      </c:layout>
      <c:lineChart>
        <c:grouping val="standard"/>
        <c:varyColors val="0"/>
        <c:ser>
          <c:idx val="0"/>
          <c:order val="0"/>
          <c:tx>
            <c:v>Medanito: petróleo</c:v>
          </c:tx>
          <c:spPr>
            <a:ln w="12700"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4">
                  <a:lumMod val="50000"/>
                </a:schemeClr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609.94000000000005</c:v>
                </c:pt>
                <c:pt idx="1">
                  <c:v>612.51</c:v>
                </c:pt>
                <c:pt idx="2">
                  <c:v>620.26</c:v>
                </c:pt>
                <c:pt idx="3">
                  <c:v>608.4</c:v>
                </c:pt>
                <c:pt idx="4">
                  <c:v>628.72</c:v>
                </c:pt>
                <c:pt idx="5">
                  <c:v>656.81</c:v>
                </c:pt>
                <c:pt idx="6">
                  <c:v>641.53</c:v>
                </c:pt>
                <c:pt idx="7">
                  <c:v>634.11</c:v>
                </c:pt>
                <c:pt idx="8">
                  <c:v>595.27</c:v>
                </c:pt>
                <c:pt idx="9">
                  <c:v>602.74</c:v>
                </c:pt>
                <c:pt idx="10">
                  <c:v>582.88</c:v>
                </c:pt>
                <c:pt idx="11">
                  <c:v>619.23</c:v>
                </c:pt>
                <c:pt idx="12">
                  <c:v>601.28</c:v>
                </c:pt>
                <c:pt idx="13">
                  <c:v>617.74</c:v>
                </c:pt>
                <c:pt idx="14">
                  <c:v>638.83000000000004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9-4D9F-AEA7-F96E7881A25D}"/>
            </c:ext>
          </c:extLst>
        </c:ser>
        <c:ser>
          <c:idx val="1"/>
          <c:order val="1"/>
          <c:tx>
            <c:v>Sosneado: petróleo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bg2">
                  <a:lumMod val="10000"/>
                </a:schemeClr>
              </a:solidFill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169</c:v>
                </c:pt>
                <c:pt idx="1">
                  <c:v>168</c:v>
                </c:pt>
                <c:pt idx="2">
                  <c:v>168.8</c:v>
                </c:pt>
                <c:pt idx="3">
                  <c:v>170.3</c:v>
                </c:pt>
                <c:pt idx="4">
                  <c:v>171.4</c:v>
                </c:pt>
                <c:pt idx="5">
                  <c:v>173.8</c:v>
                </c:pt>
                <c:pt idx="6">
                  <c:v>175.6</c:v>
                </c:pt>
                <c:pt idx="7">
                  <c:v>182.5</c:v>
                </c:pt>
                <c:pt idx="8">
                  <c:v>180.4</c:v>
                </c:pt>
                <c:pt idx="9">
                  <c:v>182.5</c:v>
                </c:pt>
                <c:pt idx="10">
                  <c:v>182.8</c:v>
                </c:pt>
                <c:pt idx="11">
                  <c:v>188</c:v>
                </c:pt>
                <c:pt idx="12">
                  <c:v>188.6</c:v>
                </c:pt>
                <c:pt idx="13">
                  <c:v>186.3</c:v>
                </c:pt>
                <c:pt idx="14">
                  <c:v>187.9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9-4D9F-AEA7-F96E7881A25D}"/>
            </c:ext>
          </c:extLst>
        </c:ser>
        <c:ser>
          <c:idx val="2"/>
          <c:order val="2"/>
          <c:tx>
            <c:v>Medanito: petróleo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609.94000000000005</c:v>
                </c:pt>
                <c:pt idx="1">
                  <c:v>612.51</c:v>
                </c:pt>
                <c:pt idx="2">
                  <c:v>620.26</c:v>
                </c:pt>
                <c:pt idx="3">
                  <c:v>608.4</c:v>
                </c:pt>
                <c:pt idx="4">
                  <c:v>628.72</c:v>
                </c:pt>
                <c:pt idx="5">
                  <c:v>656.81</c:v>
                </c:pt>
                <c:pt idx="6">
                  <c:v>641.53</c:v>
                </c:pt>
                <c:pt idx="7">
                  <c:v>634.11</c:v>
                </c:pt>
                <c:pt idx="8">
                  <c:v>595.27</c:v>
                </c:pt>
                <c:pt idx="9">
                  <c:v>602.74</c:v>
                </c:pt>
                <c:pt idx="10">
                  <c:v>582.88</c:v>
                </c:pt>
                <c:pt idx="11">
                  <c:v>619.23</c:v>
                </c:pt>
                <c:pt idx="12">
                  <c:v>601.28</c:v>
                </c:pt>
                <c:pt idx="13">
                  <c:v>617.74</c:v>
                </c:pt>
                <c:pt idx="14">
                  <c:v>638.83000000000004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9-4D9F-AEA7-F96E7881A25D}"/>
            </c:ext>
          </c:extLst>
        </c:ser>
        <c:ser>
          <c:idx val="3"/>
          <c:order val="3"/>
          <c:tx>
            <c:v>Sosneado: petróleo</c:v>
          </c:tx>
          <c:spPr>
            <a:ln w="1270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169</c:v>
                </c:pt>
                <c:pt idx="1">
                  <c:v>168</c:v>
                </c:pt>
                <c:pt idx="2">
                  <c:v>168.8</c:v>
                </c:pt>
                <c:pt idx="3">
                  <c:v>170.3</c:v>
                </c:pt>
                <c:pt idx="4">
                  <c:v>171.4</c:v>
                </c:pt>
                <c:pt idx="5">
                  <c:v>173.8</c:v>
                </c:pt>
                <c:pt idx="6">
                  <c:v>175.6</c:v>
                </c:pt>
                <c:pt idx="7">
                  <c:v>182.5</c:v>
                </c:pt>
                <c:pt idx="8">
                  <c:v>180.4</c:v>
                </c:pt>
                <c:pt idx="9">
                  <c:v>182.5</c:v>
                </c:pt>
                <c:pt idx="10">
                  <c:v>182.8</c:v>
                </c:pt>
                <c:pt idx="11">
                  <c:v>188</c:v>
                </c:pt>
                <c:pt idx="12">
                  <c:v>188.6</c:v>
                </c:pt>
                <c:pt idx="13">
                  <c:v>186.3</c:v>
                </c:pt>
                <c:pt idx="14">
                  <c:v>187.9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9-4D9F-AEA7-F96E7881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008"/>
        <c:axId val="1228800"/>
      </c:lineChart>
      <c:catAx>
        <c:axId val="122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88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28800"/>
        <c:scaling>
          <c:orientation val="minMax"/>
          <c:max val="1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19889566785E-2"/>
              <c:y val="0.4797979243420260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7008"/>
        <c:crosses val="autoZero"/>
        <c:crossBetween val="between"/>
        <c:majorUnit val="200"/>
        <c:minorUnit val="50"/>
      </c:valAx>
      <c:spPr>
        <a:solidFill>
          <a:srgbClr val="F8FAF4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2">
          <a:lumMod val="75000"/>
        </a:schemeClr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4803149606299646" l="0.70866141732283972" r="0.70866141732283972" t="0.74803149606299646" header="0.31496062992126395" footer="0.3149606299212639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609.94000000000005</c:v>
                </c:pt>
                <c:pt idx="1">
                  <c:v>612.51</c:v>
                </c:pt>
                <c:pt idx="2">
                  <c:v>620.26</c:v>
                </c:pt>
                <c:pt idx="3">
                  <c:v>608.4</c:v>
                </c:pt>
                <c:pt idx="4">
                  <c:v>628.72</c:v>
                </c:pt>
                <c:pt idx="5">
                  <c:v>656.81</c:v>
                </c:pt>
                <c:pt idx="6">
                  <c:v>641.53</c:v>
                </c:pt>
                <c:pt idx="7">
                  <c:v>634.11</c:v>
                </c:pt>
                <c:pt idx="8">
                  <c:v>595.27</c:v>
                </c:pt>
                <c:pt idx="9">
                  <c:v>602.74</c:v>
                </c:pt>
                <c:pt idx="10">
                  <c:v>582.88</c:v>
                </c:pt>
                <c:pt idx="11">
                  <c:v>619.23</c:v>
                </c:pt>
                <c:pt idx="12">
                  <c:v>601.28</c:v>
                </c:pt>
                <c:pt idx="13">
                  <c:v>617.74</c:v>
                </c:pt>
                <c:pt idx="14">
                  <c:v>638.83000000000004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169</c:v>
                </c:pt>
                <c:pt idx="1">
                  <c:v>168</c:v>
                </c:pt>
                <c:pt idx="2">
                  <c:v>168.8</c:v>
                </c:pt>
                <c:pt idx="3">
                  <c:v>170.3</c:v>
                </c:pt>
                <c:pt idx="4">
                  <c:v>171.4</c:v>
                </c:pt>
                <c:pt idx="5">
                  <c:v>173.8</c:v>
                </c:pt>
                <c:pt idx="6">
                  <c:v>175.6</c:v>
                </c:pt>
                <c:pt idx="7">
                  <c:v>182.5</c:v>
                </c:pt>
                <c:pt idx="8">
                  <c:v>180.4</c:v>
                </c:pt>
                <c:pt idx="9">
                  <c:v>182.5</c:v>
                </c:pt>
                <c:pt idx="10">
                  <c:v>182.8</c:v>
                </c:pt>
                <c:pt idx="11">
                  <c:v>188</c:v>
                </c:pt>
                <c:pt idx="12">
                  <c:v>188.6</c:v>
                </c:pt>
                <c:pt idx="13">
                  <c:v>186.3</c:v>
                </c:pt>
                <c:pt idx="14">
                  <c:v>187.9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250000000000002"/>
          <c:y val="0.62289562289562328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Gráfico2">
    <tabColor indexed="43"/>
  </sheetPr>
  <sheetViews>
    <sheetView workbookViewId="0"/>
  </sheetViews>
  <pageMargins left="0.55118110236220474" right="0.62992125984251968" top="0.98425196850393704" bottom="0.98425196850393704" header="0" footer="0"/>
  <pageSetup paperSize="9" orientation="landscape" horizontalDpi="4294967295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9600" cy="5651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409574</xdr:colOff>
      <xdr:row>0</xdr:row>
      <xdr:rowOff>9525</xdr:rowOff>
    </xdr:from>
    <xdr:to>
      <xdr:col>15</xdr:col>
      <xdr:colOff>619125</xdr:colOff>
      <xdr:row>43</xdr:row>
      <xdr:rowOff>28575</xdr:rowOff>
    </xdr:to>
    <xdr:graphicFrame macro="">
      <xdr:nvGraphicFramePr>
        <xdr:cNvPr id="3193" name="2 Gráfico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0.9778</cdr:x>
      <cdr:y>0.91398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498" y="6172429"/>
          <a:ext cx="9321428" cy="304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100" b="1" i="0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1" i="0" strike="noStrike">
              <a:solidFill>
                <a:srgbClr val="003366"/>
              </a:solidFill>
              <a:latin typeface="Arial"/>
              <a:cs typeface="Arial"/>
            </a:rPr>
            <a:t>.</a:t>
          </a: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0.07354</cdr:x>
      <cdr:y>0.93683</cdr:y>
    </cdr:from>
    <cdr:to>
      <cdr:x>0.98129</cdr:x>
      <cdr:y>0.95738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213" y="6638924"/>
          <a:ext cx="9346671" cy="145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AP48"/>
  <sheetViews>
    <sheetView zoomScaleNormal="100" workbookViewId="0">
      <selection activeCell="E30" sqref="E30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:42" x14ac:dyDescent="0.25">
      <c r="B29">
        <v>622.91999999999996</v>
      </c>
      <c r="V29">
        <v>186.7</v>
      </c>
      <c r="AC29">
        <v>295.38</v>
      </c>
      <c r="AM29">
        <v>133.97</v>
      </c>
    </row>
    <row r="30" spans="2:42" x14ac:dyDescent="0.25">
      <c r="E30">
        <v>382990</v>
      </c>
      <c r="I30">
        <v>51574</v>
      </c>
      <c r="O30">
        <v>5016</v>
      </c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N66"/>
  <sheetViews>
    <sheetView tabSelected="1" zoomScaleNormal="100" workbookViewId="0">
      <pane xSplit="1" ySplit="10" topLeftCell="B20" activePane="bottomRight" state="frozen"/>
      <selection activeCell="N48" sqref="N48"/>
      <selection pane="topRight" activeCell="N48" sqref="N48"/>
      <selection pane="bottomLeft" activeCell="N48" sqref="N48"/>
      <selection pane="bottomRight" activeCell="B25" sqref="B25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2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</cols>
  <sheetData>
    <row r="1" spans="1:83" s="56" customFormat="1" ht="24" customHeight="1" thickBot="1" x14ac:dyDescent="0.4">
      <c r="A1" s="61"/>
      <c r="B1" s="324" t="s">
        <v>31</v>
      </c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261"/>
      <c r="AQ1" s="261"/>
      <c r="AR1" s="261"/>
      <c r="AS1" s="17"/>
      <c r="AT1" s="325" t="s">
        <v>32</v>
      </c>
      <c r="AU1" s="325"/>
      <c r="AV1" s="325"/>
      <c r="AW1" s="325"/>
      <c r="AX1" s="325"/>
      <c r="AY1" s="325"/>
      <c r="AZ1" s="325"/>
      <c r="BA1" s="62"/>
      <c r="BB1" s="301" t="s">
        <v>48</v>
      </c>
      <c r="BC1" s="301"/>
      <c r="BD1" s="301"/>
      <c r="BE1" s="301"/>
      <c r="BF1" s="301"/>
      <c r="BG1" s="302"/>
      <c r="BU1" s="63"/>
      <c r="BZ1" s="269"/>
    </row>
    <row r="2" spans="1:83" s="60" customFormat="1" ht="21" customHeight="1" thickBot="1" x14ac:dyDescent="0.4">
      <c r="A2" s="320" t="s">
        <v>29</v>
      </c>
      <c r="B2" s="321"/>
      <c r="C2" s="321"/>
      <c r="D2" s="321"/>
      <c r="E2" s="321"/>
      <c r="F2" s="321"/>
      <c r="G2" s="321"/>
      <c r="H2" s="17"/>
      <c r="I2" s="326" t="s">
        <v>29</v>
      </c>
      <c r="J2" s="327"/>
      <c r="K2" s="327"/>
      <c r="L2" s="327"/>
      <c r="M2" s="327"/>
      <c r="N2" s="327"/>
      <c r="O2" s="326" t="s">
        <v>29</v>
      </c>
      <c r="P2" s="327"/>
      <c r="Q2" s="327"/>
      <c r="R2" s="327"/>
      <c r="S2" s="327"/>
      <c r="T2" s="327"/>
      <c r="U2" s="17"/>
      <c r="V2" s="328" t="s">
        <v>18</v>
      </c>
      <c r="W2" s="329"/>
      <c r="X2" s="329"/>
      <c r="Y2" s="17"/>
      <c r="Z2" s="176"/>
      <c r="AA2" s="176"/>
      <c r="AB2" s="176"/>
      <c r="AC2" s="321" t="s">
        <v>29</v>
      </c>
      <c r="AD2" s="321"/>
      <c r="AE2" s="321"/>
      <c r="AF2" s="321"/>
      <c r="AG2" s="321"/>
      <c r="AH2" s="321"/>
      <c r="AI2" s="321"/>
      <c r="AJ2" s="321"/>
      <c r="AK2" s="321"/>
      <c r="AL2" s="17"/>
      <c r="AM2" s="24"/>
      <c r="AN2" s="24"/>
      <c r="AO2" s="24"/>
      <c r="AP2" s="24"/>
      <c r="AQ2" s="24"/>
      <c r="AR2" s="24"/>
      <c r="AS2" s="17"/>
      <c r="AT2" s="322" t="s">
        <v>18</v>
      </c>
      <c r="AU2" s="322"/>
      <c r="AV2" s="322"/>
      <c r="AW2" s="322"/>
      <c r="AX2" s="322"/>
      <c r="AY2" s="322"/>
      <c r="AZ2" s="323"/>
      <c r="BA2" s="57"/>
      <c r="BB2" s="322" t="s">
        <v>18</v>
      </c>
      <c r="BC2" s="322"/>
      <c r="BD2" s="322"/>
      <c r="BE2" s="322"/>
      <c r="BF2" s="322"/>
      <c r="BG2" s="323"/>
      <c r="BH2" s="58"/>
      <c r="BI2" s="311" t="s">
        <v>117</v>
      </c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3"/>
      <c r="BU2" s="59"/>
      <c r="BV2" s="308" t="s">
        <v>119</v>
      </c>
      <c r="BW2" s="309"/>
      <c r="BX2" s="309"/>
      <c r="BY2" s="309"/>
      <c r="BZ2" s="309"/>
      <c r="CA2" s="309"/>
      <c r="CB2" s="310"/>
    </row>
    <row r="3" spans="1:83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</row>
    <row r="4" spans="1:83" ht="20.25" customHeight="1" x14ac:dyDescent="0.35">
      <c r="A4" s="391" t="s">
        <v>91</v>
      </c>
      <c r="B4" s="373"/>
      <c r="C4" s="373"/>
      <c r="D4" s="373"/>
      <c r="E4" s="373"/>
      <c r="F4" s="373"/>
      <c r="G4" s="373"/>
      <c r="H4" s="34"/>
      <c r="I4" s="372" t="s">
        <v>92</v>
      </c>
      <c r="J4" s="373"/>
      <c r="K4" s="373"/>
      <c r="L4" s="373"/>
      <c r="M4" s="373"/>
      <c r="N4" s="373"/>
      <c r="O4" s="374"/>
      <c r="P4" s="374"/>
      <c r="Q4" s="374"/>
      <c r="R4" s="374"/>
      <c r="S4" s="374"/>
      <c r="T4" s="374"/>
      <c r="U4" s="34"/>
      <c r="V4" s="394" t="s">
        <v>26</v>
      </c>
      <c r="W4" s="395"/>
      <c r="X4" s="395"/>
      <c r="Y4" s="34"/>
      <c r="Z4" s="282" t="s">
        <v>36</v>
      </c>
      <c r="AA4" s="282"/>
      <c r="AB4" s="282"/>
      <c r="AC4" s="392" t="s">
        <v>93</v>
      </c>
      <c r="AD4" s="392"/>
      <c r="AE4" s="392"/>
      <c r="AF4" s="392"/>
      <c r="AG4" s="392"/>
      <c r="AH4" s="392"/>
      <c r="AI4" s="392"/>
      <c r="AJ4" s="392"/>
      <c r="AK4" s="393"/>
      <c r="AL4" s="17"/>
      <c r="AM4" s="392" t="s">
        <v>94</v>
      </c>
      <c r="AN4" s="392"/>
      <c r="AO4" s="392"/>
      <c r="AP4" s="392"/>
      <c r="AQ4" s="392"/>
      <c r="AR4" s="392"/>
      <c r="AS4" s="17"/>
      <c r="AT4" s="287"/>
      <c r="AU4" s="288"/>
      <c r="AV4" s="289"/>
      <c r="AW4" s="174"/>
      <c r="AX4" s="279"/>
      <c r="AY4" s="280"/>
      <c r="AZ4" s="281"/>
      <c r="BA4" s="175"/>
      <c r="BB4" s="287"/>
      <c r="BC4" s="288"/>
      <c r="BD4" s="288"/>
      <c r="BE4" s="288"/>
      <c r="BF4" s="288"/>
      <c r="BG4" s="289"/>
      <c r="BH4" s="3"/>
      <c r="BI4" s="189"/>
      <c r="BJ4" s="303"/>
      <c r="BK4" s="304"/>
      <c r="BL4" s="304"/>
      <c r="BM4" s="304"/>
      <c r="BN4" s="304"/>
      <c r="BO4" s="304"/>
      <c r="BP4" s="190"/>
      <c r="BQ4" s="305"/>
      <c r="BR4" s="306"/>
      <c r="BS4" s="307"/>
      <c r="BT4" s="69"/>
      <c r="BU4" s="15"/>
      <c r="BV4" s="314"/>
      <c r="BW4" s="315"/>
      <c r="BX4" s="316"/>
      <c r="BY4" s="206"/>
      <c r="BZ4" s="317"/>
      <c r="CA4" s="318"/>
      <c r="CB4" s="319"/>
    </row>
    <row r="5" spans="1:83" ht="12.75" customHeight="1" x14ac:dyDescent="0.35">
      <c r="A5" s="35"/>
      <c r="B5" s="376" t="s">
        <v>42</v>
      </c>
      <c r="C5" s="376"/>
      <c r="D5" s="376"/>
      <c r="E5" s="376"/>
      <c r="F5" s="376"/>
      <c r="G5" s="376"/>
      <c r="H5" s="34"/>
      <c r="I5" s="375" t="s">
        <v>42</v>
      </c>
      <c r="J5" s="376"/>
      <c r="K5" s="376"/>
      <c r="L5" s="376"/>
      <c r="M5" s="376"/>
      <c r="N5" s="376"/>
      <c r="O5" s="377"/>
      <c r="P5" s="377"/>
      <c r="Q5" s="377"/>
      <c r="R5" s="377"/>
      <c r="S5" s="377"/>
      <c r="T5" s="377"/>
      <c r="U5" s="34"/>
      <c r="V5" s="375" t="s">
        <v>43</v>
      </c>
      <c r="W5" s="376"/>
      <c r="X5" s="376"/>
      <c r="Y5" s="34"/>
      <c r="Z5" s="278" t="s">
        <v>44</v>
      </c>
      <c r="AA5" s="278"/>
      <c r="AB5" s="278"/>
      <c r="AC5" s="286" t="s">
        <v>42</v>
      </c>
      <c r="AD5" s="286"/>
      <c r="AE5" s="286"/>
      <c r="AF5" s="286"/>
      <c r="AG5" s="286"/>
      <c r="AH5" s="286"/>
      <c r="AI5" s="286"/>
      <c r="AJ5" s="286"/>
      <c r="AK5" s="286"/>
      <c r="AL5" s="17"/>
      <c r="AM5" s="376" t="s">
        <v>42</v>
      </c>
      <c r="AN5" s="376"/>
      <c r="AO5" s="376"/>
      <c r="AP5" s="376"/>
      <c r="AQ5" s="376"/>
      <c r="AR5" s="376"/>
      <c r="AS5" s="17"/>
      <c r="AT5" s="283" t="s">
        <v>30</v>
      </c>
      <c r="AU5" s="284"/>
      <c r="AV5" s="285"/>
      <c r="AW5" s="248"/>
      <c r="AX5" s="275" t="s">
        <v>40</v>
      </c>
      <c r="AY5" s="276"/>
      <c r="AZ5" s="277"/>
      <c r="BA5" s="249"/>
      <c r="BB5" s="283" t="s">
        <v>49</v>
      </c>
      <c r="BC5" s="284"/>
      <c r="BD5" s="284"/>
      <c r="BE5" s="284"/>
      <c r="BF5" s="284"/>
      <c r="BG5" s="285"/>
      <c r="BH5" s="3"/>
      <c r="BI5" s="115" t="s">
        <v>45</v>
      </c>
      <c r="BJ5" s="293" t="s">
        <v>19</v>
      </c>
      <c r="BK5" s="294"/>
      <c r="BL5" s="294"/>
      <c r="BM5" s="294"/>
      <c r="BN5" s="294"/>
      <c r="BO5" s="294"/>
      <c r="BP5" s="191"/>
      <c r="BQ5" s="295" t="s">
        <v>20</v>
      </c>
      <c r="BR5" s="296"/>
      <c r="BS5" s="297"/>
      <c r="BT5" s="70"/>
      <c r="BU5" s="15"/>
      <c r="BV5" s="298" t="s">
        <v>34</v>
      </c>
      <c r="BW5" s="299"/>
      <c r="BX5" s="300"/>
      <c r="BY5" s="207"/>
      <c r="BZ5" s="290" t="s">
        <v>35</v>
      </c>
      <c r="CA5" s="291"/>
      <c r="CB5" s="292"/>
    </row>
    <row r="6" spans="1:83" ht="11.25" customHeight="1" x14ac:dyDescent="0.35">
      <c r="A6" s="36"/>
      <c r="B6" s="396" t="s">
        <v>41</v>
      </c>
      <c r="C6" s="396"/>
      <c r="D6" s="396"/>
      <c r="E6" s="396"/>
      <c r="F6" s="396"/>
      <c r="G6" s="396"/>
      <c r="H6" s="16"/>
      <c r="I6" s="378" t="s">
        <v>109</v>
      </c>
      <c r="J6" s="379"/>
      <c r="K6" s="379"/>
      <c r="L6" s="379"/>
      <c r="M6" s="379"/>
      <c r="N6" s="379"/>
      <c r="O6" s="380"/>
      <c r="P6" s="380"/>
      <c r="Q6" s="380"/>
      <c r="R6" s="380"/>
      <c r="S6" s="380"/>
      <c r="T6" s="380"/>
      <c r="U6" s="16"/>
      <c r="V6" s="378" t="s">
        <v>37</v>
      </c>
      <c r="W6" s="379"/>
      <c r="X6" s="379"/>
      <c r="Y6" s="34"/>
      <c r="Z6" s="399" t="s">
        <v>38</v>
      </c>
      <c r="AA6" s="399"/>
      <c r="AB6" s="399"/>
      <c r="AC6" s="396" t="s">
        <v>41</v>
      </c>
      <c r="AD6" s="396"/>
      <c r="AE6" s="396"/>
      <c r="AF6" s="396"/>
      <c r="AG6" s="396"/>
      <c r="AH6" s="396"/>
      <c r="AI6" s="396"/>
      <c r="AJ6" s="396"/>
      <c r="AK6" s="396"/>
      <c r="AL6" s="17"/>
      <c r="AM6" s="396" t="s">
        <v>37</v>
      </c>
      <c r="AN6" s="396"/>
      <c r="AO6" s="396"/>
      <c r="AP6" s="396"/>
      <c r="AQ6" s="396"/>
      <c r="AR6" s="396"/>
      <c r="AS6" s="17"/>
      <c r="AT6" s="366"/>
      <c r="AU6" s="367"/>
      <c r="AV6" s="368"/>
      <c r="AW6" s="248"/>
      <c r="AX6" s="265"/>
      <c r="AY6" s="266" t="s">
        <v>39</v>
      </c>
      <c r="AZ6" s="267"/>
      <c r="BA6" s="249"/>
      <c r="BB6" s="366"/>
      <c r="BC6" s="367"/>
      <c r="BD6" s="367"/>
      <c r="BE6" s="367"/>
      <c r="BF6" s="367"/>
      <c r="BG6" s="368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</row>
    <row r="7" spans="1:83" ht="18.75" customHeight="1" x14ac:dyDescent="0.4">
      <c r="A7" s="37"/>
      <c r="B7" s="401" t="s">
        <v>124</v>
      </c>
      <c r="C7" s="402"/>
      <c r="D7" s="402"/>
      <c r="E7" s="402"/>
      <c r="F7" s="402"/>
      <c r="G7" s="402"/>
      <c r="H7" s="255"/>
      <c r="I7" s="381" t="str">
        <f>B7</f>
        <v>Julio 2021</v>
      </c>
      <c r="J7" s="382"/>
      <c r="K7" s="382"/>
      <c r="L7" s="382"/>
      <c r="M7" s="382"/>
      <c r="N7" s="382"/>
      <c r="O7" s="382"/>
      <c r="P7" s="382"/>
      <c r="Q7" s="382"/>
      <c r="R7" s="382"/>
      <c r="S7" s="382"/>
      <c r="T7" s="383"/>
      <c r="U7" s="255"/>
      <c r="V7" s="381" t="str">
        <f>B7</f>
        <v>Julio 2021</v>
      </c>
      <c r="W7" s="397"/>
      <c r="X7" s="398"/>
      <c r="Y7" s="255"/>
      <c r="Z7" s="256" t="str">
        <f>V7</f>
        <v>Julio 2021</v>
      </c>
      <c r="AA7" s="257"/>
      <c r="AB7" s="258"/>
      <c r="AC7" s="403" t="str">
        <f>B7</f>
        <v>Julio 2021</v>
      </c>
      <c r="AD7" s="404"/>
      <c r="AE7" s="404"/>
      <c r="AF7" s="404"/>
      <c r="AG7" s="404"/>
      <c r="AH7" s="404"/>
      <c r="AI7" s="404"/>
      <c r="AJ7" s="404"/>
      <c r="AK7" s="404"/>
      <c r="AL7" s="259"/>
      <c r="AM7" s="401" t="str">
        <f>V7</f>
        <v>Julio 2021</v>
      </c>
      <c r="AN7" s="402"/>
      <c r="AO7" s="402"/>
      <c r="AP7" s="402"/>
      <c r="AQ7" s="402"/>
      <c r="AR7" s="402"/>
      <c r="AS7" s="259"/>
      <c r="AT7" s="389" t="str">
        <f>V7</f>
        <v>Julio 2021</v>
      </c>
      <c r="AU7" s="390"/>
      <c r="AV7" s="390"/>
      <c r="AW7" s="255"/>
      <c r="AX7" s="386" t="str">
        <f>AT7</f>
        <v>Julio 2021</v>
      </c>
      <c r="AY7" s="387"/>
      <c r="AZ7" s="388"/>
      <c r="BA7" s="260"/>
      <c r="BB7" s="381" t="str">
        <f>AM7</f>
        <v>Julio 2021</v>
      </c>
      <c r="BC7" s="397"/>
      <c r="BD7" s="397"/>
      <c r="BE7" s="397"/>
      <c r="BF7" s="397"/>
      <c r="BG7" s="398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</row>
    <row r="8" spans="1:83" ht="15.75" customHeight="1" x14ac:dyDescent="0.35">
      <c r="A8" s="38"/>
      <c r="B8" s="345" t="s">
        <v>28</v>
      </c>
      <c r="C8" s="346"/>
      <c r="D8" s="351"/>
      <c r="E8" s="384" t="s">
        <v>90</v>
      </c>
      <c r="F8" s="385"/>
      <c r="G8" s="385"/>
      <c r="H8" s="39"/>
      <c r="I8" s="384" t="s">
        <v>107</v>
      </c>
      <c r="J8" s="385"/>
      <c r="K8" s="385"/>
      <c r="L8" s="385"/>
      <c r="M8" s="385"/>
      <c r="N8" s="385"/>
      <c r="O8" s="384" t="s">
        <v>90</v>
      </c>
      <c r="P8" s="385"/>
      <c r="Q8" s="385"/>
      <c r="R8" s="385"/>
      <c r="S8" s="385"/>
      <c r="T8" s="385"/>
      <c r="U8" s="39"/>
      <c r="V8" s="345" t="s">
        <v>2</v>
      </c>
      <c r="W8" s="346"/>
      <c r="X8" s="347"/>
      <c r="Y8" s="39"/>
      <c r="Z8" s="342" t="s">
        <v>2</v>
      </c>
      <c r="AA8" s="343"/>
      <c r="AB8" s="344"/>
      <c r="AC8" s="345" t="s">
        <v>2</v>
      </c>
      <c r="AD8" s="346"/>
      <c r="AE8" s="351"/>
      <c r="AF8" s="352" t="s">
        <v>46</v>
      </c>
      <c r="AG8" s="353"/>
      <c r="AH8" s="353"/>
      <c r="AI8" s="353"/>
      <c r="AJ8" s="353"/>
      <c r="AK8" s="353"/>
      <c r="AL8" s="17"/>
      <c r="AM8" s="345" t="s">
        <v>2</v>
      </c>
      <c r="AN8" s="346"/>
      <c r="AO8" s="347"/>
      <c r="AP8" s="262" t="s">
        <v>46</v>
      </c>
      <c r="AQ8" s="263"/>
      <c r="AR8" s="264"/>
      <c r="AS8" s="17"/>
      <c r="AT8" s="345" t="s">
        <v>2</v>
      </c>
      <c r="AU8" s="346"/>
      <c r="AV8" s="347"/>
      <c r="AW8" s="2"/>
      <c r="AX8" s="345" t="s">
        <v>2</v>
      </c>
      <c r="AY8" s="346"/>
      <c r="AZ8" s="347"/>
      <c r="BA8" s="39"/>
      <c r="BB8" s="345" t="s">
        <v>2</v>
      </c>
      <c r="BC8" s="346"/>
      <c r="BD8" s="347"/>
      <c r="BE8" s="348" t="s">
        <v>47</v>
      </c>
      <c r="BF8" s="349"/>
      <c r="BG8" s="350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</row>
    <row r="9" spans="1:83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121</v>
      </c>
      <c r="AJ9" s="121" t="s">
        <v>122</v>
      </c>
      <c r="AK9" s="121" t="s">
        <v>123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</row>
    <row r="10" spans="1:83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</row>
    <row r="11" spans="1:83" ht="15" customHeight="1" thickBot="1" x14ac:dyDescent="0.4">
      <c r="A11" s="243">
        <v>1</v>
      </c>
      <c r="B11" s="49">
        <v>609.94000000000005</v>
      </c>
      <c r="C11" s="47">
        <f t="shared" ref="C11:C12" si="5">IF(ISBLANK(B11),"",D11/$A11)</f>
        <v>609.94000000000005</v>
      </c>
      <c r="D11" s="163">
        <f>B11</f>
        <v>609.94000000000005</v>
      </c>
      <c r="E11" s="49">
        <v>363486</v>
      </c>
      <c r="F11" s="50">
        <f t="shared" ref="F11:F12" si="6">IF(ISBLANK(E11),"",G11/$A11)</f>
        <v>363486</v>
      </c>
      <c r="G11" s="163">
        <f>E11</f>
        <v>363486</v>
      </c>
      <c r="H11" s="168"/>
      <c r="I11" s="49">
        <v>49672</v>
      </c>
      <c r="J11" s="50">
        <f t="shared" ref="J11" si="7">IF(ISBLANK(I11),"",K11/$A11)</f>
        <v>49672</v>
      </c>
      <c r="K11" s="163">
        <f>I11</f>
        <v>49672</v>
      </c>
      <c r="L11" s="50">
        <f t="shared" ref="L11:L12" si="8">IF(ISBLANK(I11),"",I11*0.5)</f>
        <v>24836</v>
      </c>
      <c r="M11" s="50">
        <f t="shared" ref="M11:M12" si="9">IFERROR(J11*0.5,"")</f>
        <v>24836</v>
      </c>
      <c r="N11" s="50">
        <f t="shared" ref="N11:N12" si="10">K11*0.5</f>
        <v>24836</v>
      </c>
      <c r="O11" s="49">
        <v>1741</v>
      </c>
      <c r="P11" s="50">
        <f t="shared" ref="P11" si="11">IF(ISBLANK(O11),"",Q11/$A11)</f>
        <v>1741</v>
      </c>
      <c r="Q11" s="163">
        <f>O11</f>
        <v>1741</v>
      </c>
      <c r="R11" s="50">
        <f t="shared" ref="R11:R12" si="12">IF(ISBLANK(O11),"",O11*0.5)</f>
        <v>870.5</v>
      </c>
      <c r="S11" s="50">
        <f t="shared" ref="S11:S12" si="13">IFERROR(P11*0.5,"")</f>
        <v>870.5</v>
      </c>
      <c r="T11" s="50">
        <f t="shared" ref="T11:T12" si="14">Q11*0.5</f>
        <v>870.5</v>
      </c>
      <c r="U11" s="168"/>
      <c r="V11" s="49">
        <v>169</v>
      </c>
      <c r="W11" s="47">
        <f t="shared" ref="W11:W12" si="15">IF(ISBLANK(V11),"",X11/$A11)</f>
        <v>169</v>
      </c>
      <c r="X11" s="163">
        <f>V11</f>
        <v>169</v>
      </c>
      <c r="Y11" s="169"/>
      <c r="Z11" s="170"/>
      <c r="AA11" s="171"/>
      <c r="AB11" s="172">
        <f>AA11</f>
        <v>0</v>
      </c>
      <c r="AC11" s="49">
        <v>291.64</v>
      </c>
      <c r="AD11" s="50">
        <f t="shared" ref="AD11" si="16">IF(ISBLANK(AC11),"",AE11/$A11)</f>
        <v>291.64</v>
      </c>
      <c r="AE11" s="163">
        <f>AC11</f>
        <v>291.64</v>
      </c>
      <c r="AF11" s="49">
        <v>144449</v>
      </c>
      <c r="AG11" s="50">
        <f t="shared" ref="AG11" si="17">IF(ISBLANK(AF11),"",AH11/$A11)</f>
        <v>144449</v>
      </c>
      <c r="AH11" s="51">
        <f>AF11</f>
        <v>144449</v>
      </c>
      <c r="AI11" s="50">
        <f>IF(AF11*0.3172=0,"",AF11*0.1832)</f>
        <v>26463.056799999998</v>
      </c>
      <c r="AJ11" s="50">
        <f>IFERROR(AG11*0.1832,"")</f>
        <v>26463.056799999998</v>
      </c>
      <c r="AK11" s="50">
        <f>AH11*0.1832</f>
        <v>26463.056799999998</v>
      </c>
      <c r="AL11" s="17"/>
      <c r="AM11" s="49">
        <v>117.06</v>
      </c>
      <c r="AN11" s="47">
        <f t="shared" ref="AN11:AN12" si="18">IF(ISBLANK(AM11),"",AO11/$A11)</f>
        <v>117.06</v>
      </c>
      <c r="AO11" s="163">
        <f>AM11</f>
        <v>117.06</v>
      </c>
      <c r="AP11" s="49">
        <v>131764</v>
      </c>
      <c r="AQ11" s="50">
        <f t="shared" ref="AQ11" si="19">IF(ISBLANK(AP11),"",AR11/$A11)</f>
        <v>131764</v>
      </c>
      <c r="AR11" s="51">
        <f>AP11</f>
        <v>131764</v>
      </c>
      <c r="AS11" s="17"/>
      <c r="AT11" s="47">
        <f>borrador!G9/6.289</f>
        <v>710.28621402448721</v>
      </c>
      <c r="AU11" s="47">
        <f t="shared" ref="AU11" si="20">IF(ISBLANK(AT11),"",AV11/$A11)</f>
        <v>710.28621402448721</v>
      </c>
      <c r="AV11" s="51">
        <f>AT11</f>
        <v>710.28621402448721</v>
      </c>
      <c r="AW11" s="2"/>
      <c r="AX11" s="51">
        <f>borrador!H9/6.289</f>
        <v>401.06535220225794</v>
      </c>
      <c r="AY11" s="51">
        <f t="shared" ref="AY11" si="21">IF(ISBLANK(AX11),"",AZ11/$A11)</f>
        <v>401.06535220225794</v>
      </c>
      <c r="AZ11" s="51">
        <f>AX11</f>
        <v>401.06535220225794</v>
      </c>
      <c r="BA11" s="2"/>
      <c r="BB11" s="47">
        <f>borrador!E9/6.289</f>
        <v>8.5800604229607256</v>
      </c>
      <c r="BC11" s="47">
        <f t="shared" ref="BC11" si="22">IF(ISBLANK(BB11),"",BD11/$A11)</f>
        <v>8.5800604229607256</v>
      </c>
      <c r="BD11" s="48">
        <f>BB11</f>
        <v>8.5800604229607256</v>
      </c>
      <c r="BE11" s="49">
        <f>borrador!F9*0.283*100</f>
        <v>241.08769999999998</v>
      </c>
      <c r="BF11" s="50">
        <f t="shared" ref="BF11" si="23">IF(ISBLANK(BE11),"",BG11/A11)</f>
        <v>241.08769999999998</v>
      </c>
      <c r="BG11" s="237">
        <f>BE11</f>
        <v>241.08769999999998</v>
      </c>
      <c r="BI11" s="199" t="s">
        <v>7</v>
      </c>
      <c r="BJ11" s="83">
        <v>18636.87</v>
      </c>
      <c r="BK11" s="21">
        <v>18113.881325310613</v>
      </c>
      <c r="BL11" s="92">
        <f t="shared" si="4"/>
        <v>522.98867468938624</v>
      </c>
      <c r="BM11" s="254">
        <v>11848.992</v>
      </c>
      <c r="BN11" s="21">
        <v>12431.922518939962</v>
      </c>
      <c r="BO11" s="82">
        <f t="shared" si="0"/>
        <v>-582.93051893996198</v>
      </c>
      <c r="BP11" s="197"/>
      <c r="BQ11" s="83">
        <v>5157.8239791666674</v>
      </c>
      <c r="BR11" s="21">
        <v>5965.0830836107871</v>
      </c>
      <c r="BS11" s="200">
        <f t="shared" si="1"/>
        <v>-807.25910444411966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</row>
    <row r="12" spans="1:83" ht="15" customHeight="1" thickBot="1" x14ac:dyDescent="0.4">
      <c r="A12" s="243">
        <v>2</v>
      </c>
      <c r="B12" s="49">
        <v>612.51</v>
      </c>
      <c r="C12" s="47">
        <f t="shared" si="5"/>
        <v>611.22500000000002</v>
      </c>
      <c r="D12" s="163">
        <f t="shared" ref="D12" si="24">B12+D11</f>
        <v>1222.45</v>
      </c>
      <c r="E12" s="49">
        <v>344845.68430107529</v>
      </c>
      <c r="F12" s="50">
        <f t="shared" si="6"/>
        <v>354165.84215053765</v>
      </c>
      <c r="G12" s="163">
        <f t="shared" ref="G12" si="25">E12+G11</f>
        <v>708331.68430107529</v>
      </c>
      <c r="H12" s="168"/>
      <c r="I12" s="49">
        <v>51125.220430107525</v>
      </c>
      <c r="J12" s="50">
        <f t="shared" ref="J12" si="26">IF(ISBLANK(I12),"",K12/$A12)</f>
        <v>50398.610215053763</v>
      </c>
      <c r="K12" s="163">
        <f t="shared" ref="K12" si="27">I12+K11</f>
        <v>100797.22043010753</v>
      </c>
      <c r="L12" s="50">
        <f t="shared" si="8"/>
        <v>25562.610215053763</v>
      </c>
      <c r="M12" s="50">
        <f t="shared" si="9"/>
        <v>25199.305107526881</v>
      </c>
      <c r="N12" s="50">
        <f t="shared" si="10"/>
        <v>50398.610215053763</v>
      </c>
      <c r="O12" s="49">
        <v>3765.0752688172042</v>
      </c>
      <c r="P12" s="50">
        <f t="shared" ref="P12" si="28">IF(ISBLANK(O12),"",Q12/$A12)</f>
        <v>2753.0376344086021</v>
      </c>
      <c r="Q12" s="163">
        <f t="shared" ref="Q12" si="29">O12+Q11</f>
        <v>5506.0752688172042</v>
      </c>
      <c r="R12" s="50">
        <f t="shared" si="12"/>
        <v>1882.5376344086021</v>
      </c>
      <c r="S12" s="50">
        <f t="shared" si="13"/>
        <v>1376.5188172043011</v>
      </c>
      <c r="T12" s="50">
        <f t="shared" si="14"/>
        <v>2753.0376344086021</v>
      </c>
      <c r="U12" s="168"/>
      <c r="V12" s="49">
        <v>168</v>
      </c>
      <c r="W12" s="47">
        <f t="shared" si="15"/>
        <v>168.5</v>
      </c>
      <c r="X12" s="163">
        <f t="shared" ref="X12" si="30">V12+X11</f>
        <v>337</v>
      </c>
      <c r="Y12" s="169"/>
      <c r="Z12" s="170"/>
      <c r="AA12" s="171"/>
      <c r="AB12" s="172"/>
      <c r="AC12" s="49">
        <v>290.48</v>
      </c>
      <c r="AD12" s="50">
        <f t="shared" ref="AD12" si="31">IF(ISBLANK(AC12),"",AE12/$A12)</f>
        <v>291.06</v>
      </c>
      <c r="AE12" s="163">
        <f t="shared" ref="AE12" si="32">AC12+AE11</f>
        <v>582.12</v>
      </c>
      <c r="AF12" s="49">
        <v>147758</v>
      </c>
      <c r="AG12" s="50">
        <f t="shared" ref="AG12" si="33">IF(ISBLANK(AF12),"",AH12/$A12)</f>
        <v>146103.5</v>
      </c>
      <c r="AH12" s="51">
        <f t="shared" ref="AH12" si="34">AF12+AH11</f>
        <v>292207</v>
      </c>
      <c r="AI12" s="50">
        <f t="shared" ref="AI12" si="35">IF(AF12*0.3172=0,"",AF12*0.1832)</f>
        <v>27069.265599999999</v>
      </c>
      <c r="AJ12" s="50">
        <f t="shared" ref="AJ12" si="36">IFERROR(AG12*0.1832,"")</f>
        <v>26766.161199999999</v>
      </c>
      <c r="AK12" s="50">
        <f t="shared" ref="AK12" si="37">AH12*0.1832</f>
        <v>53532.322399999997</v>
      </c>
      <c r="AL12" s="17"/>
      <c r="AM12" s="49">
        <v>112.96</v>
      </c>
      <c r="AN12" s="47">
        <f t="shared" si="18"/>
        <v>115.00999999999999</v>
      </c>
      <c r="AO12" s="163">
        <f t="shared" ref="AO12" si="38">AM12+AO11</f>
        <v>230.01999999999998</v>
      </c>
      <c r="AP12" s="49">
        <v>138747.24043010751</v>
      </c>
      <c r="AQ12" s="50">
        <f t="shared" ref="AQ12" si="39">IF(ISBLANK(AP12),"",AR12/$A12)</f>
        <v>135255.62021505376</v>
      </c>
      <c r="AR12" s="51">
        <f t="shared" ref="AR12" si="40">AP12+AR11</f>
        <v>270511.24043010751</v>
      </c>
      <c r="AS12" s="17"/>
      <c r="AT12" s="47">
        <f>borrador!G10/6.289</f>
        <v>719.17156940690097</v>
      </c>
      <c r="AU12" s="47">
        <f t="shared" ref="AU12" si="41">IF(ISBLANK(AT12),"",AV12/$A12)</f>
        <v>714.72889171569409</v>
      </c>
      <c r="AV12" s="51">
        <f t="shared" ref="AV12" si="42">AT12+AV11</f>
        <v>1429.4577834313882</v>
      </c>
      <c r="AW12" s="2"/>
      <c r="AX12" s="51">
        <f>borrador!H10/6.289</f>
        <v>400.40228971219591</v>
      </c>
      <c r="AY12" s="51">
        <f t="shared" ref="AY12" si="43">IF(ISBLANK(AX12),"",AZ12/$A12)</f>
        <v>400.73382095722695</v>
      </c>
      <c r="AZ12" s="51">
        <f t="shared" ref="AZ12" si="44">AX12+AZ11</f>
        <v>801.46764191445391</v>
      </c>
      <c r="BA12" s="2"/>
      <c r="BB12" s="47">
        <f>borrador!E10/6.289</f>
        <v>7.420893623787566</v>
      </c>
      <c r="BC12" s="47">
        <f t="shared" ref="BC12" si="45">IF(ISBLANK(BB12),"",BD12/$A12)</f>
        <v>8.0004770233741453</v>
      </c>
      <c r="BD12" s="48">
        <f t="shared" ref="BD12" si="46">BB12+BD11</f>
        <v>16.000954046748291</v>
      </c>
      <c r="BE12" s="49">
        <f>borrador!F10*0.283*100</f>
        <v>183.86509999999998</v>
      </c>
      <c r="BF12" s="50">
        <f t="shared" ref="BF12" si="47">IF(ISBLANK(BE12),"",BG12/A12)</f>
        <v>212.47639999999998</v>
      </c>
      <c r="BG12" s="237">
        <f t="shared" ref="BG12" si="48">BE12+BG11</f>
        <v>424.95279999999997</v>
      </c>
      <c r="BI12" s="199" t="s">
        <v>8</v>
      </c>
      <c r="BJ12" s="83">
        <v>17708.53</v>
      </c>
      <c r="BK12" s="21">
        <v>17198.010180864494</v>
      </c>
      <c r="BL12" s="92">
        <f t="shared" si="4"/>
        <v>510.5198191355048</v>
      </c>
      <c r="BM12" s="254">
        <v>11320.1505817204</v>
      </c>
      <c r="BN12" s="21">
        <v>11776.82171891383</v>
      </c>
      <c r="BO12" s="82">
        <f t="shared" si="0"/>
        <v>-456.6711371934307</v>
      </c>
      <c r="BP12" s="197"/>
      <c r="BQ12" s="83">
        <v>4942.7076669999997</v>
      </c>
      <c r="BR12" s="21">
        <v>5654.1630123510167</v>
      </c>
      <c r="BS12" s="200">
        <f t="shared" si="1"/>
        <v>-711.45534535101706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</row>
    <row r="13" spans="1:83" ht="15" customHeight="1" thickBot="1" x14ac:dyDescent="0.4">
      <c r="A13" s="244">
        <v>3</v>
      </c>
      <c r="B13" s="49">
        <v>620.26</v>
      </c>
      <c r="C13" s="47">
        <f t="shared" ref="C13:C14" si="49">IF(ISBLANK(B13),"",D13/$A13)</f>
        <v>614.23666666666668</v>
      </c>
      <c r="D13" s="163">
        <f t="shared" ref="D13:D14" si="50">B13+D12</f>
        <v>1842.71</v>
      </c>
      <c r="E13" s="49">
        <v>342043.4341935484</v>
      </c>
      <c r="F13" s="50">
        <f t="shared" ref="F13:F14" si="51">IF(ISBLANK(E13),"",G13/$A13)</f>
        <v>350125.03949820792</v>
      </c>
      <c r="G13" s="163">
        <f t="shared" ref="G13:G14" si="52">E13+G12</f>
        <v>1050375.1184946238</v>
      </c>
      <c r="H13" s="168"/>
      <c r="I13" s="49">
        <v>50964.31182795699</v>
      </c>
      <c r="J13" s="50">
        <f t="shared" ref="J13:J14" si="53">IF(ISBLANK(I13),"",K13/$A13)</f>
        <v>50587.177419354841</v>
      </c>
      <c r="K13" s="163">
        <f t="shared" ref="K13:K14" si="54">I13+K12</f>
        <v>151761.53225806452</v>
      </c>
      <c r="L13" s="50">
        <f t="shared" ref="L13:L14" si="55">IF(ISBLANK(I13),"",I13*0.5)</f>
        <v>25482.155913978495</v>
      </c>
      <c r="M13" s="50">
        <f t="shared" ref="M13:M14" si="56">IFERROR(J13*0.5,"")</f>
        <v>25293.58870967742</v>
      </c>
      <c r="N13" s="50">
        <f t="shared" ref="N13:N14" si="57">K13*0.5</f>
        <v>75880.766129032258</v>
      </c>
      <c r="O13" s="49">
        <v>2709.4032258064517</v>
      </c>
      <c r="P13" s="50">
        <f t="shared" ref="P13:P14" si="58">IF(ISBLANK(O13),"",Q13/$A13)</f>
        <v>2738.4928315412185</v>
      </c>
      <c r="Q13" s="163">
        <f t="shared" ref="Q13:Q14" si="59">O13+Q12</f>
        <v>8215.4784946236559</v>
      </c>
      <c r="R13" s="50">
        <f t="shared" ref="R13:R14" si="60">IF(ISBLANK(O13),"",O13*0.5)</f>
        <v>1354.7016129032259</v>
      </c>
      <c r="S13" s="50">
        <f t="shared" ref="S13:S14" si="61">IFERROR(P13*0.5,"")</f>
        <v>1369.2464157706092</v>
      </c>
      <c r="T13" s="50">
        <f t="shared" ref="T13:T14" si="62">Q13*0.5</f>
        <v>4107.739247311828</v>
      </c>
      <c r="U13" s="168"/>
      <c r="V13" s="49">
        <v>168.8</v>
      </c>
      <c r="W13" s="47">
        <f t="shared" ref="W13:W14" si="63">IF(ISBLANK(V13),"",X13/$A13)</f>
        <v>168.6</v>
      </c>
      <c r="X13" s="163">
        <f t="shared" ref="X13:X14" si="64">V13+X12</f>
        <v>505.8</v>
      </c>
      <c r="Y13" s="169"/>
      <c r="Z13" s="170"/>
      <c r="AA13" s="171"/>
      <c r="AB13" s="172"/>
      <c r="AC13" s="49">
        <v>285.2</v>
      </c>
      <c r="AD13" s="50">
        <f t="shared" ref="AD13:AD14" si="65">IF(ISBLANK(AC13),"",AE13/$A13)</f>
        <v>289.10666666666663</v>
      </c>
      <c r="AE13" s="163">
        <f t="shared" ref="AE13:AE14" si="66">AC13+AE12</f>
        <v>867.31999999999994</v>
      </c>
      <c r="AF13" s="49">
        <v>147958</v>
      </c>
      <c r="AG13" s="50">
        <f t="shared" ref="AG13:AG14" si="67">IF(ISBLANK(AF13),"",AH13/$A13)</f>
        <v>146721.66666666666</v>
      </c>
      <c r="AH13" s="51">
        <f t="shared" ref="AH13:AH14" si="68">AF13+AH12</f>
        <v>440165</v>
      </c>
      <c r="AI13" s="50">
        <f t="shared" ref="AI13:AI14" si="69">IF(AF13*0.3172=0,"",AF13*0.1832)</f>
        <v>27105.905600000002</v>
      </c>
      <c r="AJ13" s="50">
        <f t="shared" ref="AJ13:AJ14" si="70">IFERROR(AG13*0.1832,"")</f>
        <v>26879.409333333333</v>
      </c>
      <c r="AK13" s="50">
        <f t="shared" ref="AK13:AK14" si="71">AH13*0.1832</f>
        <v>80638.228000000003</v>
      </c>
      <c r="AL13" s="17"/>
      <c r="AM13" s="49">
        <v>121.75</v>
      </c>
      <c r="AN13" s="47">
        <f t="shared" ref="AN13:AN14" si="72">IF(ISBLANK(AM13),"",AO13/$A13)</f>
        <v>117.25666666666666</v>
      </c>
      <c r="AO13" s="163">
        <f t="shared" ref="AO13:AO14" si="73">AM13+AO12</f>
        <v>351.77</v>
      </c>
      <c r="AP13" s="49">
        <v>145568.16258064515</v>
      </c>
      <c r="AQ13" s="50">
        <f t="shared" ref="AQ13:AQ14" si="74">IF(ISBLANK(AP13),"",AR13/$A13)</f>
        <v>138693.13433691754</v>
      </c>
      <c r="AR13" s="51">
        <f t="shared" ref="AR13:AR14" si="75">AP13+AR12</f>
        <v>416079.40301075263</v>
      </c>
      <c r="AS13" s="17"/>
      <c r="AT13" s="47">
        <f>borrador!G11/6.289</f>
        <v>728.32087772300849</v>
      </c>
      <c r="AU13" s="47">
        <f t="shared" ref="AU13:AU14" si="76">IF(ISBLANK(AT13),"",AV13/$A13)</f>
        <v>719.25955371813222</v>
      </c>
      <c r="AV13" s="51">
        <f t="shared" ref="AV13:AV14" si="77">AT13+AV12</f>
        <v>2157.7786611543966</v>
      </c>
      <c r="AW13" s="2"/>
      <c r="AX13" s="51">
        <f>borrador!H11/6.289</f>
        <v>400.60263952933695</v>
      </c>
      <c r="AY13" s="51">
        <f t="shared" ref="AY13:AY14" si="78">IF(ISBLANK(AX13),"",AZ13/$A13)</f>
        <v>400.69009381459699</v>
      </c>
      <c r="AZ13" s="51">
        <f t="shared" ref="AZ13:AZ14" si="79">AX13+AZ12</f>
        <v>1202.0702814437909</v>
      </c>
      <c r="BA13" s="2"/>
      <c r="BB13" s="47">
        <f>borrador!E11/6.289</f>
        <v>0</v>
      </c>
      <c r="BC13" s="47">
        <f t="shared" ref="BC13:BC14" si="80">IF(ISBLANK(BB13),"",BD13/$A13)</f>
        <v>5.3336513489160966</v>
      </c>
      <c r="BD13" s="48">
        <f t="shared" ref="BD13:BD14" si="81">BB13+BD12</f>
        <v>16.000954046748291</v>
      </c>
      <c r="BE13" s="49">
        <f>borrador!F11*0.283*100</f>
        <v>0</v>
      </c>
      <c r="BF13" s="50">
        <f t="shared" ref="BF13:BF14" si="82">IF(ISBLANK(BE13),"",BG13/A13)</f>
        <v>141.65093333333331</v>
      </c>
      <c r="BG13" s="237">
        <f t="shared" ref="BG13:BG14" si="83">BE13+BG12</f>
        <v>424.95279999999997</v>
      </c>
      <c r="BI13" s="199" t="s">
        <v>9</v>
      </c>
      <c r="BJ13" s="83">
        <v>18335.590000000004</v>
      </c>
      <c r="BK13" s="21">
        <v>17687.608027419399</v>
      </c>
      <c r="BL13" s="92">
        <v>22048.352946939147</v>
      </c>
      <c r="BM13" s="254">
        <v>11650.263241828001</v>
      </c>
      <c r="BN13" s="21">
        <v>12007.604979941352</v>
      </c>
      <c r="BO13" s="82">
        <f t="shared" si="0"/>
        <v>-357.34173811335131</v>
      </c>
      <c r="BP13" s="197"/>
      <c r="BQ13" s="83">
        <v>6101.8380000000016</v>
      </c>
      <c r="BR13" s="21">
        <v>5798.4219494275312</v>
      </c>
      <c r="BS13" s="201">
        <f t="shared" si="1"/>
        <v>303.41605057247034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</row>
    <row r="14" spans="1:83" ht="15" customHeight="1" thickBot="1" x14ac:dyDescent="0.4">
      <c r="A14" s="244">
        <v>4</v>
      </c>
      <c r="B14" s="49">
        <v>608.4</v>
      </c>
      <c r="C14" s="47">
        <f t="shared" si="49"/>
        <v>612.77750000000003</v>
      </c>
      <c r="D14" s="163">
        <f t="shared" si="50"/>
        <v>2451.11</v>
      </c>
      <c r="E14" s="49">
        <v>344830.02903225808</v>
      </c>
      <c r="F14" s="50">
        <f t="shared" si="51"/>
        <v>348801.28688172047</v>
      </c>
      <c r="G14" s="163">
        <f t="shared" si="52"/>
        <v>1395205.1475268819</v>
      </c>
      <c r="H14" s="168"/>
      <c r="I14" s="49">
        <v>50775.5</v>
      </c>
      <c r="J14" s="50">
        <f t="shared" si="53"/>
        <v>50634.258064516129</v>
      </c>
      <c r="K14" s="163">
        <f t="shared" si="54"/>
        <v>202537.03225806452</v>
      </c>
      <c r="L14" s="50">
        <f t="shared" si="55"/>
        <v>25387.75</v>
      </c>
      <c r="M14" s="50">
        <f t="shared" si="56"/>
        <v>25317.129032258064</v>
      </c>
      <c r="N14" s="50">
        <f t="shared" si="57"/>
        <v>101268.51612903226</v>
      </c>
      <c r="O14" s="49">
        <v>3535.3387096774195</v>
      </c>
      <c r="P14" s="50">
        <f t="shared" si="58"/>
        <v>2937.7043010752686</v>
      </c>
      <c r="Q14" s="163">
        <f t="shared" si="59"/>
        <v>11750.817204301075</v>
      </c>
      <c r="R14" s="50">
        <f t="shared" si="60"/>
        <v>1767.6693548387098</v>
      </c>
      <c r="S14" s="50">
        <f t="shared" si="61"/>
        <v>1468.8521505376343</v>
      </c>
      <c r="T14" s="50">
        <f t="shared" si="62"/>
        <v>5875.4086021505373</v>
      </c>
      <c r="U14" s="168"/>
      <c r="V14" s="49">
        <v>170.3</v>
      </c>
      <c r="W14" s="47">
        <f t="shared" si="63"/>
        <v>169.02500000000001</v>
      </c>
      <c r="X14" s="163">
        <f t="shared" si="64"/>
        <v>676.1</v>
      </c>
      <c r="Y14" s="169"/>
      <c r="Z14" s="170"/>
      <c r="AA14" s="171"/>
      <c r="AB14" s="172"/>
      <c r="AC14" s="49">
        <v>290.58999999999997</v>
      </c>
      <c r="AD14" s="50">
        <f t="shared" si="65"/>
        <v>289.47749999999996</v>
      </c>
      <c r="AE14" s="163">
        <f t="shared" si="66"/>
        <v>1157.9099999999999</v>
      </c>
      <c r="AF14" s="49">
        <v>149415</v>
      </c>
      <c r="AG14" s="50">
        <f t="shared" si="67"/>
        <v>147395</v>
      </c>
      <c r="AH14" s="51">
        <f t="shared" si="68"/>
        <v>589580</v>
      </c>
      <c r="AI14" s="50">
        <f t="shared" si="69"/>
        <v>27372.828000000001</v>
      </c>
      <c r="AJ14" s="50">
        <f t="shared" si="70"/>
        <v>27002.763999999999</v>
      </c>
      <c r="AK14" s="50">
        <f t="shared" si="71"/>
        <v>108011.056</v>
      </c>
      <c r="AL14" s="17"/>
      <c r="AM14" s="49">
        <v>117.37</v>
      </c>
      <c r="AN14" s="47">
        <f t="shared" si="72"/>
        <v>117.285</v>
      </c>
      <c r="AO14" s="163">
        <f t="shared" si="73"/>
        <v>469.14</v>
      </c>
      <c r="AP14" s="49">
        <v>147240.63225806452</v>
      </c>
      <c r="AQ14" s="50">
        <f t="shared" si="74"/>
        <v>140830.00881720427</v>
      </c>
      <c r="AR14" s="51">
        <f t="shared" si="75"/>
        <v>563320.0352688171</v>
      </c>
      <c r="AS14" s="17"/>
      <c r="AT14" s="47">
        <f>borrador!G12/6.289</f>
        <v>765.54778184131021</v>
      </c>
      <c r="AU14" s="47">
        <f t="shared" si="76"/>
        <v>730.83161074892666</v>
      </c>
      <c r="AV14" s="51">
        <f t="shared" si="77"/>
        <v>2923.3264429957067</v>
      </c>
      <c r="AW14" s="2"/>
      <c r="AX14" s="51">
        <f>borrador!H12/6.289</f>
        <v>400.28144379074575</v>
      </c>
      <c r="AY14" s="51">
        <f t="shared" si="78"/>
        <v>400.58793130863415</v>
      </c>
      <c r="AZ14" s="51">
        <f t="shared" si="79"/>
        <v>1602.3517252345366</v>
      </c>
      <c r="BA14" s="2"/>
      <c r="BB14" s="47">
        <f>borrador!E12/6.289</f>
        <v>0</v>
      </c>
      <c r="BC14" s="47">
        <f t="shared" si="80"/>
        <v>4.0002385116870727</v>
      </c>
      <c r="BD14" s="48">
        <f t="shared" si="81"/>
        <v>16.000954046748291</v>
      </c>
      <c r="BE14" s="49">
        <f>borrador!F12*0.283*100</f>
        <v>0</v>
      </c>
      <c r="BF14" s="50">
        <f t="shared" si="82"/>
        <v>106.23819999999999</v>
      </c>
      <c r="BG14" s="237">
        <f t="shared" si="83"/>
        <v>424.95279999999997</v>
      </c>
      <c r="BI14" s="199" t="s">
        <v>22</v>
      </c>
      <c r="BJ14" s="83">
        <v>17972.119999999995</v>
      </c>
      <c r="BK14" s="21">
        <v>17557.92787774618</v>
      </c>
      <c r="BL14" s="92">
        <f t="shared" si="4"/>
        <v>414.19212225381489</v>
      </c>
      <c r="BM14" s="254">
        <v>10958.4126680645</v>
      </c>
      <c r="BN14" s="21">
        <v>12178.203691342958</v>
      </c>
      <c r="BO14" s="82">
        <f t="shared" si="0"/>
        <v>-1219.7910232784579</v>
      </c>
      <c r="BP14" s="197"/>
      <c r="BQ14" s="83">
        <v>5639.4</v>
      </c>
      <c r="BR14" s="21">
        <v>5639.1896353500761</v>
      </c>
      <c r="BS14" s="201">
        <f t="shared" si="1"/>
        <v>0.21036464992357651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</row>
    <row r="15" spans="1:83" ht="15" customHeight="1" thickBot="1" x14ac:dyDescent="0.4">
      <c r="A15" s="245">
        <v>5</v>
      </c>
      <c r="B15" s="49">
        <v>628.72</v>
      </c>
      <c r="C15" s="47">
        <f t="shared" ref="C15" si="84">IF(ISBLANK(B15),"",D15/$A15)</f>
        <v>615.96600000000001</v>
      </c>
      <c r="D15" s="163">
        <f t="shared" ref="D15" si="85">B15+D14</f>
        <v>3079.83</v>
      </c>
      <c r="E15" s="49">
        <v>350157.76645161293</v>
      </c>
      <c r="F15" s="50">
        <f t="shared" ref="F15" si="86">IF(ISBLANK(E15),"",G15/$A15)</f>
        <v>349072.58279569895</v>
      </c>
      <c r="G15" s="163">
        <f t="shared" ref="G15" si="87">E15+G14</f>
        <v>1745362.9139784947</v>
      </c>
      <c r="H15" s="168"/>
      <c r="I15" s="49">
        <v>49985.838709677417</v>
      </c>
      <c r="J15" s="50">
        <f t="shared" ref="J15" si="88">IF(ISBLANK(I15),"",K15/$A15)</f>
        <v>50504.574193548389</v>
      </c>
      <c r="K15" s="163">
        <f t="shared" ref="K15" si="89">I15+K14</f>
        <v>252522.87096774194</v>
      </c>
      <c r="L15" s="50">
        <f t="shared" ref="L15" si="90">IF(ISBLANK(I15),"",I15*0.5)</f>
        <v>24992.919354838708</v>
      </c>
      <c r="M15" s="50">
        <f t="shared" ref="M15" si="91">IFERROR(J15*0.5,"")</f>
        <v>25252.287096774195</v>
      </c>
      <c r="N15" s="50">
        <f t="shared" ref="N15" si="92">K15*0.5</f>
        <v>126261.43548387097</v>
      </c>
      <c r="O15" s="49">
        <v>0</v>
      </c>
      <c r="P15" s="50">
        <f t="shared" ref="P15" si="93">IF(ISBLANK(O15),"",Q15/$A15)</f>
        <v>2350.1634408602149</v>
      </c>
      <c r="Q15" s="163">
        <f t="shared" ref="Q15" si="94">O15+Q14</f>
        <v>11750.817204301075</v>
      </c>
      <c r="R15" s="50">
        <f t="shared" ref="R15" si="95">IF(ISBLANK(O15),"",O15*0.5)</f>
        <v>0</v>
      </c>
      <c r="S15" s="50">
        <f t="shared" ref="S15" si="96">IFERROR(P15*0.5,"")</f>
        <v>1175.0817204301075</v>
      </c>
      <c r="T15" s="50">
        <f t="shared" ref="T15" si="97">Q15*0.5</f>
        <v>5875.4086021505373</v>
      </c>
      <c r="U15" s="168"/>
      <c r="V15" s="49">
        <v>171.4</v>
      </c>
      <c r="W15" s="47">
        <f t="shared" ref="W15" si="98">IF(ISBLANK(V15),"",X15/$A15)</f>
        <v>169.5</v>
      </c>
      <c r="X15" s="163">
        <f t="shared" ref="X15" si="99">V15+X14</f>
        <v>847.5</v>
      </c>
      <c r="Y15" s="169"/>
      <c r="Z15" s="170"/>
      <c r="AA15" s="171"/>
      <c r="AB15" s="172"/>
      <c r="AC15" s="49">
        <v>282.18</v>
      </c>
      <c r="AD15" s="50">
        <f t="shared" ref="AD15" si="100">IF(ISBLANK(AC15),"",AE15/$A15)</f>
        <v>288.01799999999997</v>
      </c>
      <c r="AE15" s="163">
        <f t="shared" ref="AE15" si="101">AC15+AE14</f>
        <v>1440.09</v>
      </c>
      <c r="AF15" s="49">
        <v>147860</v>
      </c>
      <c r="AG15" s="50">
        <f t="shared" ref="AG15" si="102">IF(ISBLANK(AF15),"",AH15/$A15)</f>
        <v>147488</v>
      </c>
      <c r="AH15" s="51">
        <f t="shared" ref="AH15" si="103">AF15+AH14</f>
        <v>737440</v>
      </c>
      <c r="AI15" s="50">
        <f t="shared" ref="AI15" si="104">IF(AF15*0.3172=0,"",AF15*0.1832)</f>
        <v>27087.952000000001</v>
      </c>
      <c r="AJ15" s="50">
        <f t="shared" ref="AJ15" si="105">IFERROR(AG15*0.1832,"")</f>
        <v>27019.801599999999</v>
      </c>
      <c r="AK15" s="50">
        <f t="shared" ref="AK15" si="106">AH15*0.1832</f>
        <v>135099.008</v>
      </c>
      <c r="AL15" s="17"/>
      <c r="AM15" s="49">
        <v>131.29</v>
      </c>
      <c r="AN15" s="47">
        <f t="shared" ref="AN15" si="107">IF(ISBLANK(AM15),"",AO15/$A15)</f>
        <v>120.08599999999998</v>
      </c>
      <c r="AO15" s="163">
        <f t="shared" ref="AO15" si="108">AM15+AO14</f>
        <v>600.42999999999995</v>
      </c>
      <c r="AP15" s="49">
        <v>144785.2335483871</v>
      </c>
      <c r="AQ15" s="50">
        <f t="shared" ref="AQ15" si="109">IF(ISBLANK(AP15),"",AR15/$A15)</f>
        <v>141621.05376344084</v>
      </c>
      <c r="AR15" s="51">
        <f t="shared" ref="AR15" si="110">AP15+AR14</f>
        <v>708105.26881720417</v>
      </c>
      <c r="AS15" s="17"/>
      <c r="AT15" s="47">
        <f>borrador!G13/6.289</f>
        <v>774.76864366353959</v>
      </c>
      <c r="AU15" s="47">
        <f t="shared" ref="AU15" si="111">IF(ISBLANK(AT15),"",AV15/$A15)</f>
        <v>739.61901733184925</v>
      </c>
      <c r="AV15" s="51">
        <f t="shared" ref="AV15" si="112">AT15+AV14</f>
        <v>3698.0950866592461</v>
      </c>
      <c r="AW15" s="2"/>
      <c r="AX15" s="51">
        <f>borrador!H13/6.289</f>
        <v>395.63523612657025</v>
      </c>
      <c r="AY15" s="51">
        <f t="shared" ref="AY15" si="113">IF(ISBLANK(AX15),"",AZ15/$A15)</f>
        <v>399.59739227222133</v>
      </c>
      <c r="AZ15" s="51">
        <f t="shared" ref="AZ15" si="114">AX15+AZ14</f>
        <v>1997.9869613611068</v>
      </c>
      <c r="BA15" s="2"/>
      <c r="BB15" s="47">
        <f>borrador!E13/6.289</f>
        <v>0</v>
      </c>
      <c r="BC15" s="47">
        <f t="shared" ref="BC15" si="115">IF(ISBLANK(BB15),"",BD15/$A15)</f>
        <v>3.200190809349658</v>
      </c>
      <c r="BD15" s="48">
        <f t="shared" ref="BD15" si="116">BB15+BD14</f>
        <v>16.000954046748291</v>
      </c>
      <c r="BE15" s="49">
        <f>borrador!F13*0.283*100</f>
        <v>0</v>
      </c>
      <c r="BF15" s="50">
        <f t="shared" ref="BF15" si="117">IF(ISBLANK(BE15),"",BG15/A15)</f>
        <v>84.990559999999988</v>
      </c>
      <c r="BG15" s="237">
        <f t="shared" ref="BG15" si="118">BE15+BG14</f>
        <v>424.95279999999997</v>
      </c>
      <c r="BI15" s="199" t="s">
        <v>23</v>
      </c>
      <c r="BJ15" s="83"/>
      <c r="BK15" s="21">
        <v>18840.583870293147</v>
      </c>
      <c r="BL15" s="92">
        <f t="shared" si="4"/>
        <v>-18840.583870293147</v>
      </c>
      <c r="BM15" s="254"/>
      <c r="BN15" s="21">
        <v>13150.823919698816</v>
      </c>
      <c r="BO15" s="82">
        <f t="shared" si="0"/>
        <v>-13150.823919698816</v>
      </c>
      <c r="BP15" s="197"/>
      <c r="BQ15" s="83"/>
      <c r="BR15" s="21">
        <v>5783.5313912690872</v>
      </c>
      <c r="BS15" s="201">
        <f t="shared" si="1"/>
        <v>-5783.5313912690872</v>
      </c>
      <c r="BT15" s="5"/>
      <c r="BU15" s="15"/>
      <c r="BV15" s="214"/>
      <c r="BW15" s="107">
        <v>18251.506915344693</v>
      </c>
      <c r="BX15" s="84">
        <f t="shared" si="2"/>
        <v>-18251.506915344693</v>
      </c>
      <c r="BY15" s="207"/>
      <c r="BZ15" s="83"/>
      <c r="CA15" s="107">
        <v>12919.210502801123</v>
      </c>
      <c r="CB15" s="215">
        <f t="shared" si="3"/>
        <v>-12919.210502801123</v>
      </c>
    </row>
    <row r="16" spans="1:83" ht="15" customHeight="1" thickBot="1" x14ac:dyDescent="0.4">
      <c r="A16" s="245">
        <v>6</v>
      </c>
      <c r="B16" s="49">
        <v>656.81</v>
      </c>
      <c r="C16" s="47">
        <f t="shared" ref="C16" si="119">IF(ISBLANK(B16),"",D16/$A16)</f>
        <v>622.77333333333331</v>
      </c>
      <c r="D16" s="163">
        <f t="shared" ref="D16" si="120">B16+D15</f>
        <v>3736.64</v>
      </c>
      <c r="E16" s="49">
        <v>333519</v>
      </c>
      <c r="F16" s="50">
        <f t="shared" ref="F16" si="121">IF(ISBLANK(E16),"",G16/$A16)</f>
        <v>346480.31899641576</v>
      </c>
      <c r="G16" s="163">
        <f t="shared" ref="G16" si="122">E16+G15</f>
        <v>2078881.9139784947</v>
      </c>
      <c r="H16" s="168"/>
      <c r="I16" s="49">
        <v>49133</v>
      </c>
      <c r="J16" s="50">
        <f t="shared" ref="J16" si="123">IF(ISBLANK(I16),"",K16/$A16)</f>
        <v>50275.978494623654</v>
      </c>
      <c r="K16" s="163">
        <f t="shared" ref="K16" si="124">I16+K15</f>
        <v>301655.87096774194</v>
      </c>
      <c r="L16" s="50">
        <f t="shared" ref="L16" si="125">IF(ISBLANK(I16),"",I16*0.5)</f>
        <v>24566.5</v>
      </c>
      <c r="M16" s="50">
        <f t="shared" ref="M16" si="126">IFERROR(J16*0.5,"")</f>
        <v>25137.989247311827</v>
      </c>
      <c r="N16" s="50">
        <f t="shared" ref="N16" si="127">K16*0.5</f>
        <v>150827.93548387097</v>
      </c>
      <c r="O16" s="49">
        <v>12218</v>
      </c>
      <c r="P16" s="50">
        <f t="shared" ref="P16" si="128">IF(ISBLANK(O16),"",Q16/$A16)</f>
        <v>3994.8028673835124</v>
      </c>
      <c r="Q16" s="163">
        <f t="shared" ref="Q16" si="129">O16+Q15</f>
        <v>23968.817204301075</v>
      </c>
      <c r="R16" s="50">
        <f t="shared" ref="R16" si="130">IF(ISBLANK(O16),"",O16*0.5)</f>
        <v>6109</v>
      </c>
      <c r="S16" s="50">
        <f t="shared" ref="S16" si="131">IFERROR(P16*0.5,"")</f>
        <v>1997.4014336917562</v>
      </c>
      <c r="T16" s="50">
        <f t="shared" ref="T16" si="132">Q16*0.5</f>
        <v>11984.408602150537</v>
      </c>
      <c r="U16" s="168"/>
      <c r="V16" s="49">
        <v>173.8</v>
      </c>
      <c r="W16" s="47">
        <f t="shared" ref="W16" si="133">IF(ISBLANK(V16),"",X16/$A16)</f>
        <v>170.21666666666667</v>
      </c>
      <c r="X16" s="163">
        <f t="shared" ref="X16" si="134">V16+X15</f>
        <v>1021.3</v>
      </c>
      <c r="Y16" s="169"/>
      <c r="Z16" s="170"/>
      <c r="AA16" s="171"/>
      <c r="AB16" s="172"/>
      <c r="AC16" s="49">
        <v>296.01</v>
      </c>
      <c r="AD16" s="50">
        <f t="shared" ref="AD16" si="135">IF(ISBLANK(AC16),"",AE16/$A16)</f>
        <v>289.34999999999997</v>
      </c>
      <c r="AE16" s="163">
        <f t="shared" ref="AE16" si="136">AC16+AE15</f>
        <v>1736.1</v>
      </c>
      <c r="AF16" s="49">
        <v>147019</v>
      </c>
      <c r="AG16" s="50">
        <f t="shared" ref="AG16" si="137">IF(ISBLANK(AF16),"",AH16/$A16)</f>
        <v>147409.83333333334</v>
      </c>
      <c r="AH16" s="51">
        <f t="shared" ref="AH16" si="138">AF16+AH15</f>
        <v>884459</v>
      </c>
      <c r="AI16" s="50">
        <f t="shared" ref="AI16" si="139">IF(AF16*0.3172=0,"",AF16*0.1832)</f>
        <v>26933.880799999999</v>
      </c>
      <c r="AJ16" s="50">
        <f t="shared" ref="AJ16" si="140">IFERROR(AG16*0.1832,"")</f>
        <v>27005.481466666668</v>
      </c>
      <c r="AK16" s="50">
        <f t="shared" ref="AK16" si="141">AH16*0.1832</f>
        <v>162032.88880000002</v>
      </c>
      <c r="AL16" s="17"/>
      <c r="AM16" s="49">
        <v>123.59</v>
      </c>
      <c r="AN16" s="47">
        <f t="shared" ref="AN16" si="142">IF(ISBLANK(AM16),"",AO16/$A16)</f>
        <v>120.67</v>
      </c>
      <c r="AO16" s="163">
        <f t="shared" ref="AO16" si="143">AM16+AO15</f>
        <v>724.02</v>
      </c>
      <c r="AP16" s="49">
        <v>153401</v>
      </c>
      <c r="AQ16" s="50">
        <f t="shared" ref="AQ16" si="144">IF(ISBLANK(AP16),"",AR16/$A16)</f>
        <v>143584.37813620068</v>
      </c>
      <c r="AR16" s="51">
        <f t="shared" ref="AR16" si="145">AP16+AR15</f>
        <v>861506.26881720417</v>
      </c>
      <c r="AS16" s="17"/>
      <c r="AT16" s="47">
        <f>borrador!G14/6.289</f>
        <v>773.50612179996824</v>
      </c>
      <c r="AU16" s="47">
        <f t="shared" ref="AU16" si="146">IF(ISBLANK(AT16),"",AV16/$A16)</f>
        <v>745.26686807653584</v>
      </c>
      <c r="AV16" s="51">
        <f t="shared" ref="AV16" si="147">AT16+AV15</f>
        <v>4471.6012084592148</v>
      </c>
      <c r="AW16" s="2"/>
      <c r="AX16" s="51">
        <f>borrador!H14/6.289</f>
        <v>399.60248052154554</v>
      </c>
      <c r="AY16" s="51">
        <f t="shared" ref="AY16" si="148">IF(ISBLANK(AX16),"",AZ16/$A16)</f>
        <v>399.59824031377542</v>
      </c>
      <c r="AZ16" s="51">
        <f t="shared" ref="AZ16" si="149">AX16+AZ15</f>
        <v>2397.5894418826524</v>
      </c>
      <c r="BA16" s="2"/>
      <c r="BB16" s="47">
        <f>borrador!E14/6.289</f>
        <v>0</v>
      </c>
      <c r="BC16" s="47">
        <f t="shared" ref="BC16" si="150">IF(ISBLANK(BB16),"",BD16/$A16)</f>
        <v>2.6668256744580483</v>
      </c>
      <c r="BD16" s="48">
        <f t="shared" ref="BD16" si="151">BB16+BD15</f>
        <v>16.000954046748291</v>
      </c>
      <c r="BE16" s="49">
        <f>borrador!F14*0.283*100</f>
        <v>0</v>
      </c>
      <c r="BF16" s="50">
        <f t="shared" ref="BF16" si="152">IF(ISBLANK(BE16),"",BG16/A16)</f>
        <v>70.825466666666657</v>
      </c>
      <c r="BG16" s="237">
        <f t="shared" ref="BG16" si="153">BE16+BG15</f>
        <v>424.95279999999997</v>
      </c>
      <c r="BI16" s="199" t="s">
        <v>17</v>
      </c>
      <c r="BJ16" s="83"/>
      <c r="BK16" s="21">
        <v>19448.244430301474</v>
      </c>
      <c r="BL16" s="92">
        <f t="shared" si="4"/>
        <v>-19448.244430301474</v>
      </c>
      <c r="BM16" s="254"/>
      <c r="BN16" s="21">
        <v>13614.886473801384</v>
      </c>
      <c r="BO16" s="82">
        <f t="shared" si="0"/>
        <v>-13614.886473801384</v>
      </c>
      <c r="BP16" s="197"/>
      <c r="BQ16" s="83"/>
      <c r="BR16" s="21">
        <v>5656.1888823082445</v>
      </c>
      <c r="BS16" s="201">
        <f t="shared" si="1"/>
        <v>-5656.1888823082445</v>
      </c>
      <c r="BT16" s="5"/>
      <c r="BU16" s="15"/>
      <c r="BV16" s="214"/>
      <c r="BW16" s="107">
        <v>20290.571272730263</v>
      </c>
      <c r="BX16" s="84">
        <f t="shared" si="2"/>
        <v>-20290.571272730263</v>
      </c>
      <c r="BY16" s="207"/>
      <c r="BZ16" s="83"/>
      <c r="CA16" s="107">
        <v>12659.694422849534</v>
      </c>
      <c r="CB16" s="215">
        <f t="shared" si="3"/>
        <v>-12659.694422849534</v>
      </c>
    </row>
    <row r="17" spans="1:92" ht="15" customHeight="1" thickBot="1" x14ac:dyDescent="0.4">
      <c r="A17" s="245">
        <v>7</v>
      </c>
      <c r="B17" s="49">
        <v>641.53</v>
      </c>
      <c r="C17" s="47">
        <f t="shared" ref="C17" si="154">IF(ISBLANK(B17),"",D17/$A17)</f>
        <v>625.45285714285717</v>
      </c>
      <c r="D17" s="163">
        <f t="shared" ref="D17" si="155">B17+D16</f>
        <v>4378.17</v>
      </c>
      <c r="E17" s="49">
        <v>331454</v>
      </c>
      <c r="F17" s="50">
        <f t="shared" ref="F17" si="156">IF(ISBLANK(E17),"",G17/$A17)</f>
        <v>344333.70199692779</v>
      </c>
      <c r="G17" s="163">
        <f t="shared" ref="G17" si="157">E17+G16</f>
        <v>2410335.9139784947</v>
      </c>
      <c r="H17" s="168"/>
      <c r="I17" s="49">
        <v>47350</v>
      </c>
      <c r="J17" s="50">
        <f t="shared" ref="J17" si="158">IF(ISBLANK(I17),"",K17/$A17)</f>
        <v>49857.981566820279</v>
      </c>
      <c r="K17" s="163">
        <f t="shared" ref="K17" si="159">I17+K16</f>
        <v>349005.87096774194</v>
      </c>
      <c r="L17" s="50">
        <f t="shared" ref="L17" si="160">IF(ISBLANK(I17),"",I17*0.5)</f>
        <v>23675</v>
      </c>
      <c r="M17" s="50">
        <f t="shared" ref="M17" si="161">IFERROR(J17*0.5,"")</f>
        <v>24928.99078341014</v>
      </c>
      <c r="N17" s="50">
        <f t="shared" ref="N17" si="162">K17*0.5</f>
        <v>174502.93548387097</v>
      </c>
      <c r="O17" s="49">
        <v>7631</v>
      </c>
      <c r="P17" s="50">
        <f t="shared" ref="P17" si="163">IF(ISBLANK(O17),"",Q17/$A17)</f>
        <v>4514.2596006144395</v>
      </c>
      <c r="Q17" s="163">
        <f t="shared" ref="Q17" si="164">O17+Q16</f>
        <v>31599.817204301075</v>
      </c>
      <c r="R17" s="50">
        <f t="shared" ref="R17" si="165">IF(ISBLANK(O17),"",O17*0.5)</f>
        <v>3815.5</v>
      </c>
      <c r="S17" s="50">
        <f t="shared" ref="S17" si="166">IFERROR(P17*0.5,"")</f>
        <v>2257.1298003072197</v>
      </c>
      <c r="T17" s="50">
        <f t="shared" ref="T17" si="167">Q17*0.5</f>
        <v>15799.908602150537</v>
      </c>
      <c r="U17" s="168"/>
      <c r="V17" s="49">
        <v>175.6</v>
      </c>
      <c r="W17" s="47">
        <f t="shared" ref="W17" si="168">IF(ISBLANK(V17),"",X17/$A17)</f>
        <v>170.98571428571427</v>
      </c>
      <c r="X17" s="163">
        <f t="shared" ref="X17" si="169">V17+X16</f>
        <v>1196.8999999999999</v>
      </c>
      <c r="Y17" s="169"/>
      <c r="Z17" s="170"/>
      <c r="AA17" s="171"/>
      <c r="AB17" s="172"/>
      <c r="AC17" s="49">
        <v>283.22000000000003</v>
      </c>
      <c r="AD17" s="50">
        <f t="shared" ref="AD17" si="170">IF(ISBLANK(AC17),"",AE17/$A17)</f>
        <v>288.47428571428571</v>
      </c>
      <c r="AE17" s="163">
        <f t="shared" ref="AE17" si="171">AC17+AE16</f>
        <v>2019.32</v>
      </c>
      <c r="AF17" s="49">
        <v>149661</v>
      </c>
      <c r="AG17" s="50">
        <f t="shared" ref="AG17" si="172">IF(ISBLANK(AF17),"",AH17/$A17)</f>
        <v>147731.42857142858</v>
      </c>
      <c r="AH17" s="51">
        <f t="shared" ref="AH17" si="173">AF17+AH16</f>
        <v>1034120</v>
      </c>
      <c r="AI17" s="50">
        <f t="shared" ref="AI17" si="174">IF(AF17*0.3172=0,"",AF17*0.1832)</f>
        <v>27417.895199999999</v>
      </c>
      <c r="AJ17" s="50">
        <f t="shared" ref="AJ17" si="175">IFERROR(AG17*0.1832,"")</f>
        <v>27064.397714285715</v>
      </c>
      <c r="AK17" s="50">
        <f t="shared" ref="AK17" si="176">AH17*0.1832</f>
        <v>189450.78400000001</v>
      </c>
      <c r="AL17" s="17"/>
      <c r="AM17" s="49">
        <v>133.55000000000001</v>
      </c>
      <c r="AN17" s="47">
        <f t="shared" ref="AN17" si="177">IF(ISBLANK(AM17),"",AO17/$A17)</f>
        <v>122.50999999999999</v>
      </c>
      <c r="AO17" s="163">
        <f t="shared" ref="AO17" si="178">AM17+AO16</f>
        <v>857.56999999999994</v>
      </c>
      <c r="AP17" s="49">
        <v>156520</v>
      </c>
      <c r="AQ17" s="50">
        <f t="shared" ref="AQ17" si="179">IF(ISBLANK(AP17),"",AR17/$A17)</f>
        <v>145432.32411674346</v>
      </c>
      <c r="AR17" s="51">
        <f t="shared" ref="AR17" si="180">AP17+AR16</f>
        <v>1018026.2688172042</v>
      </c>
      <c r="AS17" s="17"/>
      <c r="AT17" s="47">
        <f>borrador!G15/6.289</f>
        <v>773.0879313086341</v>
      </c>
      <c r="AU17" s="47">
        <f t="shared" ref="AU17" si="181">IF(ISBLANK(AT17),"",AV17/$A17)</f>
        <v>749.24130568112128</v>
      </c>
      <c r="AV17" s="51">
        <f t="shared" ref="AV17" si="182">AT17+AV16</f>
        <v>5244.6891397678492</v>
      </c>
      <c r="AW17" s="2"/>
      <c r="AX17" s="51">
        <f>borrador!H15/6.289</f>
        <v>399.14453808236601</v>
      </c>
      <c r="AY17" s="51">
        <f t="shared" ref="AY17" si="183">IF(ISBLANK(AX17),"",AZ17/$A17)</f>
        <v>399.53342570928834</v>
      </c>
      <c r="AZ17" s="51">
        <f t="shared" ref="AZ17" si="184">AX17+AZ16</f>
        <v>2796.7339799650185</v>
      </c>
      <c r="BA17" s="2"/>
      <c r="BB17" s="47">
        <f>borrador!E15/6.289</f>
        <v>0</v>
      </c>
      <c r="BC17" s="47">
        <f t="shared" ref="BC17" si="185">IF(ISBLANK(BB17),"",BD17/$A17)</f>
        <v>2.2858505781068987</v>
      </c>
      <c r="BD17" s="48">
        <f t="shared" ref="BD17" si="186">BB17+BD16</f>
        <v>16.000954046748291</v>
      </c>
      <c r="BE17" s="49">
        <f>borrador!F15*0.283*100</f>
        <v>0</v>
      </c>
      <c r="BF17" s="50">
        <f t="shared" ref="BF17" si="187">IF(ISBLANK(BE17),"",BG17/A17)</f>
        <v>60.707542857142855</v>
      </c>
      <c r="BG17" s="237">
        <f t="shared" ref="BG17" si="188">BE17+BG16</f>
        <v>424.95279999999997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</row>
    <row r="18" spans="1:92" ht="15" customHeight="1" thickBot="1" x14ac:dyDescent="0.4">
      <c r="A18" s="245">
        <v>8</v>
      </c>
      <c r="B18" s="49">
        <v>634.11</v>
      </c>
      <c r="C18" s="47">
        <f t="shared" ref="C18:C21" si="189">IF(ISBLANK(B18),"",D18/$A18)</f>
        <v>626.53499999999997</v>
      </c>
      <c r="D18" s="163">
        <f t="shared" ref="D18:D21" si="190">B18+D17</f>
        <v>5012.28</v>
      </c>
      <c r="E18" s="49">
        <v>334618.74688172049</v>
      </c>
      <c r="F18" s="50">
        <f t="shared" ref="F18:F20" si="191">IF(ISBLANK(E18),"",G18/$A18)</f>
        <v>343119.33260752691</v>
      </c>
      <c r="G18" s="163">
        <f t="shared" ref="G18:G20" si="192">E18+G17</f>
        <v>2744954.6608602153</v>
      </c>
      <c r="H18" s="168"/>
      <c r="I18" s="49">
        <v>48559.983870967742</v>
      </c>
      <c r="J18" s="50">
        <f t="shared" ref="J18:J20" si="193">IF(ISBLANK(I18),"",K18/$A18)</f>
        <v>49695.731854838712</v>
      </c>
      <c r="K18" s="163">
        <f t="shared" ref="K18:K20" si="194">I18+K17</f>
        <v>397565.8548387097</v>
      </c>
      <c r="L18" s="50">
        <f t="shared" ref="L18:L20" si="195">IF(ISBLANK(I18),"",I18*0.5)</f>
        <v>24279.991935483871</v>
      </c>
      <c r="M18" s="50">
        <f t="shared" ref="M18:M20" si="196">IFERROR(J18*0.5,"")</f>
        <v>24847.865927419356</v>
      </c>
      <c r="N18" s="50">
        <f t="shared" ref="N18:N20" si="197">K18*0.5</f>
        <v>198782.92741935485</v>
      </c>
      <c r="O18" s="49">
        <v>8929.9623655913983</v>
      </c>
      <c r="P18" s="50">
        <f t="shared" ref="P18:P20" si="198">IF(ISBLANK(O18),"",Q18/$A18)</f>
        <v>5066.2224462365593</v>
      </c>
      <c r="Q18" s="163">
        <f t="shared" ref="Q18:Q20" si="199">O18+Q17</f>
        <v>40529.779569892475</v>
      </c>
      <c r="R18" s="50">
        <f t="shared" ref="R18:R20" si="200">IF(ISBLANK(O18),"",O18*0.5)</f>
        <v>4464.9811827956992</v>
      </c>
      <c r="S18" s="50">
        <f t="shared" ref="S18:S20" si="201">IFERROR(P18*0.5,"")</f>
        <v>2533.1112231182797</v>
      </c>
      <c r="T18" s="50">
        <f t="shared" ref="T18:T20" si="202">Q18*0.5</f>
        <v>20264.889784946237</v>
      </c>
      <c r="U18" s="168"/>
      <c r="V18" s="49">
        <v>182.5</v>
      </c>
      <c r="W18" s="47">
        <f t="shared" ref="W18:W21" si="203">IF(ISBLANK(V18),"",X18/$A18)</f>
        <v>172.42499999999998</v>
      </c>
      <c r="X18" s="163">
        <f t="shared" ref="X18:X21" si="204">V18+X17</f>
        <v>1379.3999999999999</v>
      </c>
      <c r="Y18" s="169"/>
      <c r="Z18" s="170"/>
      <c r="AA18" s="171"/>
      <c r="AB18" s="172"/>
      <c r="AC18" s="49">
        <v>291.23</v>
      </c>
      <c r="AD18" s="50">
        <f t="shared" ref="AD18:AD19" si="205">IF(ISBLANK(AC18),"",AE18/$A18)</f>
        <v>288.81875000000002</v>
      </c>
      <c r="AE18" s="163">
        <f t="shared" ref="AE18:AE19" si="206">AC18+AE17</f>
        <v>2310.5500000000002</v>
      </c>
      <c r="AF18" s="49">
        <v>149957</v>
      </c>
      <c r="AG18" s="50">
        <f t="shared" ref="AG18:AG21" si="207">IF(ISBLANK(AF18),"",AH18/$A18)</f>
        <v>148009.625</v>
      </c>
      <c r="AH18" s="51">
        <f t="shared" ref="AH18:AH21" si="208">AF18+AH17</f>
        <v>1184077</v>
      </c>
      <c r="AI18" s="50">
        <f t="shared" ref="AI18:AI21" si="209">IF(AF18*0.3172=0,"",AF18*0.1832)</f>
        <v>27472.1224</v>
      </c>
      <c r="AJ18" s="50">
        <f t="shared" ref="AJ18:AJ21" si="210">IFERROR(AG18*0.1832,"")</f>
        <v>27115.363300000001</v>
      </c>
      <c r="AK18" s="50">
        <f t="shared" ref="AK18:AK21" si="211">AH18*0.1832</f>
        <v>216922.90640000001</v>
      </c>
      <c r="AL18" s="17"/>
      <c r="AM18" s="49">
        <v>124.91</v>
      </c>
      <c r="AN18" s="47">
        <f t="shared" ref="AN18:AN21" si="212">IF(ISBLANK(AM18),"",AO18/$A18)</f>
        <v>122.80999999999999</v>
      </c>
      <c r="AO18" s="163">
        <f t="shared" ref="AO18:AO21" si="213">AM18+AO17</f>
        <v>982.4799999999999</v>
      </c>
      <c r="AP18" s="49">
        <v>156078.29075268816</v>
      </c>
      <c r="AQ18" s="50">
        <f t="shared" ref="AQ18:AQ20" si="214">IF(ISBLANK(AP18),"",AR18/$A18)</f>
        <v>146763.06994623653</v>
      </c>
      <c r="AR18" s="51">
        <f t="shared" ref="AR18:AR20" si="215">AP18+AR17</f>
        <v>1174104.5595698922</v>
      </c>
      <c r="AS18" s="17"/>
      <c r="AT18" s="47">
        <f>borrador!G16/6.289</f>
        <v>771.80791858801081</v>
      </c>
      <c r="AU18" s="47">
        <f t="shared" ref="AU18:AU20" si="216">IF(ISBLANK(AT18),"",AV18/$A18)</f>
        <v>752.06213229448247</v>
      </c>
      <c r="AV18" s="51">
        <f t="shared" ref="AV18:AV20" si="217">AT18+AV17</f>
        <v>6016.4970583558597</v>
      </c>
      <c r="AW18" s="2"/>
      <c r="AX18" s="51">
        <f>borrador!H16/6.289</f>
        <v>398.85196374622359</v>
      </c>
      <c r="AY18" s="51">
        <f t="shared" ref="AY18:AY20" si="218">IF(ISBLANK(AX18),"",AZ18/$A18)</f>
        <v>399.44824296390527</v>
      </c>
      <c r="AZ18" s="51">
        <f t="shared" ref="AZ18:AZ20" si="219">AX18+AZ17</f>
        <v>3195.5859437112422</v>
      </c>
      <c r="BA18" s="2"/>
      <c r="BB18" s="47">
        <f>borrador!E16/6.289</f>
        <v>0</v>
      </c>
      <c r="BC18" s="47">
        <f t="shared" ref="BC18:BC20" si="220">IF(ISBLANK(BB18),"",BD18/$A18)</f>
        <v>2.0001192558435363</v>
      </c>
      <c r="BD18" s="48">
        <f t="shared" ref="BD18:BD20" si="221">BB18+BD17</f>
        <v>16.000954046748291</v>
      </c>
      <c r="BE18" s="49">
        <f>borrador!F16*0.283*100</f>
        <v>0</v>
      </c>
      <c r="BF18" s="50">
        <f t="shared" ref="BF18:BF20" si="222">IF(ISBLANK(BE18),"",BG18/A18)</f>
        <v>53.119099999999996</v>
      </c>
      <c r="BG18" s="237">
        <f t="shared" ref="BG18:BG20" si="223">BE18+BG17</f>
        <v>424.95279999999997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</row>
    <row r="19" spans="1:92" ht="15" customHeight="1" thickBot="1" x14ac:dyDescent="0.4">
      <c r="A19" s="245">
        <v>9</v>
      </c>
      <c r="B19" s="49">
        <v>595.27</v>
      </c>
      <c r="C19" s="47">
        <f t="shared" si="189"/>
        <v>623.06111111111102</v>
      </c>
      <c r="D19" s="163">
        <f t="shared" si="190"/>
        <v>5607.5499999999993</v>
      </c>
      <c r="E19" s="49">
        <v>338560.5778494624</v>
      </c>
      <c r="F19" s="50">
        <f t="shared" si="191"/>
        <v>342612.80430107535</v>
      </c>
      <c r="G19" s="163">
        <f t="shared" si="192"/>
        <v>3083515.2387096779</v>
      </c>
      <c r="H19" s="168"/>
      <c r="I19" s="49">
        <v>47311.779569892475</v>
      </c>
      <c r="J19" s="50">
        <f t="shared" si="193"/>
        <v>49430.848267622459</v>
      </c>
      <c r="K19" s="163">
        <f t="shared" si="194"/>
        <v>444877.63440860214</v>
      </c>
      <c r="L19" s="50">
        <f t="shared" si="195"/>
        <v>23655.889784946237</v>
      </c>
      <c r="M19" s="50">
        <f t="shared" si="196"/>
        <v>24715.42413381123</v>
      </c>
      <c r="N19" s="50">
        <f t="shared" si="197"/>
        <v>222438.81720430107</v>
      </c>
      <c r="O19" s="49">
        <v>14300.403225806451</v>
      </c>
      <c r="P19" s="50">
        <f t="shared" si="198"/>
        <v>6092.2425328554364</v>
      </c>
      <c r="Q19" s="163">
        <f t="shared" si="199"/>
        <v>54830.182795698929</v>
      </c>
      <c r="R19" s="50">
        <f t="shared" si="200"/>
        <v>7150.2016129032254</v>
      </c>
      <c r="S19" s="50">
        <f t="shared" si="201"/>
        <v>3046.1212664277182</v>
      </c>
      <c r="T19" s="50">
        <f t="shared" si="202"/>
        <v>27415.091397849465</v>
      </c>
      <c r="U19" s="168"/>
      <c r="V19" s="49">
        <v>180.4</v>
      </c>
      <c r="W19" s="47">
        <f t="shared" si="203"/>
        <v>173.3111111111111</v>
      </c>
      <c r="X19" s="163">
        <f t="shared" si="204"/>
        <v>1559.8</v>
      </c>
      <c r="Y19" s="169"/>
      <c r="Z19" s="170"/>
      <c r="AA19" s="171"/>
      <c r="AB19" s="172"/>
      <c r="AC19" s="49">
        <v>194.77</v>
      </c>
      <c r="AD19" s="50">
        <f t="shared" si="205"/>
        <v>278.36888888888893</v>
      </c>
      <c r="AE19" s="163">
        <f t="shared" si="206"/>
        <v>2505.3200000000002</v>
      </c>
      <c r="AF19" s="49">
        <v>140539</v>
      </c>
      <c r="AG19" s="50">
        <f t="shared" si="207"/>
        <v>147179.55555555556</v>
      </c>
      <c r="AH19" s="51">
        <f t="shared" si="208"/>
        <v>1324616</v>
      </c>
      <c r="AI19" s="50">
        <f t="shared" si="209"/>
        <v>25746.7448</v>
      </c>
      <c r="AJ19" s="50">
        <f t="shared" si="210"/>
        <v>26963.294577777779</v>
      </c>
      <c r="AK19" s="50">
        <f t="shared" si="211"/>
        <v>242669.65119999999</v>
      </c>
      <c r="AL19" s="17"/>
      <c r="AM19" s="49">
        <v>122.55</v>
      </c>
      <c r="AN19" s="47">
        <f t="shared" si="212"/>
        <v>122.7811111111111</v>
      </c>
      <c r="AO19" s="163">
        <f t="shared" si="213"/>
        <v>1105.03</v>
      </c>
      <c r="AP19" s="49">
        <v>147998.01892473118</v>
      </c>
      <c r="AQ19" s="50">
        <f t="shared" si="214"/>
        <v>146900.2864994026</v>
      </c>
      <c r="AR19" s="51">
        <f t="shared" si="215"/>
        <v>1322102.5784946233</v>
      </c>
      <c r="AS19" s="17"/>
      <c r="AT19" s="47">
        <f>borrador!G17/6.289</f>
        <v>788.22706312609319</v>
      </c>
      <c r="AU19" s="47">
        <f t="shared" si="216"/>
        <v>756.08045794243924</v>
      </c>
      <c r="AV19" s="51">
        <f t="shared" si="217"/>
        <v>6804.7241214819533</v>
      </c>
      <c r="AW19" s="2"/>
      <c r="AX19" s="51">
        <f>borrador!H17/6.289</f>
        <v>396.31578947368422</v>
      </c>
      <c r="AY19" s="51">
        <f t="shared" si="218"/>
        <v>399.10019257610293</v>
      </c>
      <c r="AZ19" s="51">
        <f t="shared" si="219"/>
        <v>3591.9017331849263</v>
      </c>
      <c r="BA19" s="2"/>
      <c r="BB19" s="47">
        <f>borrador!E17/6.289</f>
        <v>0</v>
      </c>
      <c r="BC19" s="47">
        <f t="shared" si="220"/>
        <v>1.7778837829720322</v>
      </c>
      <c r="BD19" s="48">
        <f t="shared" si="221"/>
        <v>16.000954046748291</v>
      </c>
      <c r="BE19" s="49">
        <f>borrador!F17*0.283*100</f>
        <v>0</v>
      </c>
      <c r="BF19" s="50">
        <f t="shared" si="222"/>
        <v>47.216977777777771</v>
      </c>
      <c r="BG19" s="237">
        <f t="shared" si="223"/>
        <v>424.95279999999997</v>
      </c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</row>
    <row r="20" spans="1:92" ht="15" customHeight="1" thickBot="1" x14ac:dyDescent="0.4">
      <c r="A20" s="244">
        <v>10</v>
      </c>
      <c r="B20" s="49">
        <v>602.74</v>
      </c>
      <c r="C20" s="47">
        <f t="shared" si="189"/>
        <v>621.02899999999988</v>
      </c>
      <c r="D20" s="163">
        <f t="shared" si="190"/>
        <v>6210.2899999999991</v>
      </c>
      <c r="E20" s="49">
        <v>337651.65376344085</v>
      </c>
      <c r="F20" s="50">
        <f t="shared" si="191"/>
        <v>342116.68924731191</v>
      </c>
      <c r="G20" s="163">
        <f t="shared" si="192"/>
        <v>3421166.8924731188</v>
      </c>
      <c r="H20" s="168"/>
      <c r="I20" s="49">
        <v>48064.236559139783</v>
      </c>
      <c r="J20" s="50">
        <f t="shared" si="193"/>
        <v>49294.187096774192</v>
      </c>
      <c r="K20" s="163">
        <f t="shared" si="194"/>
        <v>492941.87096774194</v>
      </c>
      <c r="L20" s="50">
        <f t="shared" si="195"/>
        <v>24032.118279569891</v>
      </c>
      <c r="M20" s="50">
        <f t="shared" si="196"/>
        <v>24647.093548387096</v>
      </c>
      <c r="N20" s="50">
        <f t="shared" si="197"/>
        <v>246470.93548387097</v>
      </c>
      <c r="O20" s="49">
        <v>15849.032258064517</v>
      </c>
      <c r="P20" s="50">
        <f t="shared" si="198"/>
        <v>7067.9215053763446</v>
      </c>
      <c r="Q20" s="163">
        <f t="shared" si="199"/>
        <v>70679.215053763444</v>
      </c>
      <c r="R20" s="50">
        <f t="shared" si="200"/>
        <v>7924.5161290322585</v>
      </c>
      <c r="S20" s="50">
        <f t="shared" si="201"/>
        <v>3533.9607526881723</v>
      </c>
      <c r="T20" s="50">
        <f t="shared" si="202"/>
        <v>35339.607526881722</v>
      </c>
      <c r="U20" s="168"/>
      <c r="V20" s="49">
        <v>182.5</v>
      </c>
      <c r="W20" s="47">
        <f t="shared" si="203"/>
        <v>174.23</v>
      </c>
      <c r="X20" s="163">
        <f t="shared" si="204"/>
        <v>1742.3</v>
      </c>
      <c r="Y20" s="169"/>
      <c r="Z20" s="170"/>
      <c r="AA20" s="171"/>
      <c r="AB20" s="172"/>
      <c r="AC20" s="49">
        <v>282.52999999999997</v>
      </c>
      <c r="AD20" s="50">
        <f t="shared" ref="AD20:AD21" si="224">IF(ISBLANK(AC20),"",AE20/$A20)</f>
        <v>278.78500000000003</v>
      </c>
      <c r="AE20" s="163">
        <f t="shared" ref="AE20:AE21" si="225">AC20+AE19</f>
        <v>2787.8500000000004</v>
      </c>
      <c r="AF20" s="49">
        <v>137646</v>
      </c>
      <c r="AG20" s="50">
        <f t="shared" si="207"/>
        <v>146226.20000000001</v>
      </c>
      <c r="AH20" s="51">
        <f t="shared" si="208"/>
        <v>1462262</v>
      </c>
      <c r="AI20" s="50">
        <f t="shared" si="209"/>
        <v>25216.747200000002</v>
      </c>
      <c r="AJ20" s="50">
        <f t="shared" si="210"/>
        <v>26788.639840000003</v>
      </c>
      <c r="AK20" s="50">
        <f t="shared" si="211"/>
        <v>267886.39840000001</v>
      </c>
      <c r="AL20" s="17"/>
      <c r="AM20" s="49">
        <v>115.73</v>
      </c>
      <c r="AN20" s="47">
        <f t="shared" si="212"/>
        <v>122.07599999999999</v>
      </c>
      <c r="AO20" s="163">
        <f t="shared" si="213"/>
        <v>1220.76</v>
      </c>
      <c r="AP20" s="49">
        <v>154742.31397849461</v>
      </c>
      <c r="AQ20" s="50">
        <f t="shared" si="214"/>
        <v>147684.48924731178</v>
      </c>
      <c r="AR20" s="51">
        <f t="shared" si="215"/>
        <v>1476844.8924731179</v>
      </c>
      <c r="AS20" s="17"/>
      <c r="AT20" s="47">
        <f>borrador!G18/6.289</f>
        <v>782.5838766099539</v>
      </c>
      <c r="AU20" s="47">
        <f t="shared" si="216"/>
        <v>758.73079980919078</v>
      </c>
      <c r="AV20" s="51">
        <f t="shared" si="217"/>
        <v>7587.3079980919074</v>
      </c>
      <c r="AW20" s="2"/>
      <c r="AX20" s="51">
        <f>borrador!H18/6.289</f>
        <v>394.87517888376533</v>
      </c>
      <c r="AY20" s="51">
        <f t="shared" si="218"/>
        <v>398.67769120686916</v>
      </c>
      <c r="AZ20" s="51">
        <f t="shared" si="219"/>
        <v>3986.7769120686917</v>
      </c>
      <c r="BA20" s="2"/>
      <c r="BB20" s="47">
        <f>borrador!E18/6.289</f>
        <v>0</v>
      </c>
      <c r="BC20" s="47">
        <f t="shared" si="220"/>
        <v>1.600095404674829</v>
      </c>
      <c r="BD20" s="48">
        <f t="shared" si="221"/>
        <v>16.000954046748291</v>
      </c>
      <c r="BE20" s="49">
        <f>borrador!F18*0.283*100</f>
        <v>0</v>
      </c>
      <c r="BF20" s="50">
        <f t="shared" si="222"/>
        <v>42.495279999999994</v>
      </c>
      <c r="BG20" s="237">
        <f t="shared" si="223"/>
        <v>424.95279999999997</v>
      </c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</row>
    <row r="21" spans="1:92" ht="15" customHeight="1" thickBot="1" x14ac:dyDescent="0.4">
      <c r="A21" s="243">
        <v>11</v>
      </c>
      <c r="B21" s="49">
        <v>582.88</v>
      </c>
      <c r="C21" s="47">
        <f t="shared" si="189"/>
        <v>617.56090909090904</v>
      </c>
      <c r="D21" s="163">
        <f t="shared" si="190"/>
        <v>6793.1699999999992</v>
      </c>
      <c r="E21" s="49">
        <v>335123.57913978491</v>
      </c>
      <c r="F21" s="50">
        <f t="shared" ref="F21" si="226">IF(ISBLANK(E21),"",G21/$A21)</f>
        <v>341480.95196480944</v>
      </c>
      <c r="G21" s="163">
        <f t="shared" ref="G21" si="227">E21+G20</f>
        <v>3756290.4716129038</v>
      </c>
      <c r="H21" s="168"/>
      <c r="I21" s="49">
        <v>46894.161290322583</v>
      </c>
      <c r="J21" s="50">
        <f t="shared" ref="J21" si="228">IF(ISBLANK(I21),"",K21/$A21)</f>
        <v>49076.002932551317</v>
      </c>
      <c r="K21" s="163">
        <f t="shared" ref="K21" si="229">I21+K20</f>
        <v>539836.03225806449</v>
      </c>
      <c r="L21" s="50">
        <f t="shared" ref="L21" si="230">IF(ISBLANK(I21),"",I21*0.5)</f>
        <v>23447.080645161292</v>
      </c>
      <c r="M21" s="50">
        <f t="shared" ref="M21" si="231">IFERROR(J21*0.5,"")</f>
        <v>24538.001466275658</v>
      </c>
      <c r="N21" s="50">
        <f t="shared" ref="N21" si="232">K21*0.5</f>
        <v>269918.01612903224</v>
      </c>
      <c r="O21" s="49">
        <v>8637.9086021505373</v>
      </c>
      <c r="P21" s="50">
        <f t="shared" ref="P21" si="233">IF(ISBLANK(O21),"",Q21/$A21)</f>
        <v>7210.6476050830888</v>
      </c>
      <c r="Q21" s="163">
        <f t="shared" ref="Q21" si="234">O21+Q20</f>
        <v>79317.12365591398</v>
      </c>
      <c r="R21" s="50">
        <f t="shared" ref="R21" si="235">IF(ISBLANK(O21),"",O21*0.5)</f>
        <v>4318.9543010752686</v>
      </c>
      <c r="S21" s="50">
        <f t="shared" ref="S21" si="236">IFERROR(P21*0.5,"")</f>
        <v>3605.3238025415444</v>
      </c>
      <c r="T21" s="50">
        <f t="shared" ref="T21" si="237">Q21*0.5</f>
        <v>39658.56182795699</v>
      </c>
      <c r="U21" s="168"/>
      <c r="V21" s="49">
        <v>182.8</v>
      </c>
      <c r="W21" s="47">
        <f t="shared" si="203"/>
        <v>175.0090909090909</v>
      </c>
      <c r="X21" s="163">
        <f t="shared" si="204"/>
        <v>1925.1</v>
      </c>
      <c r="Y21" s="169"/>
      <c r="Z21" s="170"/>
      <c r="AA21" s="171"/>
      <c r="AB21" s="172"/>
      <c r="AC21" s="49">
        <v>282.42</v>
      </c>
      <c r="AD21" s="50">
        <f t="shared" si="224"/>
        <v>279.11545454545461</v>
      </c>
      <c r="AE21" s="163">
        <f t="shared" si="225"/>
        <v>3070.2700000000004</v>
      </c>
      <c r="AF21" s="49">
        <v>141402</v>
      </c>
      <c r="AG21" s="50">
        <f t="shared" si="207"/>
        <v>145787.63636363635</v>
      </c>
      <c r="AH21" s="51">
        <f t="shared" si="208"/>
        <v>1603664</v>
      </c>
      <c r="AI21" s="50">
        <f t="shared" si="209"/>
        <v>25904.846399999999</v>
      </c>
      <c r="AJ21" s="50">
        <f t="shared" si="210"/>
        <v>26708.294981818181</v>
      </c>
      <c r="AK21" s="50">
        <f t="shared" si="211"/>
        <v>293791.24479999999</v>
      </c>
      <c r="AL21" s="17"/>
      <c r="AM21" s="49">
        <v>111.89</v>
      </c>
      <c r="AN21" s="47">
        <f t="shared" si="212"/>
        <v>121.15</v>
      </c>
      <c r="AO21" s="163">
        <f t="shared" si="213"/>
        <v>1332.65</v>
      </c>
      <c r="AP21" s="49">
        <v>154573.51225806453</v>
      </c>
      <c r="AQ21" s="50">
        <f t="shared" ref="AQ21" si="238">IF(ISBLANK(AP21),"",AR21/$A21)</f>
        <v>148310.76406647114</v>
      </c>
      <c r="AR21" s="51">
        <f t="shared" ref="AR21" si="239">AP21+AR20</f>
        <v>1631418.4047311824</v>
      </c>
      <c r="AS21" s="17"/>
      <c r="AT21" s="47">
        <f>borrador!G19/6.289</f>
        <v>775.7020193989506</v>
      </c>
      <c r="AU21" s="47">
        <f t="shared" ref="AU21" si="240">IF(ISBLANK(AT21),"",AV21/$A21)</f>
        <v>760.27363795371446</v>
      </c>
      <c r="AV21" s="51">
        <f t="shared" ref="AV21" si="241">AT21+AV20</f>
        <v>8363.0100174908584</v>
      </c>
      <c r="AW21" s="2"/>
      <c r="AX21" s="51">
        <f>borrador!H19/6.289</f>
        <v>381.6648115757672</v>
      </c>
      <c r="AY21" s="51">
        <f t="shared" ref="AY21" si="242">IF(ISBLANK(AX21),"",AZ21/$A21)</f>
        <v>397.1310657858599</v>
      </c>
      <c r="AZ21" s="51">
        <f t="shared" ref="AZ21" si="243">AX21+AZ20</f>
        <v>4368.4417236444588</v>
      </c>
      <c r="BA21" s="2"/>
      <c r="BB21" s="47">
        <f>borrador!E19/6.289</f>
        <v>5.9786929559548421</v>
      </c>
      <c r="BC21" s="47">
        <f t="shared" ref="BC21" si="244">IF(ISBLANK(BB21),"",BD21/$A21)</f>
        <v>1.9981497275184665</v>
      </c>
      <c r="BD21" s="48">
        <f t="shared" ref="BD21" si="245">BB21+BD20</f>
        <v>21.979647002703132</v>
      </c>
      <c r="BE21" s="49">
        <f>borrador!F19*0.283*100</f>
        <v>108.1626</v>
      </c>
      <c r="BF21" s="50">
        <f t="shared" ref="BF21" si="246">IF(ISBLANK(BE21),"",BG21/A21)</f>
        <v>48.465036363636358</v>
      </c>
      <c r="BG21" s="237">
        <f t="shared" ref="BG21" si="247">BE21+BG20</f>
        <v>533.11539999999991</v>
      </c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</row>
    <row r="22" spans="1:92" ht="15" customHeight="1" thickBot="1" x14ac:dyDescent="0.4">
      <c r="A22" s="243">
        <v>12</v>
      </c>
      <c r="B22" s="49">
        <v>619.23</v>
      </c>
      <c r="C22" s="47">
        <f t="shared" ref="C22" si="248">IF(ISBLANK(B22),"",D22/$A22)</f>
        <v>617.69999999999993</v>
      </c>
      <c r="D22" s="163">
        <f t="shared" ref="D22" si="249">B22+D21</f>
        <v>7412.4</v>
      </c>
      <c r="E22" s="49">
        <v>341335.07548387098</v>
      </c>
      <c r="F22" s="50">
        <f t="shared" ref="F22" si="250">IF(ISBLANK(E22),"",G22/$A22)</f>
        <v>341468.79559139791</v>
      </c>
      <c r="G22" s="163">
        <f t="shared" ref="G22" si="251">E22+G21</f>
        <v>4097625.5470967749</v>
      </c>
      <c r="H22" s="168"/>
      <c r="I22" s="49">
        <v>47881.93548387097</v>
      </c>
      <c r="J22" s="50">
        <f t="shared" ref="J22" si="252">IF(ISBLANK(I22),"",K22/$A22)</f>
        <v>48976.497311827959</v>
      </c>
      <c r="K22" s="163">
        <f t="shared" ref="K22" si="253">I22+K21</f>
        <v>587717.96774193551</v>
      </c>
      <c r="L22" s="50">
        <f t="shared" ref="L22" si="254">IF(ISBLANK(I22),"",I22*0.5)</f>
        <v>23940.967741935485</v>
      </c>
      <c r="M22" s="50">
        <f t="shared" ref="M22" si="255">IFERROR(J22*0.5,"")</f>
        <v>24488.24865591398</v>
      </c>
      <c r="N22" s="50">
        <f t="shared" ref="N22" si="256">K22*0.5</f>
        <v>293858.98387096776</v>
      </c>
      <c r="O22" s="49">
        <v>9207.1344086021509</v>
      </c>
      <c r="P22" s="50">
        <f t="shared" ref="P22" si="257">IF(ISBLANK(O22),"",Q22/$A22)</f>
        <v>7377.021505376345</v>
      </c>
      <c r="Q22" s="163">
        <f t="shared" ref="Q22" si="258">O22+Q21</f>
        <v>88524.258064516136</v>
      </c>
      <c r="R22" s="50">
        <f t="shared" ref="R22" si="259">IF(ISBLANK(O22),"",O22*0.5)</f>
        <v>4603.5672043010754</v>
      </c>
      <c r="S22" s="50">
        <f t="shared" ref="S22" si="260">IFERROR(P22*0.5,"")</f>
        <v>3688.5107526881725</v>
      </c>
      <c r="T22" s="50">
        <f t="shared" ref="T22" si="261">Q22*0.5</f>
        <v>44262.129032258068</v>
      </c>
      <c r="U22" s="168"/>
      <c r="V22" s="49">
        <v>188</v>
      </c>
      <c r="W22" s="47">
        <f t="shared" ref="W22" si="262">IF(ISBLANK(V22),"",X22/$A22)</f>
        <v>176.09166666666667</v>
      </c>
      <c r="X22" s="163">
        <f t="shared" ref="X22" si="263">V22+X21</f>
        <v>2113.1</v>
      </c>
      <c r="Y22" s="169"/>
      <c r="Z22" s="170"/>
      <c r="AA22" s="171"/>
      <c r="AB22" s="172"/>
      <c r="AC22" s="49">
        <v>289.39</v>
      </c>
      <c r="AD22" s="50">
        <f t="shared" ref="AD22" si="264">IF(ISBLANK(AC22),"",AE22/$A22)</f>
        <v>279.97166666666669</v>
      </c>
      <c r="AE22" s="163">
        <f t="shared" ref="AE22" si="265">AC22+AE21</f>
        <v>3359.6600000000003</v>
      </c>
      <c r="AF22" s="49">
        <v>139157</v>
      </c>
      <c r="AG22" s="50">
        <f t="shared" ref="AG22" si="266">IF(ISBLANK(AF22),"",AH22/$A22)</f>
        <v>145235.08333333334</v>
      </c>
      <c r="AH22" s="51">
        <f t="shared" ref="AH22" si="267">AF22+AH21</f>
        <v>1742821</v>
      </c>
      <c r="AI22" s="50">
        <f t="shared" ref="AI22" si="268">IF(AF22*0.3172=0,"",AF22*0.1832)</f>
        <v>25493.562399999999</v>
      </c>
      <c r="AJ22" s="50">
        <f t="shared" ref="AJ22" si="269">IFERROR(AG22*0.1832,"")</f>
        <v>26607.067266666669</v>
      </c>
      <c r="AK22" s="50">
        <f t="shared" ref="AK22" si="270">AH22*0.1832</f>
        <v>319284.80719999998</v>
      </c>
      <c r="AL22" s="17"/>
      <c r="AM22" s="49">
        <v>120.62</v>
      </c>
      <c r="AN22" s="47">
        <f t="shared" ref="AN22" si="271">IF(ISBLANK(AM22),"",AO22/$A22)</f>
        <v>121.10583333333334</v>
      </c>
      <c r="AO22" s="163">
        <f t="shared" ref="AO22" si="272">AM22+AO21</f>
        <v>1453.27</v>
      </c>
      <c r="AP22" s="49">
        <v>154465.79010752687</v>
      </c>
      <c r="AQ22" s="50">
        <f t="shared" ref="AQ22" si="273">IF(ISBLANK(AP22),"",AR22/$A22)</f>
        <v>148823.68290322577</v>
      </c>
      <c r="AR22" s="51">
        <f t="shared" ref="AR22" si="274">AP22+AR21</f>
        <v>1785884.1948387092</v>
      </c>
      <c r="AS22" s="17"/>
      <c r="AT22" s="47">
        <f>borrador!G20/6.289</f>
        <v>774.95150262362858</v>
      </c>
      <c r="AU22" s="47">
        <f t="shared" ref="AU22" si="275">IF(ISBLANK(AT22),"",AV22/$A22)</f>
        <v>761.49679334287396</v>
      </c>
      <c r="AV22" s="51">
        <f t="shared" ref="AV22" si="276">AT22+AV21</f>
        <v>9137.9615201144879</v>
      </c>
      <c r="AW22" s="2"/>
      <c r="AX22" s="51">
        <f>borrador!H20/6.289</f>
        <v>393.43615837176026</v>
      </c>
      <c r="AY22" s="51">
        <f t="shared" ref="AY22" si="277">IF(ISBLANK(AX22),"",AZ22/$A22)</f>
        <v>396.82315683468488</v>
      </c>
      <c r="AZ22" s="51">
        <f t="shared" ref="AZ22" si="278">AX22+AZ21</f>
        <v>4761.8778820162188</v>
      </c>
      <c r="BA22" s="2"/>
      <c r="BB22" s="47">
        <f>borrador!E20/6.289</f>
        <v>6.8341548735888056</v>
      </c>
      <c r="BC22" s="47">
        <f t="shared" ref="BC22" si="279">IF(ISBLANK(BB22),"",BD22/$A22)</f>
        <v>2.4011501563576614</v>
      </c>
      <c r="BD22" s="48">
        <f t="shared" ref="BD22" si="280">BB22+BD21</f>
        <v>28.813801876291937</v>
      </c>
      <c r="BE22" s="49">
        <f>borrador!F20*0.283*100</f>
        <v>255.57729999999998</v>
      </c>
      <c r="BF22" s="50">
        <f t="shared" ref="BF22" si="281">IF(ISBLANK(BE22),"",BG22/A22)</f>
        <v>65.724391666666648</v>
      </c>
      <c r="BG22" s="237">
        <f t="shared" ref="BG22" si="282">BE22+BG21</f>
        <v>788.69269999999983</v>
      </c>
      <c r="BJ22" s="8"/>
      <c r="CE22" s="226"/>
    </row>
    <row r="23" spans="1:92" ht="15" customHeight="1" thickBot="1" x14ac:dyDescent="0.4">
      <c r="A23" s="243">
        <v>13</v>
      </c>
      <c r="B23" s="49">
        <v>601.28</v>
      </c>
      <c r="C23" s="47">
        <f t="shared" ref="C23" si="283">IF(ISBLANK(B23),"",D23/$A23)</f>
        <v>616.43692307692299</v>
      </c>
      <c r="D23" s="163">
        <f t="shared" ref="D23" si="284">B23+D22</f>
        <v>8013.6799999999994</v>
      </c>
      <c r="E23" s="49">
        <v>355878.4627956989</v>
      </c>
      <c r="F23" s="50">
        <f t="shared" ref="F23" si="285">IF(ISBLANK(E23),"",G23/$A23)</f>
        <v>342577.23153019033</v>
      </c>
      <c r="G23" s="163">
        <f t="shared" ref="G23" si="286">E23+G22</f>
        <v>4453504.0098924739</v>
      </c>
      <c r="H23" s="168"/>
      <c r="I23" s="49">
        <v>47980.526881720427</v>
      </c>
      <c r="J23" s="50">
        <f t="shared" ref="J23" si="287">IF(ISBLANK(I23),"",K23/$A23)</f>
        <v>48899.884201819688</v>
      </c>
      <c r="K23" s="163">
        <f t="shared" ref="K23" si="288">I23+K22</f>
        <v>635698.49462365592</v>
      </c>
      <c r="L23" s="50">
        <f t="shared" ref="L23" si="289">IF(ISBLANK(I23),"",I23*0.5)</f>
        <v>23990.263440860213</v>
      </c>
      <c r="M23" s="50">
        <f t="shared" ref="M23" si="290">IFERROR(J23*0.5,"")</f>
        <v>24449.942100909844</v>
      </c>
      <c r="N23" s="50">
        <f t="shared" ref="N23" si="291">K23*0.5</f>
        <v>317849.24731182796</v>
      </c>
      <c r="O23" s="49">
        <v>7636.1827956989246</v>
      </c>
      <c r="P23" s="50">
        <f t="shared" ref="P23" si="292">IF(ISBLANK(O23),"",Q23/$A23)</f>
        <v>7396.9569892473128</v>
      </c>
      <c r="Q23" s="163">
        <f t="shared" ref="Q23" si="293">O23+Q22</f>
        <v>96160.440860215065</v>
      </c>
      <c r="R23" s="50">
        <f t="shared" ref="R23" si="294">IF(ISBLANK(O23),"",O23*0.5)</f>
        <v>3818.0913978494623</v>
      </c>
      <c r="S23" s="50">
        <f t="shared" ref="S23" si="295">IFERROR(P23*0.5,"")</f>
        <v>3698.4784946236564</v>
      </c>
      <c r="T23" s="50">
        <f t="shared" ref="T23" si="296">Q23*0.5</f>
        <v>48080.220430107533</v>
      </c>
      <c r="U23" s="168"/>
      <c r="V23" s="49">
        <v>188.6</v>
      </c>
      <c r="W23" s="47">
        <f t="shared" ref="W23" si="297">IF(ISBLANK(V23),"",X23/$A23)</f>
        <v>177.05384615384614</v>
      </c>
      <c r="X23" s="163">
        <f t="shared" ref="X23" si="298">V23+X22</f>
        <v>2301.6999999999998</v>
      </c>
      <c r="Y23" s="169"/>
      <c r="Z23" s="170"/>
      <c r="AA23" s="171"/>
      <c r="AB23" s="172"/>
      <c r="AC23" s="49">
        <v>298.77999999999997</v>
      </c>
      <c r="AD23" s="50">
        <f t="shared" ref="AD23" si="299">IF(ISBLANK(AC23),"",AE23/$A23)</f>
        <v>281.4184615384616</v>
      </c>
      <c r="AE23" s="163">
        <f t="shared" ref="AE23" si="300">AC23+AE22</f>
        <v>3658.4400000000005</v>
      </c>
      <c r="AF23" s="49">
        <v>143215</v>
      </c>
      <c r="AG23" s="50">
        <f t="shared" ref="AG23" si="301">IF(ISBLANK(AF23),"",AH23/$A23)</f>
        <v>145079.69230769231</v>
      </c>
      <c r="AH23" s="51">
        <f t="shared" ref="AH23" si="302">AF23+AH22</f>
        <v>1886036</v>
      </c>
      <c r="AI23" s="50">
        <f t="shared" ref="AI23" si="303">IF(AF23*0.3172=0,"",AF23*0.1832)</f>
        <v>26236.988000000001</v>
      </c>
      <c r="AJ23" s="50">
        <f t="shared" ref="AJ23" si="304">IFERROR(AG23*0.1832,"")</f>
        <v>26578.599630769233</v>
      </c>
      <c r="AK23" s="50">
        <f t="shared" ref="AK23" si="305">AH23*0.1832</f>
        <v>345521.79519999999</v>
      </c>
      <c r="AL23" s="17"/>
      <c r="AM23" s="49">
        <v>134.29</v>
      </c>
      <c r="AN23" s="47">
        <f t="shared" ref="AN23" si="306">IF(ISBLANK(AM23),"",AO23/$A23)</f>
        <v>122.11999999999999</v>
      </c>
      <c r="AO23" s="163">
        <f t="shared" ref="AO23" si="307">AM23+AO22</f>
        <v>1587.56</v>
      </c>
      <c r="AP23" s="49">
        <v>155094.35440860214</v>
      </c>
      <c r="AQ23" s="50">
        <f t="shared" ref="AQ23" si="308">IF(ISBLANK(AP23),"",AR23/$A23)</f>
        <v>149306.04224979319</v>
      </c>
      <c r="AR23" s="51">
        <f t="shared" ref="AR23" si="309">AP23+AR22</f>
        <v>1940978.5492473114</v>
      </c>
      <c r="AS23" s="17"/>
      <c r="AT23" s="47">
        <f>borrador!G21/6.289</f>
        <v>774.3822547304818</v>
      </c>
      <c r="AU23" s="47">
        <f t="shared" ref="AU23" si="310">IF(ISBLANK(AT23),"",AV23/$A23)</f>
        <v>762.4879826803824</v>
      </c>
      <c r="AV23" s="51">
        <f t="shared" ref="AV23" si="311">AT23+AV22</f>
        <v>9912.3437748449705</v>
      </c>
      <c r="AW23" s="2"/>
      <c r="AX23" s="51">
        <f>borrador!H21/6.289</f>
        <v>392.45031006519321</v>
      </c>
      <c r="AY23" s="51">
        <f t="shared" ref="AY23" si="312">IF(ISBLANK(AX23),"",AZ23/$A23)</f>
        <v>396.48678400626244</v>
      </c>
      <c r="AZ23" s="51">
        <f t="shared" ref="AZ23" si="313">AX23+AZ22</f>
        <v>5154.3281920814115</v>
      </c>
      <c r="BA23" s="2"/>
      <c r="BB23" s="47">
        <f>borrador!E21/6.289</f>
        <v>7.6387342979806014</v>
      </c>
      <c r="BC23" s="47">
        <f t="shared" ref="BC23" si="314">IF(ISBLANK(BB23),"",BD23/$A23)</f>
        <v>2.8040412441748108</v>
      </c>
      <c r="BD23" s="48">
        <f t="shared" ref="BD23" si="315">BB23+BD22</f>
        <v>36.452536174272538</v>
      </c>
      <c r="BE23" s="49">
        <f>borrador!F21*0.283*100</f>
        <v>269.67069999999995</v>
      </c>
      <c r="BF23" s="50">
        <f t="shared" ref="BF23" si="316">IF(ISBLANK(BE23),"",BG23/A23)</f>
        <v>81.412569230769208</v>
      </c>
      <c r="BG23" s="237">
        <f t="shared" ref="BG23" si="317">BE23+BG22</f>
        <v>1058.3633999999997</v>
      </c>
      <c r="BI23" s="311" t="s">
        <v>117</v>
      </c>
      <c r="BJ23" s="312"/>
      <c r="BK23" s="312"/>
      <c r="BL23" s="312"/>
      <c r="BM23" s="312"/>
      <c r="BN23" s="312"/>
      <c r="BO23" s="312"/>
      <c r="BP23" s="312"/>
      <c r="BQ23" s="312"/>
      <c r="BR23" s="312"/>
      <c r="BS23" s="312"/>
      <c r="BT23" s="313"/>
      <c r="BU23" s="59"/>
      <c r="BV23" s="339" t="s">
        <v>120</v>
      </c>
      <c r="BW23" s="340"/>
      <c r="BX23" s="340"/>
      <c r="BY23" s="340"/>
      <c r="BZ23" s="340"/>
      <c r="CA23" s="340"/>
      <c r="CB23" s="341"/>
    </row>
    <row r="24" spans="1:92" ht="15" customHeight="1" thickBot="1" x14ac:dyDescent="0.4">
      <c r="A24" s="243">
        <v>14</v>
      </c>
      <c r="B24" s="49">
        <v>617.74</v>
      </c>
      <c r="C24" s="47">
        <f t="shared" ref="C24" si="318">IF(ISBLANK(B24),"",D24/$A24)</f>
        <v>616.53</v>
      </c>
      <c r="D24" s="163">
        <f t="shared" ref="D24" si="319">B24+D23</f>
        <v>8631.42</v>
      </c>
      <c r="E24" s="49">
        <v>345833.25870967738</v>
      </c>
      <c r="F24" s="50">
        <f t="shared" ref="F24" si="320">IF(ISBLANK(E24),"",G24/$A24)</f>
        <v>342809.80490015366</v>
      </c>
      <c r="G24" s="163">
        <f t="shared" ref="G24" si="321">E24+G23</f>
        <v>4799337.2686021514</v>
      </c>
      <c r="H24" s="168"/>
      <c r="I24" s="49">
        <v>47607.553763440861</v>
      </c>
      <c r="J24" s="50">
        <f t="shared" ref="J24" si="322">IF(ISBLANK(I24),"",K24/$A24)</f>
        <v>48807.574884792622</v>
      </c>
      <c r="K24" s="163">
        <f t="shared" ref="K24" si="323">I24+K23</f>
        <v>683306.04838709673</v>
      </c>
      <c r="L24" s="50">
        <f t="shared" ref="L24" si="324">IF(ISBLANK(I24),"",I24*0.5)</f>
        <v>23803.776881720431</v>
      </c>
      <c r="M24" s="50">
        <f t="shared" ref="M24" si="325">IFERROR(J24*0.5,"")</f>
        <v>24403.787442396311</v>
      </c>
      <c r="N24" s="50">
        <f t="shared" ref="N24" si="326">K24*0.5</f>
        <v>341653.02419354836</v>
      </c>
      <c r="O24" s="49">
        <v>6362.8655913978491</v>
      </c>
      <c r="P24" s="50">
        <f t="shared" ref="P24" si="327">IF(ISBLANK(O24),"",Q24/$A24)</f>
        <v>7323.0933179723506</v>
      </c>
      <c r="Q24" s="163">
        <f t="shared" ref="Q24" si="328">O24+Q23</f>
        <v>102523.30645161291</v>
      </c>
      <c r="R24" s="50">
        <f t="shared" ref="R24" si="329">IF(ISBLANK(O24),"",O24*0.5)</f>
        <v>3181.4327956989246</v>
      </c>
      <c r="S24" s="50">
        <f t="shared" ref="S24" si="330">IFERROR(P24*0.5,"")</f>
        <v>3661.5466589861753</v>
      </c>
      <c r="T24" s="50">
        <f t="shared" ref="T24" si="331">Q24*0.5</f>
        <v>51261.653225806454</v>
      </c>
      <c r="U24" s="168"/>
      <c r="V24" s="49">
        <v>186.3</v>
      </c>
      <c r="W24" s="47">
        <f t="shared" ref="W24" si="332">IF(ISBLANK(V24),"",X24/$A24)</f>
        <v>177.71428571428572</v>
      </c>
      <c r="X24" s="163">
        <f t="shared" ref="X24" si="333">V24+X23</f>
        <v>2488</v>
      </c>
      <c r="Y24" s="169"/>
      <c r="Z24" s="170"/>
      <c r="AA24" s="171"/>
      <c r="AB24" s="172"/>
      <c r="AC24" s="49">
        <v>298.61</v>
      </c>
      <c r="AD24" s="50">
        <f t="shared" ref="AD24" si="334">IF(ISBLANK(AC24),"",AE24/$A24)</f>
        <v>282.6464285714286</v>
      </c>
      <c r="AE24" s="163">
        <f t="shared" ref="AE24" si="335">AC24+AE23</f>
        <v>3957.0500000000006</v>
      </c>
      <c r="AF24" s="49">
        <v>143020</v>
      </c>
      <c r="AG24" s="50">
        <f t="shared" ref="AG24" si="336">IF(ISBLANK(AF24),"",AH24/$A24)</f>
        <v>144932.57142857142</v>
      </c>
      <c r="AH24" s="51">
        <f t="shared" ref="AH24" si="337">AF24+AH23</f>
        <v>2029056</v>
      </c>
      <c r="AI24" s="50">
        <f t="shared" ref="AI24" si="338">IF(AF24*0.3172=0,"",AF24*0.1832)</f>
        <v>26201.263999999999</v>
      </c>
      <c r="AJ24" s="50">
        <f t="shared" ref="AJ24" si="339">IFERROR(AG24*0.1832,"")</f>
        <v>26551.647085714285</v>
      </c>
      <c r="AK24" s="50">
        <f t="shared" ref="AK24" si="340">AH24*0.1832</f>
        <v>371723.05920000002</v>
      </c>
      <c r="AL24" s="17"/>
      <c r="AM24" s="49">
        <v>123.6</v>
      </c>
      <c r="AN24" s="47">
        <f t="shared" ref="AN24" si="341">IF(ISBLANK(AM24),"",AO24/$A24)</f>
        <v>122.22571428571428</v>
      </c>
      <c r="AO24" s="163">
        <f t="shared" ref="AO24" si="342">AM24+AO23</f>
        <v>1711.1599999999999</v>
      </c>
      <c r="AP24" s="49">
        <v>151502.87569892473</v>
      </c>
      <c r="AQ24" s="50">
        <f t="shared" ref="AQ24" si="343">IF(ISBLANK(AP24),"",AR24/$A24)</f>
        <v>149462.95892473115</v>
      </c>
      <c r="AR24" s="51">
        <f t="shared" ref="AR24" si="344">AP24+AR23</f>
        <v>2092481.4249462362</v>
      </c>
      <c r="AS24" s="17"/>
      <c r="AT24" s="47">
        <f>borrador!G22/6.289</f>
        <v>770.22261090793461</v>
      </c>
      <c r="AU24" s="47">
        <f t="shared" ref="AU24" si="345">IF(ISBLANK(AT24),"",AV24/$A24)</f>
        <v>763.04045612520747</v>
      </c>
      <c r="AV24" s="51">
        <f t="shared" ref="AV24" si="346">AT24+AV23</f>
        <v>10682.566385752905</v>
      </c>
      <c r="AW24" s="2"/>
      <c r="AX24" s="51">
        <f>borrador!H22/6.289</f>
        <v>392.5027826363492</v>
      </c>
      <c r="AY24" s="51">
        <f t="shared" ref="AY24" si="347">IF(ISBLANK(AX24),"",AZ24/$A24)</f>
        <v>396.20221247984006</v>
      </c>
      <c r="AZ24" s="51">
        <f t="shared" ref="AZ24" si="348">AX24+AZ23</f>
        <v>5546.8309747177609</v>
      </c>
      <c r="BA24" s="2"/>
      <c r="BB24" s="47">
        <f>borrador!E22/6.289</f>
        <v>17.090157417713471</v>
      </c>
      <c r="BC24" s="47">
        <f t="shared" ref="BC24" si="349">IF(ISBLANK(BB24),"",BD24/$A24)</f>
        <v>3.8244781137132864</v>
      </c>
      <c r="BD24" s="48">
        <f t="shared" ref="BD24" si="350">BB24+BD23</f>
        <v>53.542693591986009</v>
      </c>
      <c r="BE24" s="49">
        <f>borrador!F22*0.283*100</f>
        <v>269.86879999999996</v>
      </c>
      <c r="BF24" s="50">
        <f t="shared" ref="BF24" si="351">IF(ISBLANK(BE24),"",BG24/A24)</f>
        <v>94.873728571428543</v>
      </c>
      <c r="BG24" s="237">
        <f t="shared" ref="BG24" si="352">BE24+BG23</f>
        <v>1328.2321999999997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</row>
    <row r="25" spans="1:92" ht="15" customHeight="1" thickBot="1" x14ac:dyDescent="0.4">
      <c r="A25" s="243">
        <v>15</v>
      </c>
      <c r="B25" s="49">
        <v>638.83000000000004</v>
      </c>
      <c r="C25" s="47">
        <f t="shared" ref="C25" si="353">IF(ISBLANK(B25),"",D25/$A25)</f>
        <v>618.01666666666665</v>
      </c>
      <c r="D25" s="163">
        <f t="shared" ref="D25" si="354">B25+D24</f>
        <v>9270.25</v>
      </c>
      <c r="E25" s="49">
        <v>336121.51096774195</v>
      </c>
      <c r="F25" s="50">
        <f t="shared" ref="F25" si="355">IF(ISBLANK(E25),"",G25/$A25)</f>
        <v>342363.91863799287</v>
      </c>
      <c r="G25" s="163">
        <f t="shared" ref="G25" si="356">E25+G24</f>
        <v>5135458.7795698931</v>
      </c>
      <c r="H25" s="168"/>
      <c r="I25" s="49">
        <v>47637.317204301078</v>
      </c>
      <c r="J25" s="50">
        <f t="shared" ref="J25" si="357">IF(ISBLANK(I25),"",K25/$A25)</f>
        <v>48729.55770609319</v>
      </c>
      <c r="K25" s="163">
        <f t="shared" ref="K25" si="358">I25+K24</f>
        <v>730943.36559139786</v>
      </c>
      <c r="L25" s="50">
        <f t="shared" ref="L25" si="359">IF(ISBLANK(I25),"",I25*0.5)</f>
        <v>23818.658602150539</v>
      </c>
      <c r="M25" s="50">
        <f t="shared" ref="M25" si="360">IFERROR(J25*0.5,"")</f>
        <v>24364.778853046595</v>
      </c>
      <c r="N25" s="50">
        <f t="shared" ref="N25" si="361">K25*0.5</f>
        <v>365471.68279569893</v>
      </c>
      <c r="O25" s="49">
        <v>6183.3548387096771</v>
      </c>
      <c r="P25" s="50">
        <f t="shared" ref="P25" si="362">IF(ISBLANK(O25),"",Q25/$A25)</f>
        <v>7247.1107526881724</v>
      </c>
      <c r="Q25" s="163">
        <f t="shared" ref="Q25" si="363">O25+Q24</f>
        <v>108706.66129032259</v>
      </c>
      <c r="R25" s="50">
        <f t="shared" ref="R25" si="364">IF(ISBLANK(O25),"",O25*0.5)</f>
        <v>3091.6774193548385</v>
      </c>
      <c r="S25" s="50">
        <f t="shared" ref="S25" si="365">IFERROR(P25*0.5,"")</f>
        <v>3623.5553763440862</v>
      </c>
      <c r="T25" s="50">
        <f t="shared" ref="T25" si="366">Q25*0.5</f>
        <v>54353.330645161295</v>
      </c>
      <c r="U25" s="168"/>
      <c r="V25" s="49">
        <v>187.9</v>
      </c>
      <c r="W25" s="47">
        <f t="shared" ref="W25" si="367">IF(ISBLANK(V25),"",X25/$A25)</f>
        <v>178.39333333333335</v>
      </c>
      <c r="X25" s="163">
        <f t="shared" ref="X25" si="368">V25+X24</f>
        <v>2675.9</v>
      </c>
      <c r="Y25" s="169"/>
      <c r="Z25" s="170"/>
      <c r="AA25" s="171"/>
      <c r="AB25" s="172"/>
      <c r="AC25" s="49">
        <v>293.89999999999998</v>
      </c>
      <c r="AD25" s="50">
        <f t="shared" ref="AD25" si="369">IF(ISBLANK(AC25),"",AE25/$A25)</f>
        <v>283.3966666666667</v>
      </c>
      <c r="AE25" s="163">
        <f t="shared" ref="AE25" si="370">AC25+AE24</f>
        <v>4250.9500000000007</v>
      </c>
      <c r="AF25" s="49">
        <v>142336</v>
      </c>
      <c r="AG25" s="50">
        <f t="shared" ref="AG25" si="371">IF(ISBLANK(AF25),"",AH25/$A25)</f>
        <v>144759.46666666667</v>
      </c>
      <c r="AH25" s="51">
        <f t="shared" ref="AH25" si="372">AF25+AH24</f>
        <v>2171392</v>
      </c>
      <c r="AI25" s="50">
        <f t="shared" ref="AI25" si="373">IF(AF25*0.3172=0,"",AF25*0.1832)</f>
        <v>26075.9552</v>
      </c>
      <c r="AJ25" s="50">
        <f t="shared" ref="AJ25" si="374">IFERROR(AG25*0.1832,"")</f>
        <v>26519.934293333336</v>
      </c>
      <c r="AK25" s="50">
        <f t="shared" ref="AK25" si="375">AH25*0.1832</f>
        <v>397799.01439999999</v>
      </c>
      <c r="AL25" s="17"/>
      <c r="AM25" s="49">
        <v>132.15</v>
      </c>
      <c r="AN25" s="47">
        <f t="shared" ref="AN25" si="376">IF(ISBLANK(AM25),"",AO25/$A25)</f>
        <v>122.88733333333333</v>
      </c>
      <c r="AO25" s="163">
        <f t="shared" ref="AO25" si="377">AM25+AO24</f>
        <v>1843.31</v>
      </c>
      <c r="AP25" s="49">
        <v>144332.13419354838</v>
      </c>
      <c r="AQ25" s="50">
        <f t="shared" ref="AQ25" si="378">IF(ISBLANK(AP25),"",AR25/$A25)</f>
        <v>149120.90394265231</v>
      </c>
      <c r="AR25" s="51">
        <f t="shared" ref="AR25" si="379">AP25+AR24</f>
        <v>2236813.5591397844</v>
      </c>
      <c r="AS25" s="17"/>
      <c r="AT25" s="47">
        <f>borrador!G23/6.289</f>
        <v>762.18794720941321</v>
      </c>
      <c r="AU25" s="47">
        <f t="shared" ref="AU25" si="380">IF(ISBLANK(AT25),"",AV25/$A25)</f>
        <v>762.98362219748788</v>
      </c>
      <c r="AV25" s="51">
        <f t="shared" ref="AV25" si="381">AT25+AV24</f>
        <v>11444.754332962319</v>
      </c>
      <c r="AW25" s="2"/>
      <c r="AX25" s="51">
        <f>borrador!H23/6.289</f>
        <v>392.80330736206076</v>
      </c>
      <c r="AY25" s="51">
        <f t="shared" ref="AY25" si="382">IF(ISBLANK(AX25),"",AZ25/$A25)</f>
        <v>395.97561880532146</v>
      </c>
      <c r="AZ25" s="51">
        <f t="shared" ref="AZ25" si="383">AX25+AZ24</f>
        <v>5939.6342820798218</v>
      </c>
      <c r="BA25" s="2"/>
      <c r="BB25" s="47">
        <f>borrador!E23/6.289</f>
        <v>16.683097471776119</v>
      </c>
      <c r="BC25" s="47">
        <f t="shared" ref="BC25" si="384">IF(ISBLANK(BB25),"",BD25/$A25)</f>
        <v>4.681719404250809</v>
      </c>
      <c r="BD25" s="48">
        <f t="shared" ref="BD25" si="385">BB25+BD24</f>
        <v>70.225791063762131</v>
      </c>
      <c r="BE25" s="49">
        <f>borrador!F23*0.283*100</f>
        <v>270.01029999999997</v>
      </c>
      <c r="BF25" s="50">
        <f t="shared" ref="BF25" si="386">IF(ISBLANK(BE25),"",BG25/A25)</f>
        <v>106.54949999999998</v>
      </c>
      <c r="BG25" s="237">
        <f t="shared" ref="BG25" si="387">BE25+BG24</f>
        <v>1598.2424999999996</v>
      </c>
      <c r="BI25" s="189"/>
      <c r="BJ25" s="364"/>
      <c r="BK25" s="365"/>
      <c r="BL25" s="365"/>
      <c r="BM25" s="365"/>
      <c r="BN25" s="365"/>
      <c r="BO25" s="365"/>
      <c r="BP25" s="190"/>
      <c r="BQ25" s="305"/>
      <c r="BR25" s="306"/>
      <c r="BS25" s="307"/>
      <c r="BT25" s="69"/>
      <c r="BU25" s="15"/>
      <c r="BV25" s="330" t="s">
        <v>49</v>
      </c>
      <c r="BW25" s="331"/>
      <c r="BX25" s="331"/>
      <c r="BY25" s="331"/>
      <c r="BZ25" s="331"/>
      <c r="CA25" s="331"/>
      <c r="CB25" s="332"/>
    </row>
    <row r="26" spans="1:92" ht="15" customHeight="1" thickBot="1" x14ac:dyDescent="0.4">
      <c r="A26" s="46">
        <v>16</v>
      </c>
      <c r="B26" s="49"/>
      <c r="C26" s="47"/>
      <c r="D26" s="163"/>
      <c r="E26" s="49"/>
      <c r="F26" s="50"/>
      <c r="G26" s="163"/>
      <c r="H26" s="168"/>
      <c r="I26" s="49"/>
      <c r="J26" s="50"/>
      <c r="K26" s="163"/>
      <c r="L26" s="50"/>
      <c r="M26" s="50"/>
      <c r="N26" s="50"/>
      <c r="O26" s="49"/>
      <c r="P26" s="50"/>
      <c r="Q26" s="163"/>
      <c r="R26" s="50"/>
      <c r="S26" s="50"/>
      <c r="T26" s="50"/>
      <c r="U26" s="168"/>
      <c r="V26" s="49"/>
      <c r="W26" s="47"/>
      <c r="X26" s="163"/>
      <c r="Y26" s="169"/>
      <c r="Z26" s="170"/>
      <c r="AA26" s="171"/>
      <c r="AB26" s="172"/>
      <c r="AC26" s="49"/>
      <c r="AD26" s="50"/>
      <c r="AE26" s="163"/>
      <c r="AF26" s="49"/>
      <c r="AG26" s="50"/>
      <c r="AH26" s="51"/>
      <c r="AI26" s="50"/>
      <c r="AJ26" s="50"/>
      <c r="AK26" s="50"/>
      <c r="AL26" s="17"/>
      <c r="AM26" s="49"/>
      <c r="AN26" s="47"/>
      <c r="AO26" s="163"/>
      <c r="AP26" s="49"/>
      <c r="AQ26" s="50"/>
      <c r="AR26" s="51"/>
      <c r="AS26" s="17"/>
      <c r="AT26" s="47"/>
      <c r="AU26" s="47"/>
      <c r="AV26" s="51"/>
      <c r="AW26" s="2"/>
      <c r="AX26" s="51"/>
      <c r="AY26" s="51"/>
      <c r="AZ26" s="51"/>
      <c r="BA26" s="2"/>
      <c r="BB26" s="47"/>
      <c r="BC26" s="47"/>
      <c r="BD26" s="48"/>
      <c r="BE26" s="49"/>
      <c r="BF26" s="50"/>
      <c r="BG26" s="237"/>
      <c r="BI26" s="115" t="s">
        <v>45</v>
      </c>
      <c r="BJ26" s="362" t="s">
        <v>50</v>
      </c>
      <c r="BK26" s="363"/>
      <c r="BL26" s="363"/>
      <c r="BM26" s="363"/>
      <c r="BN26" s="363"/>
      <c r="BO26" s="363"/>
      <c r="BP26" s="191"/>
      <c r="BQ26" s="295" t="s">
        <v>100</v>
      </c>
      <c r="BR26" s="296"/>
      <c r="BS26" s="297"/>
      <c r="BT26" s="70"/>
      <c r="BU26" s="15"/>
      <c r="BV26" s="333"/>
      <c r="BW26" s="334"/>
      <c r="BX26" s="334"/>
      <c r="BY26" s="334"/>
      <c r="BZ26" s="334"/>
      <c r="CA26" s="334"/>
      <c r="CB26" s="335"/>
    </row>
    <row r="27" spans="1:92" ht="15" customHeight="1" thickBot="1" x14ac:dyDescent="0.4">
      <c r="A27" s="46">
        <v>17</v>
      </c>
      <c r="B27" s="49"/>
      <c r="C27" s="47"/>
      <c r="D27" s="163"/>
      <c r="E27" s="49"/>
      <c r="F27" s="50"/>
      <c r="G27" s="163"/>
      <c r="H27" s="168"/>
      <c r="I27" s="49"/>
      <c r="J27" s="50"/>
      <c r="K27" s="163"/>
      <c r="L27" s="50"/>
      <c r="M27" s="50"/>
      <c r="N27" s="50"/>
      <c r="O27" s="49"/>
      <c r="P27" s="50"/>
      <c r="Q27" s="163"/>
      <c r="R27" s="50"/>
      <c r="S27" s="50"/>
      <c r="T27" s="50"/>
      <c r="U27" s="168"/>
      <c r="V27" s="49"/>
      <c r="W27" s="47"/>
      <c r="X27" s="163"/>
      <c r="Y27" s="169"/>
      <c r="Z27" s="170"/>
      <c r="AA27" s="171"/>
      <c r="AB27" s="172"/>
      <c r="AC27" s="49"/>
      <c r="AD27" s="50"/>
      <c r="AE27" s="163"/>
      <c r="AF27" s="49"/>
      <c r="AG27" s="50"/>
      <c r="AH27" s="51"/>
      <c r="AI27" s="50"/>
      <c r="AJ27" s="50"/>
      <c r="AK27" s="50"/>
      <c r="AL27" s="17"/>
      <c r="AM27" s="49"/>
      <c r="AN27" s="47"/>
      <c r="AO27" s="163"/>
      <c r="AP27" s="49"/>
      <c r="AQ27" s="50"/>
      <c r="AR27" s="51"/>
      <c r="AS27" s="17"/>
      <c r="AT27" s="47"/>
      <c r="AU27" s="47"/>
      <c r="AV27" s="51"/>
      <c r="AW27" s="2"/>
      <c r="AX27" s="51"/>
      <c r="AY27" s="51"/>
      <c r="AZ27" s="51"/>
      <c r="BA27" s="2"/>
      <c r="BB27" s="47"/>
      <c r="BC27" s="47"/>
      <c r="BD27" s="48"/>
      <c r="BE27" s="49"/>
      <c r="BF27" s="50"/>
      <c r="BG27" s="237"/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36"/>
      <c r="BW27" s="337"/>
      <c r="BX27" s="337"/>
      <c r="BY27" s="337"/>
      <c r="BZ27" s="337"/>
      <c r="CA27" s="337"/>
      <c r="CB27" s="338"/>
    </row>
    <row r="28" spans="1:92" ht="15.75" customHeight="1" thickBot="1" x14ac:dyDescent="0.4">
      <c r="A28" s="46">
        <v>18</v>
      </c>
      <c r="B28" s="49"/>
      <c r="C28" s="47"/>
      <c r="D28" s="163"/>
      <c r="E28" s="49"/>
      <c r="F28" s="50"/>
      <c r="G28" s="163"/>
      <c r="H28" s="168"/>
      <c r="I28" s="49"/>
      <c r="J28" s="50"/>
      <c r="K28" s="163"/>
      <c r="L28" s="50"/>
      <c r="M28" s="50"/>
      <c r="N28" s="50"/>
      <c r="O28" s="49"/>
      <c r="P28" s="50"/>
      <c r="Q28" s="163"/>
      <c r="R28" s="50"/>
      <c r="S28" s="50"/>
      <c r="T28" s="50"/>
      <c r="U28" s="168"/>
      <c r="V28" s="49"/>
      <c r="W28" s="47"/>
      <c r="X28" s="163"/>
      <c r="Y28" s="169"/>
      <c r="Z28" s="170"/>
      <c r="AA28" s="171"/>
      <c r="AB28" s="172"/>
      <c r="AC28" s="49"/>
      <c r="AD28" s="50"/>
      <c r="AE28" s="163"/>
      <c r="AF28" s="49"/>
      <c r="AG28" s="50"/>
      <c r="AH28" s="51"/>
      <c r="AI28" s="50"/>
      <c r="AJ28" s="50"/>
      <c r="AK28" s="50"/>
      <c r="AL28" s="17"/>
      <c r="AM28" s="49"/>
      <c r="AN28" s="47"/>
      <c r="AO28" s="163"/>
      <c r="AP28" s="49"/>
      <c r="AQ28" s="50"/>
      <c r="AR28" s="51"/>
      <c r="AS28" s="17"/>
      <c r="AT28" s="47"/>
      <c r="AU28" s="47"/>
      <c r="AV28" s="51"/>
      <c r="AW28" s="2"/>
      <c r="AX28" s="51"/>
      <c r="AY28" s="51"/>
      <c r="AZ28" s="51"/>
      <c r="BA28" s="2"/>
      <c r="BB28" s="47"/>
      <c r="BC28" s="47"/>
      <c r="BD28" s="48"/>
      <c r="BE28" s="49"/>
      <c r="BF28" s="50"/>
      <c r="BG28" s="237"/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</row>
    <row r="29" spans="1:92" ht="15" customHeight="1" thickBot="1" x14ac:dyDescent="0.4">
      <c r="A29" s="46">
        <v>19</v>
      </c>
      <c r="B29" s="49"/>
      <c r="C29" s="47"/>
      <c r="D29" s="163"/>
      <c r="E29" s="49"/>
      <c r="F29" s="50"/>
      <c r="G29" s="163"/>
      <c r="H29" s="168"/>
      <c r="I29" s="49"/>
      <c r="J29" s="50"/>
      <c r="K29" s="163"/>
      <c r="L29" s="50"/>
      <c r="M29" s="50"/>
      <c r="N29" s="50"/>
      <c r="O29" s="49"/>
      <c r="P29" s="50"/>
      <c r="Q29" s="163"/>
      <c r="R29" s="50"/>
      <c r="S29" s="50"/>
      <c r="T29" s="50"/>
      <c r="U29" s="168"/>
      <c r="V29" s="49"/>
      <c r="W29" s="47"/>
      <c r="X29" s="163"/>
      <c r="Y29" s="169"/>
      <c r="Z29" s="170"/>
      <c r="AA29" s="171"/>
      <c r="AB29" s="172"/>
      <c r="AC29" s="49"/>
      <c r="AD29" s="50"/>
      <c r="AE29" s="163"/>
      <c r="AF29" s="49"/>
      <c r="AG29" s="50"/>
      <c r="AH29" s="51"/>
      <c r="AI29" s="50"/>
      <c r="AJ29" s="50"/>
      <c r="AK29" s="50"/>
      <c r="AL29" s="17"/>
      <c r="AM29" s="49"/>
      <c r="AN29" s="47"/>
      <c r="AO29" s="163"/>
      <c r="AP29" s="49"/>
      <c r="AQ29" s="50"/>
      <c r="AR29" s="51"/>
      <c r="AS29" s="17"/>
      <c r="AT29" s="47"/>
      <c r="AU29" s="47"/>
      <c r="AV29" s="51"/>
      <c r="AW29" s="2"/>
      <c r="AX29" s="51"/>
      <c r="AY29" s="51"/>
      <c r="AZ29" s="51"/>
      <c r="BA29" s="2"/>
      <c r="BB29" s="47"/>
      <c r="BC29" s="47"/>
      <c r="BD29" s="48"/>
      <c r="BE29" s="49"/>
      <c r="BF29" s="50"/>
      <c r="BG29" s="237"/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</row>
    <row r="30" spans="1:92" ht="13.5" customHeight="1" thickBot="1" x14ac:dyDescent="0.4">
      <c r="A30" s="46">
        <v>20</v>
      </c>
      <c r="B30" s="49"/>
      <c r="C30" s="47"/>
      <c r="D30" s="163"/>
      <c r="E30" s="49"/>
      <c r="F30" s="50"/>
      <c r="G30" s="163"/>
      <c r="H30" s="168"/>
      <c r="I30" s="49"/>
      <c r="J30" s="50"/>
      <c r="K30" s="163"/>
      <c r="L30" s="50"/>
      <c r="M30" s="50"/>
      <c r="N30" s="50"/>
      <c r="O30" s="49"/>
      <c r="P30" s="50"/>
      <c r="Q30" s="163"/>
      <c r="R30" s="50"/>
      <c r="S30" s="50"/>
      <c r="T30" s="50"/>
      <c r="U30" s="173"/>
      <c r="V30" s="49"/>
      <c r="W30" s="47"/>
      <c r="X30" s="163"/>
      <c r="Y30" s="117"/>
      <c r="Z30" s="118"/>
      <c r="AA30" s="119"/>
      <c r="AB30" s="120"/>
      <c r="AC30" s="49"/>
      <c r="AD30" s="50"/>
      <c r="AE30" s="163"/>
      <c r="AF30" s="49"/>
      <c r="AG30" s="50"/>
      <c r="AH30" s="51"/>
      <c r="AI30" s="50"/>
      <c r="AJ30" s="50"/>
      <c r="AK30" s="50"/>
      <c r="AL30" s="17"/>
      <c r="AM30" s="49"/>
      <c r="AN30" s="47"/>
      <c r="AO30" s="163"/>
      <c r="AP30" s="49"/>
      <c r="AQ30" s="50"/>
      <c r="AR30" s="51"/>
      <c r="AS30" s="17"/>
      <c r="AT30" s="47"/>
      <c r="AU30" s="47"/>
      <c r="AV30" s="51"/>
      <c r="AW30" s="2"/>
      <c r="AX30" s="51"/>
      <c r="AY30" s="51"/>
      <c r="AZ30" s="51"/>
      <c r="BA30" s="2"/>
      <c r="BB30" s="47"/>
      <c r="BC30" s="47"/>
      <c r="BD30" s="48"/>
      <c r="BE30" s="49"/>
      <c r="BF30" s="50"/>
      <c r="BG30" s="237"/>
      <c r="BI30" s="199" t="s">
        <v>5</v>
      </c>
      <c r="BJ30" s="81">
        <v>9099.8446600000007</v>
      </c>
      <c r="BK30" s="21">
        <v>9801.9145875398317</v>
      </c>
      <c r="BL30" s="92">
        <f t="shared" ref="BL30:BL41" si="388">BJ30-BK30</f>
        <v>-702.06992753983104</v>
      </c>
      <c r="BM30" s="253">
        <v>4737.68</v>
      </c>
      <c r="BN30" s="21">
        <v>4900.1360709150122</v>
      </c>
      <c r="BO30" s="82">
        <f t="shared" ref="BO30:BO41" si="389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390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391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392">BZ30-CA30</f>
        <v>958.01787220901315</v>
      </c>
    </row>
    <row r="31" spans="1:92" ht="15" customHeight="1" thickBot="1" x14ac:dyDescent="0.4">
      <c r="A31" s="46">
        <v>21</v>
      </c>
      <c r="B31" s="49"/>
      <c r="C31" s="47"/>
      <c r="D31" s="163"/>
      <c r="E31" s="49"/>
      <c r="F31" s="50"/>
      <c r="G31" s="163"/>
      <c r="H31" s="168"/>
      <c r="I31" s="49"/>
      <c r="J31" s="50"/>
      <c r="K31" s="163"/>
      <c r="L31" s="50"/>
      <c r="M31" s="50"/>
      <c r="N31" s="50"/>
      <c r="O31" s="49"/>
      <c r="P31" s="50"/>
      <c r="Q31" s="163"/>
      <c r="R31" s="50"/>
      <c r="S31" s="50"/>
      <c r="T31" s="50"/>
      <c r="U31" s="173"/>
      <c r="V31" s="49"/>
      <c r="W31" s="47"/>
      <c r="X31" s="163"/>
      <c r="Y31" s="117"/>
      <c r="Z31" s="118"/>
      <c r="AA31" s="119"/>
      <c r="AB31" s="120"/>
      <c r="AC31" s="49"/>
      <c r="AD31" s="50"/>
      <c r="AE31" s="163"/>
      <c r="AF31" s="49"/>
      <c r="AG31" s="50"/>
      <c r="AH31" s="51"/>
      <c r="AI31" s="50"/>
      <c r="AJ31" s="50"/>
      <c r="AK31" s="50"/>
      <c r="AL31" s="17"/>
      <c r="AM31" s="49"/>
      <c r="AN31" s="47"/>
      <c r="AO31" s="163"/>
      <c r="AP31" s="49"/>
      <c r="AQ31" s="50"/>
      <c r="AR31" s="51"/>
      <c r="AS31" s="17"/>
      <c r="AT31" s="47"/>
      <c r="AU31" s="47"/>
      <c r="AV31" s="51"/>
      <c r="AW31" s="2"/>
      <c r="AX31" s="51"/>
      <c r="AY31" s="51"/>
      <c r="AZ31" s="51"/>
      <c r="BA31" s="2"/>
      <c r="BB31" s="47"/>
      <c r="BC31" s="47"/>
      <c r="BD31" s="48"/>
      <c r="BE31" s="49"/>
      <c r="BF31" s="50"/>
      <c r="BG31" s="237"/>
      <c r="BI31" s="199" t="s">
        <v>6</v>
      </c>
      <c r="BJ31" s="81">
        <v>8067.8800829999991</v>
      </c>
      <c r="BK31" s="21">
        <v>8963.5767707149025</v>
      </c>
      <c r="BL31" s="92">
        <f t="shared" si="388"/>
        <v>-895.69668771490342</v>
      </c>
      <c r="BM31" s="254">
        <v>4276.2460000000001</v>
      </c>
      <c r="BN31" s="21">
        <v>4462.7581629957967</v>
      </c>
      <c r="BO31" s="82">
        <f t="shared" si="389"/>
        <v>-186.51216299579664</v>
      </c>
      <c r="BP31" s="197"/>
      <c r="BQ31" s="254">
        <v>787.85350000000005</v>
      </c>
      <c r="BR31" s="21">
        <v>1583.6143697070756</v>
      </c>
      <c r="BS31" s="220">
        <f t="shared" si="390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391"/>
        <v>-793.90235442160042</v>
      </c>
      <c r="BY31" s="207"/>
      <c r="BZ31" s="83">
        <v>7179.7383</v>
      </c>
      <c r="CA31" s="109">
        <v>12012.914276065794</v>
      </c>
      <c r="CB31" s="215">
        <f t="shared" si="392"/>
        <v>-4833.1759760657942</v>
      </c>
    </row>
    <row r="32" spans="1:92" ht="15" customHeight="1" thickBot="1" x14ac:dyDescent="0.4">
      <c r="A32" s="46">
        <v>22</v>
      </c>
      <c r="B32" s="49"/>
      <c r="C32" s="47"/>
      <c r="D32" s="163"/>
      <c r="E32" s="49"/>
      <c r="F32" s="50"/>
      <c r="G32" s="163"/>
      <c r="H32" s="168"/>
      <c r="I32" s="49"/>
      <c r="J32" s="50"/>
      <c r="K32" s="163"/>
      <c r="L32" s="50"/>
      <c r="M32" s="50"/>
      <c r="N32" s="50"/>
      <c r="O32" s="49"/>
      <c r="P32" s="50"/>
      <c r="Q32" s="163"/>
      <c r="R32" s="50"/>
      <c r="S32" s="50"/>
      <c r="T32" s="50"/>
      <c r="U32" s="173"/>
      <c r="V32" s="49"/>
      <c r="W32" s="47"/>
      <c r="X32" s="163"/>
      <c r="Y32" s="117"/>
      <c r="Z32" s="118"/>
      <c r="AA32" s="119"/>
      <c r="AB32" s="120"/>
      <c r="AC32" s="49"/>
      <c r="AD32" s="50"/>
      <c r="AE32" s="163"/>
      <c r="AF32" s="49"/>
      <c r="AG32" s="50"/>
      <c r="AH32" s="51"/>
      <c r="AI32" s="50"/>
      <c r="AJ32" s="50"/>
      <c r="AK32" s="50"/>
      <c r="AL32" s="17"/>
      <c r="AM32" s="49"/>
      <c r="AN32" s="47"/>
      <c r="AO32" s="163"/>
      <c r="AP32" s="49"/>
      <c r="AQ32" s="50"/>
      <c r="AR32" s="51"/>
      <c r="AS32" s="17"/>
      <c r="AT32" s="47"/>
      <c r="AU32" s="47"/>
      <c r="AV32" s="51"/>
      <c r="AW32" s="2"/>
      <c r="AX32" s="51"/>
      <c r="AY32" s="51"/>
      <c r="AZ32" s="51"/>
      <c r="BA32" s="2"/>
      <c r="BB32" s="47"/>
      <c r="BC32" s="47"/>
      <c r="BD32" s="48"/>
      <c r="BE32" s="49"/>
      <c r="BF32" s="50"/>
      <c r="BG32" s="237"/>
      <c r="BI32" s="199" t="s">
        <v>7</v>
      </c>
      <c r="BJ32" s="81">
        <v>9257</v>
      </c>
      <c r="BK32" s="21">
        <v>10030.647453244723</v>
      </c>
      <c r="BL32" s="92">
        <f t="shared" si="388"/>
        <v>-773.64745324472278</v>
      </c>
      <c r="BM32" s="254">
        <v>3369.9969999999998</v>
      </c>
      <c r="BN32" s="21">
        <v>4980.4230613322788</v>
      </c>
      <c r="BO32" s="82">
        <f t="shared" si="389"/>
        <v>-1610.426061332279</v>
      </c>
      <c r="BP32" s="197"/>
      <c r="BQ32" s="254">
        <v>909.17</v>
      </c>
      <c r="BR32" s="21">
        <v>1693.1915254073704</v>
      </c>
      <c r="BS32" s="220">
        <f t="shared" si="390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391"/>
        <v>-802.61775792909475</v>
      </c>
      <c r="BY32" s="207"/>
      <c r="BZ32" s="83">
        <v>7868</v>
      </c>
      <c r="CA32" s="109">
        <v>12456.896493386255</v>
      </c>
      <c r="CB32" s="215">
        <f t="shared" si="392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</row>
    <row r="33" spans="1:92" ht="15" customHeight="1" thickBot="1" x14ac:dyDescent="0.4">
      <c r="A33" s="46">
        <v>23</v>
      </c>
      <c r="B33" s="49"/>
      <c r="C33" s="47"/>
      <c r="D33" s="163"/>
      <c r="E33" s="49"/>
      <c r="F33" s="50"/>
      <c r="G33" s="163"/>
      <c r="H33" s="173"/>
      <c r="I33" s="49"/>
      <c r="J33" s="50"/>
      <c r="K33" s="163"/>
      <c r="L33" s="50"/>
      <c r="M33" s="50"/>
      <c r="N33" s="50"/>
      <c r="O33" s="49"/>
      <c r="P33" s="50"/>
      <c r="Q33" s="163"/>
      <c r="R33" s="50"/>
      <c r="S33" s="50"/>
      <c r="T33" s="50"/>
      <c r="U33" s="173"/>
      <c r="V33" s="49"/>
      <c r="W33" s="47"/>
      <c r="X33" s="163"/>
      <c r="Y33" s="117"/>
      <c r="Z33" s="118"/>
      <c r="AA33" s="119"/>
      <c r="AB33" s="120"/>
      <c r="AC33" s="49"/>
      <c r="AD33" s="50"/>
      <c r="AE33" s="163"/>
      <c r="AF33" s="49"/>
      <c r="AG33" s="50"/>
      <c r="AH33" s="51"/>
      <c r="AI33" s="50"/>
      <c r="AJ33" s="50"/>
      <c r="AK33" s="50"/>
      <c r="AL33" s="17"/>
      <c r="AM33" s="49"/>
      <c r="AN33" s="47"/>
      <c r="AO33" s="163"/>
      <c r="AP33" s="49"/>
      <c r="AQ33" s="50"/>
      <c r="AR33" s="51"/>
      <c r="AS33" s="17"/>
      <c r="AT33" s="47"/>
      <c r="AU33" s="47"/>
      <c r="AV33" s="51"/>
      <c r="AW33" s="2"/>
      <c r="AX33" s="51"/>
      <c r="AY33" s="51"/>
      <c r="AZ33" s="51"/>
      <c r="BA33" s="2"/>
      <c r="BB33" s="47"/>
      <c r="BC33" s="47"/>
      <c r="BD33" s="48"/>
      <c r="BE33" s="49"/>
      <c r="BF33" s="50"/>
      <c r="BG33" s="237"/>
      <c r="BI33" s="199" t="s">
        <v>8</v>
      </c>
      <c r="BJ33" s="81">
        <v>8977.5299999999988</v>
      </c>
      <c r="BK33" s="21">
        <v>9972.3536653604879</v>
      </c>
      <c r="BL33" s="92">
        <f t="shared" si="388"/>
        <v>-994.82366536048903</v>
      </c>
      <c r="BM33" s="254">
        <v>4679.8609999999999</v>
      </c>
      <c r="BN33" s="21">
        <v>4992.321976957579</v>
      </c>
      <c r="BO33" s="82">
        <f t="shared" si="389"/>
        <v>-312.46097695757908</v>
      </c>
      <c r="BP33" s="197"/>
      <c r="BQ33" s="254">
        <v>834.04312419354801</v>
      </c>
      <c r="BR33" s="21">
        <v>1971.3672978400978</v>
      </c>
      <c r="BS33" s="220">
        <f t="shared" si="390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391"/>
        <v>-910.91331534656842</v>
      </c>
      <c r="BY33" s="207"/>
      <c r="BZ33" s="83">
        <v>7468.5398000000005</v>
      </c>
      <c r="CA33" s="107">
        <v>14101.986661586783</v>
      </c>
      <c r="CB33" s="215">
        <f t="shared" si="392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</row>
    <row r="34" spans="1:92" ht="15" customHeight="1" thickBot="1" x14ac:dyDescent="0.4">
      <c r="A34" s="46">
        <v>24</v>
      </c>
      <c r="B34" s="49"/>
      <c r="C34" s="47"/>
      <c r="D34" s="163"/>
      <c r="E34" s="49"/>
      <c r="F34" s="50"/>
      <c r="G34" s="163"/>
      <c r="H34" s="173"/>
      <c r="I34" s="49"/>
      <c r="J34" s="50"/>
      <c r="K34" s="163"/>
      <c r="L34" s="50"/>
      <c r="M34" s="50"/>
      <c r="N34" s="50"/>
      <c r="O34" s="49"/>
      <c r="P34" s="50"/>
      <c r="Q34" s="163"/>
      <c r="R34" s="50"/>
      <c r="S34" s="50"/>
      <c r="T34" s="50"/>
      <c r="U34" s="173"/>
      <c r="V34" s="49"/>
      <c r="W34" s="47"/>
      <c r="X34" s="163"/>
      <c r="Y34" s="117"/>
      <c r="Z34" s="118"/>
      <c r="AA34" s="119"/>
      <c r="AB34" s="120"/>
      <c r="AC34" s="49"/>
      <c r="AD34" s="50"/>
      <c r="AE34" s="163"/>
      <c r="AF34" s="49"/>
      <c r="AG34" s="50"/>
      <c r="AH34" s="51"/>
      <c r="AI34" s="50"/>
      <c r="AJ34" s="50"/>
      <c r="AK34" s="50"/>
      <c r="AL34" s="17"/>
      <c r="AM34" s="49"/>
      <c r="AN34" s="47"/>
      <c r="AO34" s="163"/>
      <c r="AP34" s="49"/>
      <c r="AQ34" s="50"/>
      <c r="AR34" s="51"/>
      <c r="AS34" s="17"/>
      <c r="AT34" s="47"/>
      <c r="AU34" s="47"/>
      <c r="AV34" s="51"/>
      <c r="AW34" s="2"/>
      <c r="AX34" s="51"/>
      <c r="AY34" s="51"/>
      <c r="AZ34" s="51"/>
      <c r="BA34" s="2"/>
      <c r="BB34" s="47"/>
      <c r="BC34" s="47"/>
      <c r="BD34" s="48"/>
      <c r="BE34" s="49"/>
      <c r="BF34" s="50"/>
      <c r="BG34" s="237"/>
      <c r="BI34" s="199" t="s">
        <v>9</v>
      </c>
      <c r="BJ34" s="81">
        <v>9122.1899999999987</v>
      </c>
      <c r="BK34" s="21">
        <v>10559.38129531788</v>
      </c>
      <c r="BL34" s="92">
        <f t="shared" si="388"/>
        <v>-1437.1912953178817</v>
      </c>
      <c r="BM34" s="254">
        <v>4645.9750000000004</v>
      </c>
      <c r="BN34" s="21">
        <v>5444.6415661926649</v>
      </c>
      <c r="BO34" s="82">
        <f t="shared" si="389"/>
        <v>-798.6665661926645</v>
      </c>
      <c r="BP34" s="197"/>
      <c r="BQ34" s="254">
        <v>810.53499999999997</v>
      </c>
      <c r="BR34" s="21">
        <v>1965.1262146158649</v>
      </c>
      <c r="BS34" s="220">
        <f t="shared" si="390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391"/>
        <v>-925.82655047140929</v>
      </c>
      <c r="BY34" s="207"/>
      <c r="BZ34" s="83">
        <v>7626.2873494691385</v>
      </c>
      <c r="CA34" s="107">
        <v>14314.411886949427</v>
      </c>
      <c r="CB34" s="215">
        <f t="shared" si="392"/>
        <v>-6688.1245374802884</v>
      </c>
    </row>
    <row r="35" spans="1:92" ht="15" customHeight="1" thickBot="1" x14ac:dyDescent="0.4">
      <c r="A35" s="46">
        <v>25</v>
      </c>
      <c r="B35" s="49"/>
      <c r="C35" s="47"/>
      <c r="D35" s="163"/>
      <c r="E35" s="49"/>
      <c r="F35" s="50"/>
      <c r="G35" s="163"/>
      <c r="H35" s="173"/>
      <c r="I35" s="49"/>
      <c r="J35" s="50"/>
      <c r="K35" s="163"/>
      <c r="L35" s="50"/>
      <c r="M35" s="50"/>
      <c r="N35" s="50"/>
      <c r="O35" s="49"/>
      <c r="P35" s="50"/>
      <c r="Q35" s="163"/>
      <c r="R35" s="50"/>
      <c r="S35" s="50"/>
      <c r="T35" s="50"/>
      <c r="U35" s="173"/>
      <c r="V35" s="49"/>
      <c r="W35" s="47"/>
      <c r="X35" s="163"/>
      <c r="Y35" s="117"/>
      <c r="Z35" s="118"/>
      <c r="AA35" s="119"/>
      <c r="AB35" s="120"/>
      <c r="AC35" s="49"/>
      <c r="AD35" s="50"/>
      <c r="AE35" s="163"/>
      <c r="AF35" s="49"/>
      <c r="AG35" s="50"/>
      <c r="AH35" s="51"/>
      <c r="AI35" s="50"/>
      <c r="AJ35" s="50"/>
      <c r="AK35" s="50"/>
      <c r="AL35" s="17"/>
      <c r="AM35" s="49"/>
      <c r="AN35" s="47"/>
      <c r="AO35" s="163"/>
      <c r="AP35" s="49"/>
      <c r="AQ35" s="50"/>
      <c r="AR35" s="51"/>
      <c r="AS35" s="17"/>
      <c r="AT35" s="47"/>
      <c r="AU35" s="47"/>
      <c r="AV35" s="51"/>
      <c r="AW35" s="2"/>
      <c r="AX35" s="51"/>
      <c r="AY35" s="51"/>
      <c r="AZ35" s="51"/>
      <c r="BA35" s="2"/>
      <c r="BB35" s="47"/>
      <c r="BC35" s="47"/>
      <c r="BD35" s="48"/>
      <c r="BE35" s="49"/>
      <c r="BF35" s="50"/>
      <c r="BG35" s="237"/>
      <c r="BI35" s="199" t="s">
        <v>22</v>
      </c>
      <c r="BJ35" s="81">
        <v>8604.1274070000018</v>
      </c>
      <c r="BK35" s="21">
        <v>10554.353866119576</v>
      </c>
      <c r="BL35" s="92">
        <f t="shared" si="388"/>
        <v>-1950.2264591195744</v>
      </c>
      <c r="BM35" s="270">
        <v>4361.0186999999996</v>
      </c>
      <c r="BN35" s="21">
        <v>5572.7632000577723</v>
      </c>
      <c r="BO35" s="82">
        <f t="shared" si="389"/>
        <v>-1211.7445000577727</v>
      </c>
      <c r="BP35" s="197"/>
      <c r="BQ35" s="254">
        <v>754.316175053763</v>
      </c>
      <c r="BR35" s="21">
        <v>1835.1057112562673</v>
      </c>
      <c r="BS35" s="220">
        <f t="shared" si="390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391"/>
        <v>-1028.3283624129731</v>
      </c>
      <c r="BY35" s="207"/>
      <c r="BZ35" s="83">
        <v>7234.2440999999981</v>
      </c>
      <c r="CA35" s="107">
        <v>16098.577615919468</v>
      </c>
      <c r="CB35" s="215">
        <f t="shared" si="392"/>
        <v>-8864.3335159194703</v>
      </c>
    </row>
    <row r="36" spans="1:92" ht="15" customHeight="1" thickBot="1" x14ac:dyDescent="0.4">
      <c r="A36" s="46">
        <v>26</v>
      </c>
      <c r="B36" s="49"/>
      <c r="C36" s="47"/>
      <c r="D36" s="163"/>
      <c r="E36" s="49"/>
      <c r="F36" s="50"/>
      <c r="G36" s="163"/>
      <c r="H36" s="173"/>
      <c r="I36" s="49"/>
      <c r="J36" s="50"/>
      <c r="K36" s="163"/>
      <c r="L36" s="50"/>
      <c r="M36" s="50"/>
      <c r="N36" s="50"/>
      <c r="O36" s="49"/>
      <c r="P36" s="50"/>
      <c r="Q36" s="163"/>
      <c r="R36" s="50"/>
      <c r="S36" s="50"/>
      <c r="T36" s="50"/>
      <c r="U36" s="173"/>
      <c r="V36" s="49"/>
      <c r="W36" s="47"/>
      <c r="X36" s="163"/>
      <c r="Y36" s="117"/>
      <c r="Z36" s="118"/>
      <c r="AA36" s="119"/>
      <c r="AB36" s="120"/>
      <c r="AC36" s="49"/>
      <c r="AD36" s="50"/>
      <c r="AE36" s="163"/>
      <c r="AF36" s="49"/>
      <c r="AG36" s="50"/>
      <c r="AH36" s="51"/>
      <c r="AI36" s="50"/>
      <c r="AJ36" s="50"/>
      <c r="AK36" s="50"/>
      <c r="AL36" s="17"/>
      <c r="AM36" s="49"/>
      <c r="AN36" s="47"/>
      <c r="AO36" s="163"/>
      <c r="AP36" s="49"/>
      <c r="AQ36" s="50"/>
      <c r="AR36" s="51"/>
      <c r="AS36" s="17"/>
      <c r="AT36" s="47"/>
      <c r="AU36" s="47"/>
      <c r="AV36" s="51"/>
      <c r="AW36" s="2"/>
      <c r="AX36" s="51"/>
      <c r="AY36" s="51"/>
      <c r="AZ36" s="51"/>
      <c r="BA36" s="2"/>
      <c r="BB36" s="47"/>
      <c r="BC36" s="47"/>
      <c r="BD36" s="48"/>
      <c r="BE36" s="49"/>
      <c r="BF36" s="50"/>
      <c r="BG36" s="237"/>
      <c r="BI36" s="199" t="s">
        <v>23</v>
      </c>
      <c r="BJ36" s="81"/>
      <c r="BK36" s="21">
        <v>11059.387897326431</v>
      </c>
      <c r="BL36" s="92">
        <f t="shared" si="388"/>
        <v>-11059.387897326431</v>
      </c>
      <c r="BM36" s="254"/>
      <c r="BN36" s="21">
        <v>5973.8421106670085</v>
      </c>
      <c r="BO36" s="82">
        <f t="shared" si="389"/>
        <v>-5973.8421106670085</v>
      </c>
      <c r="BP36" s="197"/>
      <c r="BQ36" s="254"/>
      <c r="BR36" s="21">
        <v>1830.3720490908759</v>
      </c>
      <c r="BS36" s="220">
        <f t="shared" si="390"/>
        <v>-1830.3720490908759</v>
      </c>
      <c r="BT36" s="5"/>
      <c r="BU36" s="15"/>
      <c r="BV36" s="214"/>
      <c r="BW36" s="107">
        <v>1313.7694143384299</v>
      </c>
      <c r="BX36" s="84">
        <f t="shared" si="391"/>
        <v>-1313.7694143384299</v>
      </c>
      <c r="BY36" s="207"/>
      <c r="BZ36" s="83"/>
      <c r="CA36" s="107">
        <v>16382.86827351331</v>
      </c>
      <c r="CB36" s="215">
        <f t="shared" si="392"/>
        <v>-16382.86827351331</v>
      </c>
    </row>
    <row r="37" spans="1:92" ht="13.5" customHeight="1" thickBot="1" x14ac:dyDescent="0.4">
      <c r="A37" s="46">
        <v>27</v>
      </c>
      <c r="B37" s="49"/>
      <c r="C37" s="47"/>
      <c r="D37" s="163"/>
      <c r="E37" s="49"/>
      <c r="F37" s="50"/>
      <c r="G37" s="163"/>
      <c r="H37" s="173"/>
      <c r="I37" s="49"/>
      <c r="J37" s="50"/>
      <c r="K37" s="163"/>
      <c r="L37" s="50"/>
      <c r="M37" s="50"/>
      <c r="N37" s="50"/>
      <c r="O37" s="49"/>
      <c r="P37" s="50"/>
      <c r="Q37" s="163"/>
      <c r="R37" s="50"/>
      <c r="S37" s="50"/>
      <c r="T37" s="50"/>
      <c r="U37" s="173"/>
      <c r="V37" s="49"/>
      <c r="W37" s="47"/>
      <c r="X37" s="163"/>
      <c r="Y37" s="117"/>
      <c r="Z37" s="118"/>
      <c r="AA37" s="119"/>
      <c r="AB37" s="120"/>
      <c r="AC37" s="49"/>
      <c r="AD37" s="50"/>
      <c r="AE37" s="163"/>
      <c r="AF37" s="49"/>
      <c r="AG37" s="50"/>
      <c r="AH37" s="51"/>
      <c r="AI37" s="50"/>
      <c r="AJ37" s="50"/>
      <c r="AK37" s="50"/>
      <c r="AL37" s="17"/>
      <c r="AM37" s="49"/>
      <c r="AN37" s="47"/>
      <c r="AO37" s="163"/>
      <c r="AP37" s="49"/>
      <c r="AQ37" s="50"/>
      <c r="AR37" s="51"/>
      <c r="AS37" s="17"/>
      <c r="AT37" s="47"/>
      <c r="AU37" s="47"/>
      <c r="AV37" s="51"/>
      <c r="AW37" s="2"/>
      <c r="AX37" s="51"/>
      <c r="AY37" s="51"/>
      <c r="AZ37" s="51"/>
      <c r="BA37" s="2"/>
      <c r="BB37" s="47"/>
      <c r="BC37" s="47"/>
      <c r="BD37" s="48"/>
      <c r="BE37" s="49"/>
      <c r="BF37" s="50"/>
      <c r="BG37" s="237"/>
      <c r="BI37" s="199" t="s">
        <v>17</v>
      </c>
      <c r="BJ37" s="81"/>
      <c r="BK37" s="21">
        <v>11101.075707872222</v>
      </c>
      <c r="BL37" s="92">
        <f t="shared" si="388"/>
        <v>-11101.075707872222</v>
      </c>
      <c r="BM37" s="254"/>
      <c r="BN37" s="21">
        <v>6052.2746939036369</v>
      </c>
      <c r="BO37" s="82">
        <f t="shared" si="389"/>
        <v>-6052.2746939036369</v>
      </c>
      <c r="BP37" s="197"/>
      <c r="BQ37" s="254"/>
      <c r="BR37" s="21">
        <v>1767.2672236712367</v>
      </c>
      <c r="BS37" s="220">
        <f t="shared" si="390"/>
        <v>-1767.2672236712367</v>
      </c>
      <c r="BT37" s="5"/>
      <c r="BU37" s="15"/>
      <c r="BV37" s="214"/>
      <c r="BW37" s="107">
        <v>1284.1484877921591</v>
      </c>
      <c r="BX37" s="84">
        <f t="shared" si="391"/>
        <v>-1284.1484877921591</v>
      </c>
      <c r="BY37" s="207"/>
      <c r="BZ37" s="83"/>
      <c r="CA37" s="107">
        <v>16128.697029100895</v>
      </c>
      <c r="CB37" s="215">
        <f t="shared" si="392"/>
        <v>-16128.697029100895</v>
      </c>
    </row>
    <row r="38" spans="1:92" ht="15" customHeight="1" x14ac:dyDescent="0.35">
      <c r="A38" s="46">
        <v>28</v>
      </c>
      <c r="B38" s="49"/>
      <c r="C38" s="47"/>
      <c r="D38" s="163"/>
      <c r="E38" s="49"/>
      <c r="F38" s="50"/>
      <c r="G38" s="163"/>
      <c r="H38" s="173"/>
      <c r="I38" s="49"/>
      <c r="J38" s="50"/>
      <c r="K38" s="163"/>
      <c r="L38" s="50"/>
      <c r="M38" s="50"/>
      <c r="N38" s="50"/>
      <c r="O38" s="49"/>
      <c r="P38" s="50"/>
      <c r="Q38" s="163"/>
      <c r="R38" s="50"/>
      <c r="S38" s="50"/>
      <c r="T38" s="50"/>
      <c r="U38" s="173"/>
      <c r="V38" s="49"/>
      <c r="W38" s="47"/>
      <c r="X38" s="163"/>
      <c r="Y38" s="2"/>
      <c r="Z38" s="53"/>
      <c r="AA38" s="54"/>
      <c r="AB38" s="52"/>
      <c r="AC38" s="49"/>
      <c r="AD38" s="50"/>
      <c r="AE38" s="163"/>
      <c r="AF38" s="49"/>
      <c r="AG38" s="50"/>
      <c r="AH38" s="51"/>
      <c r="AI38" s="50"/>
      <c r="AJ38" s="50"/>
      <c r="AK38" s="50"/>
      <c r="AL38" s="17"/>
      <c r="AM38" s="49"/>
      <c r="AN38" s="47"/>
      <c r="AO38" s="163"/>
      <c r="AP38" s="49"/>
      <c r="AQ38" s="50"/>
      <c r="AR38" s="51"/>
      <c r="AS38" s="17"/>
      <c r="AT38" s="47"/>
      <c r="AU38" s="47"/>
      <c r="AV38" s="51"/>
      <c r="AW38" s="2"/>
      <c r="AX38" s="51"/>
      <c r="AY38" s="51"/>
      <c r="AZ38" s="51"/>
      <c r="BA38" s="2"/>
      <c r="BB38" s="47"/>
      <c r="BC38" s="47"/>
      <c r="BD38" s="48"/>
      <c r="BE38" s="49"/>
      <c r="BF38" s="50"/>
      <c r="BG38" s="237"/>
      <c r="BI38" s="199" t="s">
        <v>10</v>
      </c>
      <c r="BJ38" s="81"/>
      <c r="BK38" s="21">
        <v>10779.263002463777</v>
      </c>
      <c r="BL38" s="92">
        <f t="shared" si="388"/>
        <v>-10779.263002463777</v>
      </c>
      <c r="BM38" s="254"/>
      <c r="BN38" s="21">
        <v>5872.3145003282016</v>
      </c>
      <c r="BO38" s="82">
        <f t="shared" si="389"/>
        <v>-5872.3145003282016</v>
      </c>
      <c r="BP38" s="197"/>
      <c r="BQ38" s="254"/>
      <c r="BR38" s="21">
        <v>1651.7637108019353</v>
      </c>
      <c r="BS38" s="220">
        <f t="shared" si="390"/>
        <v>-1651.7637108019353</v>
      </c>
      <c r="BT38" s="5"/>
      <c r="BU38" s="15"/>
      <c r="BV38" s="214"/>
      <c r="BW38" s="107">
        <v>1208.7646526683636</v>
      </c>
      <c r="BX38" s="84">
        <f t="shared" si="391"/>
        <v>-1208.7646526683636</v>
      </c>
      <c r="BY38" s="207"/>
      <c r="BZ38" s="83"/>
      <c r="CA38" s="107">
        <v>15277.645896647065</v>
      </c>
      <c r="CB38" s="215">
        <f t="shared" si="392"/>
        <v>-15277.645896647065</v>
      </c>
    </row>
    <row r="39" spans="1:92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11157.159529517237</v>
      </c>
      <c r="BL39" s="92">
        <f t="shared" si="388"/>
        <v>-11157.159529517237</v>
      </c>
      <c r="BM39" s="254"/>
      <c r="BN39" s="21">
        <v>6087.579337493291</v>
      </c>
      <c r="BO39" s="82">
        <f t="shared" si="389"/>
        <v>-6087.579337493291</v>
      </c>
      <c r="BP39" s="197"/>
      <c r="BQ39" s="254"/>
      <c r="BR39" s="21">
        <v>2795.5735691705136</v>
      </c>
      <c r="BS39" s="220">
        <f t="shared" si="390"/>
        <v>-2795.5735691705136</v>
      </c>
      <c r="BT39" s="5"/>
      <c r="BU39" s="15"/>
      <c r="BV39" s="214"/>
      <c r="BW39" s="107">
        <v>1215.1479933416113</v>
      </c>
      <c r="BX39" s="84">
        <f t="shared" si="391"/>
        <v>-1215.1479933416113</v>
      </c>
      <c r="BY39" s="207"/>
      <c r="BZ39" s="83"/>
      <c r="CA39" s="107">
        <v>15450.20609576125</v>
      </c>
      <c r="CB39" s="215">
        <f t="shared" si="392"/>
        <v>-15450.20609576125</v>
      </c>
    </row>
    <row r="40" spans="1:92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388"/>
        <v>-10743.073388846915</v>
      </c>
      <c r="BM40" s="254"/>
      <c r="BN40" s="21">
        <v>5832.3583361673891</v>
      </c>
      <c r="BO40" s="82">
        <f t="shared" si="389"/>
        <v>-5832.3583361673891</v>
      </c>
      <c r="BP40" s="197"/>
      <c r="BQ40" s="254"/>
      <c r="BR40" s="21">
        <v>2603.1652017662027</v>
      </c>
      <c r="BS40" s="220">
        <f t="shared" si="390"/>
        <v>-2603.1652017662027</v>
      </c>
      <c r="BT40" s="5"/>
      <c r="BU40" s="15"/>
      <c r="BV40" s="214"/>
      <c r="BW40" s="107">
        <v>1153.3893710620828</v>
      </c>
      <c r="BX40" s="84">
        <f t="shared" si="391"/>
        <v>-1153.3893710620828</v>
      </c>
      <c r="BY40" s="207"/>
      <c r="BZ40" s="83"/>
      <c r="CA40" s="107">
        <v>14780.364315283223</v>
      </c>
      <c r="CB40" s="215">
        <f t="shared" si="392"/>
        <v>-14780.364315283223</v>
      </c>
    </row>
    <row r="41" spans="1:92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388"/>
        <v>-11004.303480979688</v>
      </c>
      <c r="BM41" s="254"/>
      <c r="BN41" s="21">
        <v>5961.3589319686052</v>
      </c>
      <c r="BO41" s="82">
        <f t="shared" si="389"/>
        <v>-5961.3589319686052</v>
      </c>
      <c r="BP41" s="197"/>
      <c r="BQ41" s="254"/>
      <c r="BR41" s="21">
        <v>2589.4017939279993</v>
      </c>
      <c r="BS41" s="220">
        <f t="shared" si="390"/>
        <v>-2589.4017939279993</v>
      </c>
      <c r="BT41" s="5"/>
      <c r="BU41" s="15"/>
      <c r="BV41" s="214"/>
      <c r="BW41" s="107">
        <v>1164.8762045276405</v>
      </c>
      <c r="BX41" s="84">
        <f t="shared" si="391"/>
        <v>-1164.8762045276405</v>
      </c>
      <c r="BY41" s="207"/>
      <c r="BZ41" s="83"/>
      <c r="CA41" s="107">
        <v>15031.252261225651</v>
      </c>
      <c r="CB41" s="215">
        <f t="shared" si="392"/>
        <v>-15031.252261225651</v>
      </c>
    </row>
    <row r="42" spans="1:92" ht="15" customHeight="1" thickBot="1" x14ac:dyDescent="0.3">
      <c r="A42" s="23"/>
      <c r="B42" s="400"/>
      <c r="C42" s="371"/>
      <c r="D42" s="371"/>
      <c r="E42" s="371"/>
      <c r="F42" s="371"/>
      <c r="G42" s="371"/>
      <c r="H42" s="23"/>
      <c r="I42" s="369"/>
      <c r="J42" s="370"/>
      <c r="K42" s="370"/>
      <c r="L42" s="370"/>
      <c r="M42" s="370"/>
      <c r="N42" s="370"/>
      <c r="O42" s="369"/>
      <c r="P42" s="370"/>
      <c r="Q42" s="370"/>
      <c r="R42" s="370"/>
      <c r="S42" s="370"/>
      <c r="T42" s="370"/>
      <c r="U42" s="23"/>
      <c r="V42" s="405"/>
      <c r="W42" s="406"/>
      <c r="X42" s="406"/>
      <c r="Y42" s="23"/>
      <c r="Z42" s="23"/>
      <c r="AA42" s="23"/>
      <c r="AB42" s="23"/>
      <c r="AC42" s="400"/>
      <c r="AD42" s="407"/>
      <c r="AE42" s="407"/>
      <c r="AF42" s="407"/>
      <c r="AG42" s="407"/>
      <c r="AH42" s="407"/>
      <c r="AI42" s="407"/>
      <c r="AJ42" s="407"/>
      <c r="AK42" s="407"/>
      <c r="AL42" s="23"/>
      <c r="AM42" s="400"/>
      <c r="AN42" s="371"/>
      <c r="AO42" s="371"/>
      <c r="AP42" s="371"/>
      <c r="AQ42" s="371"/>
      <c r="AR42" s="371"/>
      <c r="AS42" s="23"/>
      <c r="AT42" s="405"/>
      <c r="AU42" s="406"/>
      <c r="AV42" s="406"/>
      <c r="AW42" s="23"/>
      <c r="AX42" s="405"/>
      <c r="AY42" s="406"/>
      <c r="AZ42" s="406"/>
      <c r="BA42" s="23"/>
      <c r="BB42" s="400"/>
      <c r="BC42" s="371"/>
      <c r="BD42" s="371"/>
      <c r="BE42" s="371"/>
      <c r="BF42" s="371"/>
      <c r="BG42" s="371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2" ht="15.75" customHeight="1" x14ac:dyDescent="0.25">
      <c r="A43" s="23"/>
      <c r="B43" s="371"/>
      <c r="C43" s="371"/>
      <c r="D43" s="371"/>
      <c r="E43" s="371"/>
      <c r="F43" s="371"/>
      <c r="G43" s="371"/>
      <c r="H43" s="23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23"/>
      <c r="V43" s="406"/>
      <c r="W43" s="406"/>
      <c r="X43" s="406"/>
      <c r="Y43" s="23"/>
      <c r="Z43" s="23"/>
      <c r="AA43" s="23"/>
      <c r="AB43" s="23"/>
      <c r="AC43" s="407"/>
      <c r="AD43" s="407"/>
      <c r="AE43" s="407"/>
      <c r="AF43" s="407"/>
      <c r="AG43" s="407"/>
      <c r="AH43" s="407"/>
      <c r="AI43" s="407"/>
      <c r="AJ43" s="407"/>
      <c r="AK43" s="407"/>
      <c r="AL43" s="23"/>
      <c r="AM43" s="371"/>
      <c r="AN43" s="371"/>
      <c r="AO43" s="371"/>
      <c r="AP43" s="371"/>
      <c r="AQ43" s="371"/>
      <c r="AR43" s="371"/>
      <c r="AS43" s="23"/>
      <c r="AT43" s="406"/>
      <c r="AU43" s="406"/>
      <c r="AV43" s="406"/>
      <c r="AW43" s="23"/>
      <c r="AX43" s="406"/>
      <c r="AY43" s="406"/>
      <c r="AZ43" s="406"/>
      <c r="BA43" s="23"/>
      <c r="BB43" s="371"/>
      <c r="BC43" s="371"/>
      <c r="BD43" s="371"/>
      <c r="BE43" s="371"/>
      <c r="BF43" s="371"/>
      <c r="BG43" s="371"/>
      <c r="BH43" s="14"/>
      <c r="BJ43" s="20"/>
      <c r="BK43" s="90"/>
    </row>
    <row r="44" spans="1:92" ht="13.5" customHeight="1" x14ac:dyDescent="0.25">
      <c r="A44" s="23"/>
      <c r="B44" s="371"/>
      <c r="C44" s="371"/>
      <c r="D44" s="371"/>
      <c r="E44" s="371"/>
      <c r="F44" s="371"/>
      <c r="G44" s="371"/>
      <c r="H44" s="23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23"/>
      <c r="V44" s="406"/>
      <c r="W44" s="406"/>
      <c r="X44" s="406"/>
      <c r="Y44" s="23"/>
      <c r="Z44" s="23"/>
      <c r="AA44" s="23"/>
      <c r="AB44" s="23"/>
      <c r="AC44" s="407"/>
      <c r="AD44" s="407"/>
      <c r="AE44" s="407"/>
      <c r="AF44" s="407"/>
      <c r="AG44" s="407"/>
      <c r="AH44" s="407"/>
      <c r="AI44" s="407"/>
      <c r="AJ44" s="407"/>
      <c r="AK44" s="407"/>
      <c r="AL44" s="23"/>
      <c r="AM44" s="371"/>
      <c r="AN44" s="371"/>
      <c r="AO44" s="371"/>
      <c r="AP44" s="371"/>
      <c r="AQ44" s="371"/>
      <c r="AR44" s="371"/>
      <c r="AS44" s="23"/>
      <c r="AT44" s="406"/>
      <c r="AU44" s="406"/>
      <c r="AV44" s="406"/>
      <c r="AW44" s="23"/>
      <c r="AX44" s="406"/>
      <c r="AY44" s="406"/>
      <c r="AZ44" s="406"/>
      <c r="BA44" s="23"/>
      <c r="BB44" s="371"/>
      <c r="BC44" s="371"/>
      <c r="BD44" s="371"/>
      <c r="BE44" s="371"/>
      <c r="BF44" s="371"/>
      <c r="BG44" s="371"/>
      <c r="BH44" s="14"/>
      <c r="BJ44" s="20"/>
      <c r="BK44" s="20"/>
    </row>
    <row r="45" spans="1:92" ht="14.25" customHeight="1" x14ac:dyDescent="0.25">
      <c r="A45" s="23"/>
      <c r="C45" s="157"/>
      <c r="D45" s="23"/>
      <c r="F45" s="23"/>
      <c r="G45" s="23"/>
      <c r="H45" s="23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23"/>
      <c r="V45" s="406"/>
      <c r="W45" s="406"/>
      <c r="X45" s="406"/>
      <c r="Y45" s="23"/>
      <c r="Z45" s="23"/>
      <c r="AA45" s="23"/>
      <c r="AB45" s="23"/>
      <c r="AC45" s="408"/>
      <c r="AD45" s="409"/>
      <c r="AE45" s="409"/>
      <c r="AF45" s="409"/>
      <c r="AG45" s="409"/>
      <c r="AH45" s="409"/>
      <c r="AI45" s="409"/>
      <c r="AJ45" s="409"/>
      <c r="AK45" s="409"/>
      <c r="AL45" s="23"/>
      <c r="AM45" s="23"/>
      <c r="AN45" s="23"/>
      <c r="AO45" s="23"/>
      <c r="AP45" s="23"/>
      <c r="AQ45" s="23"/>
      <c r="AR45" s="23"/>
      <c r="AS45" s="23"/>
      <c r="AT45" s="406"/>
      <c r="AU45" s="406"/>
      <c r="AV45" s="406"/>
      <c r="AW45" s="23"/>
      <c r="AX45" s="406"/>
      <c r="AY45" s="406"/>
      <c r="AZ45" s="406"/>
      <c r="BA45" s="23"/>
      <c r="BB45" s="159"/>
      <c r="BC45" s="160"/>
      <c r="BD45" s="159"/>
      <c r="BE45" s="159"/>
      <c r="BF45" s="159"/>
      <c r="BG45" s="159"/>
      <c r="BH45" s="14"/>
      <c r="BJ45" s="20"/>
    </row>
    <row r="46" spans="1:92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409"/>
      <c r="AD46" s="409"/>
      <c r="AE46" s="409"/>
      <c r="AF46" s="409"/>
      <c r="AG46" s="409"/>
      <c r="AH46" s="409"/>
      <c r="AI46" s="409"/>
      <c r="AJ46" s="409"/>
      <c r="AK46" s="409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</row>
    <row r="47" spans="1:92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409"/>
      <c r="AD47" s="409"/>
      <c r="AE47" s="409"/>
      <c r="AF47" s="409"/>
      <c r="AG47" s="409"/>
      <c r="AH47" s="409"/>
      <c r="AI47" s="409"/>
      <c r="AJ47" s="409"/>
      <c r="AK47" s="409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11" t="s">
        <v>118</v>
      </c>
      <c r="BJ47" s="312"/>
      <c r="BK47" s="312"/>
      <c r="BL47" s="312"/>
      <c r="BM47" s="312"/>
      <c r="BN47" s="312"/>
      <c r="BO47" s="312"/>
      <c r="BP47" s="312"/>
      <c r="BQ47" s="312"/>
      <c r="BR47" s="312"/>
      <c r="BS47" s="312"/>
      <c r="BT47" s="313"/>
    </row>
    <row r="48" spans="1:92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</row>
    <row r="49" spans="1:72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54"/>
      <c r="BK49" s="355"/>
      <c r="BL49" s="355"/>
      <c r="BM49" s="355"/>
      <c r="BN49" s="355"/>
      <c r="BO49" s="356"/>
      <c r="BP49" s="60"/>
      <c r="BQ49" s="360"/>
      <c r="BR49" s="360"/>
      <c r="BS49" s="360"/>
      <c r="BT49" s="69"/>
    </row>
    <row r="50" spans="1:72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57" t="s">
        <v>52</v>
      </c>
      <c r="BK50" s="358"/>
      <c r="BL50" s="358"/>
      <c r="BM50" s="358"/>
      <c r="BN50" s="358"/>
      <c r="BO50" s="359"/>
      <c r="BP50" s="60"/>
      <c r="BQ50" s="361"/>
      <c r="BR50" s="361"/>
      <c r="BS50" s="361"/>
      <c r="BT50" s="70"/>
    </row>
    <row r="51" spans="1:72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72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72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72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393">BJ54-BK54</f>
        <v>-709.00054269733346</v>
      </c>
      <c r="BM54" s="253">
        <v>3323.3180000000002</v>
      </c>
      <c r="BN54" s="21">
        <v>3352.8927140551687</v>
      </c>
      <c r="BO54" s="220">
        <f t="shared" ref="BO54:BO65" si="394">BM54-BN54</f>
        <v>-29.574714055168442</v>
      </c>
      <c r="BP54" s="80"/>
      <c r="BQ54" s="96"/>
      <c r="BR54" s="97"/>
      <c r="BS54" s="98"/>
      <c r="BT54" s="5"/>
    </row>
    <row r="55" spans="1:72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393"/>
        <v>-697.95352329832804</v>
      </c>
      <c r="BM55" s="253">
        <v>2996.2914576344101</v>
      </c>
      <c r="BN55" s="21">
        <v>3103.0593240260428</v>
      </c>
      <c r="BO55" s="220">
        <f t="shared" si="394"/>
        <v>-106.76786639163265</v>
      </c>
      <c r="BP55" s="80"/>
      <c r="BQ55" s="96"/>
      <c r="BR55" s="97"/>
      <c r="BS55" s="98"/>
      <c r="BT55" s="5"/>
    </row>
    <row r="56" spans="1:72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4708.1380661742114</v>
      </c>
      <c r="BL56" s="92">
        <f t="shared" si="393"/>
        <v>-750.13806617421142</v>
      </c>
      <c r="BM56" s="253">
        <v>3369.9969999999998</v>
      </c>
      <c r="BN56" s="21">
        <v>3503.9933612680038</v>
      </c>
      <c r="BO56" s="220">
        <f t="shared" si="394"/>
        <v>-133.99636126800397</v>
      </c>
      <c r="BP56" s="80"/>
      <c r="BQ56" s="96"/>
      <c r="BR56" s="97"/>
      <c r="BS56" s="98"/>
      <c r="BT56" s="5"/>
    </row>
    <row r="57" spans="1:72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4491.1386812116671</v>
      </c>
      <c r="BL57" s="92">
        <f t="shared" si="393"/>
        <v>-804.14868121166728</v>
      </c>
      <c r="BM57" s="254">
        <v>3411.3465376344102</v>
      </c>
      <c r="BN57" s="21">
        <v>3307.1620041619899</v>
      </c>
      <c r="BO57" s="220">
        <f t="shared" si="394"/>
        <v>104.1845334724203</v>
      </c>
      <c r="BP57" s="80"/>
      <c r="BQ57" s="96"/>
      <c r="BR57" s="97"/>
      <c r="BS57" s="98"/>
      <c r="BT57" s="5"/>
    </row>
    <row r="58" spans="1:72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4530.8850726316477</v>
      </c>
      <c r="BL58" s="92">
        <f t="shared" si="393"/>
        <v>-461.44507263164815</v>
      </c>
      <c r="BM58" s="254">
        <v>4970.3708010752698</v>
      </c>
      <c r="BN58" s="21">
        <v>3325.1405241232474</v>
      </c>
      <c r="BO58" s="220">
        <f t="shared" si="394"/>
        <v>1645.2302769520225</v>
      </c>
      <c r="BP58" s="80"/>
      <c r="BQ58" s="96"/>
      <c r="BR58" s="97"/>
      <c r="BS58" s="99"/>
      <c r="BT58" s="5"/>
    </row>
    <row r="59" spans="1:72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4283.0861951820316</v>
      </c>
      <c r="BL59" s="92">
        <f t="shared" si="393"/>
        <v>-642.36619518203088</v>
      </c>
      <c r="BM59" s="270">
        <v>4421.1381332258097</v>
      </c>
      <c r="BN59" s="21">
        <v>3129.7852570267542</v>
      </c>
      <c r="BO59" s="220">
        <f t="shared" si="394"/>
        <v>1291.3528761990556</v>
      </c>
      <c r="BP59" s="80"/>
      <c r="BQ59" s="96"/>
      <c r="BR59" s="97"/>
      <c r="BS59" s="99"/>
      <c r="BT59" s="5"/>
    </row>
    <row r="60" spans="1:72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/>
      <c r="BK60" s="21">
        <v>4328.4751433553638</v>
      </c>
      <c r="BL60" s="92">
        <f t="shared" si="393"/>
        <v>-4328.4751433553638</v>
      </c>
      <c r="BM60" s="254"/>
      <c r="BN60" s="21">
        <v>3147.5039614155517</v>
      </c>
      <c r="BO60" s="220">
        <f t="shared" si="394"/>
        <v>-3147.5039614155517</v>
      </c>
      <c r="BP60" s="80"/>
      <c r="BQ60" s="96"/>
      <c r="BR60" s="97"/>
      <c r="BS60" s="99"/>
      <c r="BT60" s="5"/>
    </row>
    <row r="61" spans="1:72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/>
      <c r="BK61" s="21">
        <v>4230.6362001414072</v>
      </c>
      <c r="BL61" s="92">
        <f t="shared" si="393"/>
        <v>-4230.6362001414072</v>
      </c>
      <c r="BM61" s="254"/>
      <c r="BN61" s="21">
        <v>3062.6357872950184</v>
      </c>
      <c r="BO61" s="220">
        <f t="shared" si="394"/>
        <v>-3062.6357872950184</v>
      </c>
      <c r="BP61" s="80"/>
      <c r="BQ61" s="96"/>
      <c r="BR61" s="97"/>
      <c r="BS61" s="99"/>
      <c r="BT61" s="5"/>
    </row>
    <row r="62" spans="1:72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393"/>
        <v>-4885.6218678638943</v>
      </c>
      <c r="BM62" s="254"/>
      <c r="BN62" s="21">
        <v>3157.1791464073208</v>
      </c>
      <c r="BO62" s="220">
        <f t="shared" si="394"/>
        <v>-3157.1791464073208</v>
      </c>
      <c r="BP62" s="80"/>
      <c r="BQ62" s="96"/>
      <c r="BR62" s="97"/>
      <c r="BS62" s="99"/>
      <c r="BT62" s="5"/>
    </row>
    <row r="63" spans="1:72" ht="15" customHeight="1" x14ac:dyDescent="0.25">
      <c r="BI63" s="199" t="s">
        <v>25</v>
      </c>
      <c r="BJ63" s="81"/>
      <c r="BK63" s="21">
        <v>6364.0145735796496</v>
      </c>
      <c r="BL63" s="92">
        <f t="shared" si="393"/>
        <v>-6364.0145735796496</v>
      </c>
      <c r="BM63" s="254"/>
      <c r="BN63" s="21">
        <v>3635.166438605439</v>
      </c>
      <c r="BO63" s="220">
        <f t="shared" si="394"/>
        <v>-3635.166438605439</v>
      </c>
      <c r="BP63" s="80"/>
      <c r="BQ63" s="96"/>
      <c r="BR63" s="97"/>
      <c r="BS63" s="99"/>
      <c r="BT63" s="5"/>
    </row>
    <row r="64" spans="1:72" ht="15" customHeight="1" x14ac:dyDescent="0.25">
      <c r="BI64" s="199" t="s">
        <v>11</v>
      </c>
      <c r="BJ64" s="81"/>
      <c r="BK64" s="21">
        <v>6442.0657546335988</v>
      </c>
      <c r="BL64" s="92">
        <f t="shared" si="393"/>
        <v>-6442.0657546335988</v>
      </c>
      <c r="BM64" s="254"/>
      <c r="BN64" s="21">
        <v>3592.3211179648733</v>
      </c>
      <c r="BO64" s="220">
        <f t="shared" si="394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393"/>
        <v>-6359.5018162868801</v>
      </c>
      <c r="BM65" s="254"/>
      <c r="BN65" s="21">
        <v>3604.9264366143657</v>
      </c>
      <c r="BO65" s="220">
        <f t="shared" si="394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89">
    <mergeCell ref="BB6:BG6"/>
    <mergeCell ref="B6:G6"/>
    <mergeCell ref="V6:X6"/>
    <mergeCell ref="Z6:AB6"/>
    <mergeCell ref="BB42:BG44"/>
    <mergeCell ref="BB7:BG7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AT7:AV7"/>
    <mergeCell ref="B5:G5"/>
    <mergeCell ref="A4:G4"/>
    <mergeCell ref="AM4:AR4"/>
    <mergeCell ref="AM5:AR5"/>
    <mergeCell ref="AC4:AK4"/>
    <mergeCell ref="V4:X4"/>
    <mergeCell ref="AM6:AR6"/>
    <mergeCell ref="AC6:AK6"/>
    <mergeCell ref="I8:N8"/>
    <mergeCell ref="V5:X5"/>
    <mergeCell ref="V8:X8"/>
    <mergeCell ref="E8:G8"/>
    <mergeCell ref="V7:X7"/>
    <mergeCell ref="AT6:AV6"/>
    <mergeCell ref="I42:N45"/>
    <mergeCell ref="I4:T4"/>
    <mergeCell ref="I5:T5"/>
    <mergeCell ref="I6:T6"/>
    <mergeCell ref="I7:T7"/>
    <mergeCell ref="O8:T8"/>
    <mergeCell ref="O42:T45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Z5:CB5"/>
    <mergeCell ref="BJ5:BO5"/>
    <mergeCell ref="BQ5:BS5"/>
    <mergeCell ref="BV5:BX5"/>
    <mergeCell ref="BB1:BG1"/>
    <mergeCell ref="BJ4:BO4"/>
    <mergeCell ref="BQ4:BS4"/>
    <mergeCell ref="BV2:CB2"/>
    <mergeCell ref="BI2:BT2"/>
    <mergeCell ref="BV4:BX4"/>
    <mergeCell ref="BZ4:CB4"/>
    <mergeCell ref="BB4:BG4"/>
    <mergeCell ref="AX5:AZ5"/>
    <mergeCell ref="Z5:AB5"/>
    <mergeCell ref="AX4:AZ4"/>
    <mergeCell ref="Z4:AB4"/>
    <mergeCell ref="BB5:BG5"/>
    <mergeCell ref="AT5:AV5"/>
    <mergeCell ref="AC5:AK5"/>
    <mergeCell ref="AT4:AV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topLeftCell="A60" zoomScale="120" zoomScaleNormal="120" workbookViewId="0">
      <selection activeCell="H71" sqref="H71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Julio 2021</v>
      </c>
      <c r="E1" s="239"/>
      <c r="F1" s="239"/>
      <c r="G1" s="414" t="s">
        <v>88</v>
      </c>
      <c r="H1" s="415"/>
      <c r="I1" s="415"/>
      <c r="J1" s="415"/>
      <c r="K1" s="415"/>
      <c r="L1" s="18" t="s">
        <v>54</v>
      </c>
      <c r="N1" s="165"/>
      <c r="O1" s="166"/>
      <c r="P1" s="166"/>
      <c r="Q1" s="167" t="str">
        <f>D1</f>
        <v>Julio 2021</v>
      </c>
      <c r="R1" s="166"/>
      <c r="S1" s="416" t="s">
        <v>89</v>
      </c>
      <c r="T1" s="417"/>
      <c r="U1" s="417"/>
      <c r="V1" s="417"/>
      <c r="W1" s="417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609.94000000000005</v>
      </c>
      <c r="C3" s="126" t="s">
        <v>65</v>
      </c>
      <c r="D3" s="126">
        <f>Prodiarias!V11</f>
        <v>169</v>
      </c>
      <c r="E3" s="126">
        <f>Prodiarias!AC11</f>
        <v>291.64</v>
      </c>
      <c r="F3" s="126">
        <f>Prodiarias!AM11</f>
        <v>117.06</v>
      </c>
      <c r="G3" s="126">
        <f>Prodiarias!AT11</f>
        <v>710.28621402448721</v>
      </c>
      <c r="H3" s="126">
        <f>Prodiarias!AX11</f>
        <v>401.06535220225794</v>
      </c>
      <c r="I3" s="126">
        <f>Prodiarias!BB11</f>
        <v>8.5800604229607256</v>
      </c>
      <c r="J3" s="126">
        <f>SUM(B3:I3)</f>
        <v>2307.5716266497056</v>
      </c>
      <c r="K3" s="242">
        <f>J3*6.28</f>
        <v>14491.549815360153</v>
      </c>
      <c r="N3" s="125">
        <v>1</v>
      </c>
      <c r="O3" s="126">
        <f>B3*0.8</f>
        <v>487.95200000000006</v>
      </c>
      <c r="P3" s="126" t="s">
        <v>65</v>
      </c>
      <c r="Q3" s="126">
        <f t="shared" ref="Q3:Q33" si="0">D3</f>
        <v>169</v>
      </c>
      <c r="R3" s="126">
        <f t="shared" ref="R3:R33" si="1">E3*0.8</f>
        <v>233.31200000000001</v>
      </c>
      <c r="S3" s="126">
        <f t="shared" ref="S3:S33" si="2">F3*0.8</f>
        <v>93.64800000000001</v>
      </c>
      <c r="T3" s="126">
        <f t="shared" ref="T3:T33" si="3">G3</f>
        <v>710.28621402448721</v>
      </c>
      <c r="U3" s="126">
        <f t="shared" ref="U3:U33" si="4">H3</f>
        <v>401.06535220225794</v>
      </c>
      <c r="V3" s="127">
        <f t="shared" ref="V3:V33" si="5">I3*0.35</f>
        <v>3.0030211480362539</v>
      </c>
      <c r="W3" s="128">
        <f t="shared" ref="W3:W33" si="6">SUM(O3:V3)</f>
        <v>2098.2665873747815</v>
      </c>
      <c r="X3" s="138">
        <f>W3*6.28</f>
        <v>13177.114168713628</v>
      </c>
    </row>
    <row r="4" spans="1:24" ht="14.15" customHeight="1" x14ac:dyDescent="0.2">
      <c r="A4" s="135">
        <v>2</v>
      </c>
      <c r="B4" s="126">
        <f>Prodiarias!B12</f>
        <v>612.51</v>
      </c>
      <c r="C4" s="126" t="s">
        <v>65</v>
      </c>
      <c r="D4" s="126">
        <f>Prodiarias!V12</f>
        <v>168</v>
      </c>
      <c r="E4" s="126">
        <f>Prodiarias!AC12</f>
        <v>290.48</v>
      </c>
      <c r="F4" s="126">
        <f>Prodiarias!AM12</f>
        <v>112.96</v>
      </c>
      <c r="G4" s="126">
        <f>Prodiarias!AT12</f>
        <v>719.17156940690097</v>
      </c>
      <c r="H4" s="126">
        <f>Prodiarias!AX12</f>
        <v>400.40228971219591</v>
      </c>
      <c r="I4" s="126">
        <f>Prodiarias!BB12</f>
        <v>7.420893623787566</v>
      </c>
      <c r="J4" s="126">
        <f t="shared" ref="J4" si="7">SUM(B4:I4)</f>
        <v>2310.9447527428842</v>
      </c>
      <c r="K4" s="242">
        <f t="shared" ref="K4" si="8">J4*6.28</f>
        <v>14512.733047225314</v>
      </c>
      <c r="N4" s="125">
        <v>2</v>
      </c>
      <c r="O4" s="126">
        <f t="shared" ref="O4:O32" si="9">B4*0.8</f>
        <v>490.00800000000004</v>
      </c>
      <c r="P4" s="126" t="s">
        <v>65</v>
      </c>
      <c r="Q4" s="126">
        <f t="shared" si="0"/>
        <v>168</v>
      </c>
      <c r="R4" s="126">
        <f t="shared" si="1"/>
        <v>232.38400000000001</v>
      </c>
      <c r="S4" s="126">
        <f t="shared" si="2"/>
        <v>90.367999999999995</v>
      </c>
      <c r="T4" s="126">
        <f t="shared" si="3"/>
        <v>719.17156940690097</v>
      </c>
      <c r="U4" s="126">
        <f t="shared" si="4"/>
        <v>400.40228971219591</v>
      </c>
      <c r="V4" s="127">
        <f t="shared" si="5"/>
        <v>2.5973127683256481</v>
      </c>
      <c r="W4" s="128">
        <f t="shared" si="6"/>
        <v>2102.9311718874224</v>
      </c>
      <c r="X4" s="138">
        <f t="shared" ref="X4:X32" si="10">W4*6.28</f>
        <v>13206.407759453014</v>
      </c>
    </row>
    <row r="5" spans="1:24" ht="14.15" customHeight="1" x14ac:dyDescent="0.2">
      <c r="A5" s="135">
        <v>3</v>
      </c>
      <c r="B5" s="126">
        <f>Prodiarias!B13</f>
        <v>620.26</v>
      </c>
      <c r="C5" s="126" t="s">
        <v>65</v>
      </c>
      <c r="D5" s="126">
        <f>Prodiarias!V13</f>
        <v>168.8</v>
      </c>
      <c r="E5" s="126">
        <f>Prodiarias!AC13</f>
        <v>285.2</v>
      </c>
      <c r="F5" s="126">
        <f>Prodiarias!AM13</f>
        <v>121.75</v>
      </c>
      <c r="G5" s="126">
        <f>Prodiarias!AT13</f>
        <v>728.32087772300849</v>
      </c>
      <c r="H5" s="126">
        <f>Prodiarias!AX13</f>
        <v>400.60263952933695</v>
      </c>
      <c r="I5" s="126">
        <f>Prodiarias!BB13</f>
        <v>0</v>
      </c>
      <c r="J5" s="126">
        <f t="shared" ref="J5:J33" si="11">SUM(B5:I5)</f>
        <v>2324.9335172523456</v>
      </c>
      <c r="K5" s="242">
        <f t="shared" ref="K5:K33" si="12">J5*6.28</f>
        <v>14600.582488344731</v>
      </c>
      <c r="N5" s="125">
        <v>3</v>
      </c>
      <c r="O5" s="126">
        <f t="shared" si="9"/>
        <v>496.20800000000003</v>
      </c>
      <c r="P5" s="126" t="s">
        <v>65</v>
      </c>
      <c r="Q5" s="126">
        <f t="shared" si="0"/>
        <v>168.8</v>
      </c>
      <c r="R5" s="126">
        <f t="shared" si="1"/>
        <v>228.16</v>
      </c>
      <c r="S5" s="126">
        <f t="shared" si="2"/>
        <v>97.4</v>
      </c>
      <c r="T5" s="126">
        <f t="shared" si="3"/>
        <v>728.32087772300849</v>
      </c>
      <c r="U5" s="126">
        <f t="shared" si="4"/>
        <v>400.60263952933695</v>
      </c>
      <c r="V5" s="127">
        <f t="shared" si="5"/>
        <v>0</v>
      </c>
      <c r="W5" s="128">
        <f t="shared" si="6"/>
        <v>2119.4915172523456</v>
      </c>
      <c r="X5" s="138">
        <f t="shared" si="10"/>
        <v>13310.406728344731</v>
      </c>
    </row>
    <row r="6" spans="1:24" ht="14.15" customHeight="1" x14ac:dyDescent="0.2">
      <c r="A6" s="135">
        <v>4</v>
      </c>
      <c r="B6" s="126">
        <f>Prodiarias!B14</f>
        <v>608.4</v>
      </c>
      <c r="C6" s="126" t="s">
        <v>65</v>
      </c>
      <c r="D6" s="126">
        <f>Prodiarias!V14</f>
        <v>170.3</v>
      </c>
      <c r="E6" s="126">
        <f>Prodiarias!AC14</f>
        <v>290.58999999999997</v>
      </c>
      <c r="F6" s="126">
        <f>Prodiarias!AM14</f>
        <v>117.37</v>
      </c>
      <c r="G6" s="126">
        <f>Prodiarias!AT14</f>
        <v>765.54778184131021</v>
      </c>
      <c r="H6" s="126">
        <f>Prodiarias!AX14</f>
        <v>400.28144379074575</v>
      </c>
      <c r="I6" s="126">
        <f>Prodiarias!BB14</f>
        <v>0</v>
      </c>
      <c r="J6" s="126">
        <f t="shared" si="11"/>
        <v>2352.4892256320559</v>
      </c>
      <c r="K6" s="242">
        <f t="shared" si="12"/>
        <v>14773.632336969311</v>
      </c>
      <c r="N6" s="125">
        <v>4</v>
      </c>
      <c r="O6" s="126">
        <f t="shared" si="9"/>
        <v>486.72</v>
      </c>
      <c r="P6" s="126" t="s">
        <v>65</v>
      </c>
      <c r="Q6" s="126">
        <f t="shared" si="0"/>
        <v>170.3</v>
      </c>
      <c r="R6" s="126">
        <f t="shared" si="1"/>
        <v>232.47199999999998</v>
      </c>
      <c r="S6" s="126">
        <f t="shared" si="2"/>
        <v>93.896000000000015</v>
      </c>
      <c r="T6" s="126">
        <f t="shared" si="3"/>
        <v>765.54778184131021</v>
      </c>
      <c r="U6" s="126">
        <f t="shared" si="4"/>
        <v>400.28144379074575</v>
      </c>
      <c r="V6" s="127">
        <f t="shared" si="5"/>
        <v>0</v>
      </c>
      <c r="W6" s="128">
        <f t="shared" si="6"/>
        <v>2149.2172256320559</v>
      </c>
      <c r="X6" s="138">
        <f t="shared" si="10"/>
        <v>13497.084176969312</v>
      </c>
    </row>
    <row r="7" spans="1:24" ht="14.15" customHeight="1" x14ac:dyDescent="0.2">
      <c r="A7" s="135">
        <v>5</v>
      </c>
      <c r="B7" s="126">
        <f>Prodiarias!B15</f>
        <v>628.72</v>
      </c>
      <c r="C7" s="126" t="s">
        <v>65</v>
      </c>
      <c r="D7" s="126">
        <f>Prodiarias!V15</f>
        <v>171.4</v>
      </c>
      <c r="E7" s="126">
        <f>Prodiarias!AC15</f>
        <v>282.18</v>
      </c>
      <c r="F7" s="126">
        <f>Prodiarias!AM15</f>
        <v>131.29</v>
      </c>
      <c r="G7" s="126">
        <f>Prodiarias!AT15</f>
        <v>774.76864366353959</v>
      </c>
      <c r="H7" s="126">
        <f>Prodiarias!AX15</f>
        <v>395.63523612657025</v>
      </c>
      <c r="I7" s="126">
        <f>Prodiarias!BB15</f>
        <v>0</v>
      </c>
      <c r="J7" s="126">
        <f t="shared" si="11"/>
        <v>2383.99387979011</v>
      </c>
      <c r="K7" s="242">
        <f t="shared" si="12"/>
        <v>14971.481565081891</v>
      </c>
      <c r="N7" s="125">
        <v>5</v>
      </c>
      <c r="O7" s="126">
        <f t="shared" si="9"/>
        <v>502.97600000000006</v>
      </c>
      <c r="P7" s="126" t="s">
        <v>65</v>
      </c>
      <c r="Q7" s="126">
        <f t="shared" si="0"/>
        <v>171.4</v>
      </c>
      <c r="R7" s="126">
        <f t="shared" si="1"/>
        <v>225.74400000000003</v>
      </c>
      <c r="S7" s="126">
        <f t="shared" si="2"/>
        <v>105.032</v>
      </c>
      <c r="T7" s="126">
        <f t="shared" si="3"/>
        <v>774.76864366353959</v>
      </c>
      <c r="U7" s="126">
        <f t="shared" si="4"/>
        <v>395.63523612657025</v>
      </c>
      <c r="V7" s="127">
        <f t="shared" si="5"/>
        <v>0</v>
      </c>
      <c r="W7" s="128">
        <f t="shared" si="6"/>
        <v>2175.5558797901099</v>
      </c>
      <c r="X7" s="138">
        <f t="shared" si="10"/>
        <v>13662.490925081891</v>
      </c>
    </row>
    <row r="8" spans="1:24" ht="14.15" customHeight="1" x14ac:dyDescent="0.2">
      <c r="A8" s="135">
        <v>6</v>
      </c>
      <c r="B8" s="126">
        <f>Prodiarias!B16</f>
        <v>656.81</v>
      </c>
      <c r="C8" s="126" t="s">
        <v>65</v>
      </c>
      <c r="D8" s="126">
        <f>Prodiarias!V16</f>
        <v>173.8</v>
      </c>
      <c r="E8" s="126">
        <f>Prodiarias!AC16</f>
        <v>296.01</v>
      </c>
      <c r="F8" s="126">
        <f>Prodiarias!AM16</f>
        <v>123.59</v>
      </c>
      <c r="G8" s="126">
        <f>Prodiarias!AT16</f>
        <v>773.50612179996824</v>
      </c>
      <c r="H8" s="126">
        <f>Prodiarias!AX16</f>
        <v>399.60248052154554</v>
      </c>
      <c r="I8" s="126">
        <f>Prodiarias!BB16</f>
        <v>0</v>
      </c>
      <c r="J8" s="126">
        <f t="shared" si="11"/>
        <v>2423.3186023215135</v>
      </c>
      <c r="K8" s="242">
        <f t="shared" si="12"/>
        <v>15218.440822579105</v>
      </c>
      <c r="N8" s="125">
        <v>6</v>
      </c>
      <c r="O8" s="126">
        <f t="shared" si="9"/>
        <v>525.44799999999998</v>
      </c>
      <c r="P8" s="126" t="s">
        <v>65</v>
      </c>
      <c r="Q8" s="126">
        <f t="shared" si="0"/>
        <v>173.8</v>
      </c>
      <c r="R8" s="126">
        <f t="shared" si="1"/>
        <v>236.80799999999999</v>
      </c>
      <c r="S8" s="126">
        <f t="shared" si="2"/>
        <v>98.872000000000014</v>
      </c>
      <c r="T8" s="126">
        <f t="shared" si="3"/>
        <v>773.50612179996824</v>
      </c>
      <c r="U8" s="126">
        <f t="shared" si="4"/>
        <v>399.60248052154554</v>
      </c>
      <c r="V8" s="127">
        <f t="shared" si="5"/>
        <v>0</v>
      </c>
      <c r="W8" s="128">
        <f t="shared" si="6"/>
        <v>2208.0366023215138</v>
      </c>
      <c r="X8" s="138">
        <f t="shared" si="10"/>
        <v>13866.469862579108</v>
      </c>
    </row>
    <row r="9" spans="1:24" ht="14.15" customHeight="1" x14ac:dyDescent="0.2">
      <c r="A9" s="135">
        <v>7</v>
      </c>
      <c r="B9" s="126">
        <f>Prodiarias!B17</f>
        <v>641.53</v>
      </c>
      <c r="C9" s="126" t="s">
        <v>65</v>
      </c>
      <c r="D9" s="126">
        <f>Prodiarias!V17</f>
        <v>175.6</v>
      </c>
      <c r="E9" s="126">
        <f>Prodiarias!AC17</f>
        <v>283.22000000000003</v>
      </c>
      <c r="F9" s="126">
        <f>Prodiarias!AM17</f>
        <v>133.55000000000001</v>
      </c>
      <c r="G9" s="126">
        <f>Prodiarias!AT17</f>
        <v>773.0879313086341</v>
      </c>
      <c r="H9" s="126">
        <f>Prodiarias!AX17</f>
        <v>399.14453808236601</v>
      </c>
      <c r="I9" s="126">
        <f>Prodiarias!BB17</f>
        <v>0</v>
      </c>
      <c r="J9" s="126">
        <f t="shared" si="11"/>
        <v>2406.1324693910001</v>
      </c>
      <c r="K9" s="242">
        <f t="shared" si="12"/>
        <v>15110.511907775481</v>
      </c>
      <c r="N9" s="125">
        <v>7</v>
      </c>
      <c r="O9" s="126">
        <f t="shared" si="9"/>
        <v>513.22400000000005</v>
      </c>
      <c r="P9" s="126" t="s">
        <v>65</v>
      </c>
      <c r="Q9" s="126">
        <f t="shared" si="0"/>
        <v>175.6</v>
      </c>
      <c r="R9" s="126">
        <f t="shared" si="1"/>
        <v>226.57600000000002</v>
      </c>
      <c r="S9" s="126">
        <f t="shared" si="2"/>
        <v>106.84000000000002</v>
      </c>
      <c r="T9" s="126">
        <f t="shared" si="3"/>
        <v>773.0879313086341</v>
      </c>
      <c r="U9" s="126">
        <f t="shared" si="4"/>
        <v>399.14453808236601</v>
      </c>
      <c r="V9" s="127">
        <f t="shared" si="5"/>
        <v>0</v>
      </c>
      <c r="W9" s="128">
        <f t="shared" si="6"/>
        <v>2194.4724693910002</v>
      </c>
      <c r="X9" s="138">
        <f t="shared" si="10"/>
        <v>13781.287107775483</v>
      </c>
    </row>
    <row r="10" spans="1:24" ht="14.15" customHeight="1" x14ac:dyDescent="0.2">
      <c r="A10" s="135">
        <v>8</v>
      </c>
      <c r="B10" s="126">
        <f>Prodiarias!B18</f>
        <v>634.11</v>
      </c>
      <c r="C10" s="126" t="s">
        <v>65</v>
      </c>
      <c r="D10" s="126">
        <f>Prodiarias!V18</f>
        <v>182.5</v>
      </c>
      <c r="E10" s="126">
        <f>Prodiarias!AC18</f>
        <v>291.23</v>
      </c>
      <c r="F10" s="126">
        <f>Prodiarias!AM18</f>
        <v>124.91</v>
      </c>
      <c r="G10" s="126">
        <f>Prodiarias!AT18</f>
        <v>771.80791858801081</v>
      </c>
      <c r="H10" s="126">
        <f>Prodiarias!AX18</f>
        <v>398.85196374622359</v>
      </c>
      <c r="I10" s="126">
        <f>Prodiarias!BB18</f>
        <v>0</v>
      </c>
      <c r="J10" s="126">
        <f t="shared" si="11"/>
        <v>2403.4098823342347</v>
      </c>
      <c r="K10" s="242">
        <f t="shared" si="12"/>
        <v>15093.414061058995</v>
      </c>
      <c r="N10" s="125">
        <v>8</v>
      </c>
      <c r="O10" s="126">
        <f t="shared" si="9"/>
        <v>507.28800000000001</v>
      </c>
      <c r="P10" s="126" t="s">
        <v>65</v>
      </c>
      <c r="Q10" s="126">
        <f t="shared" si="0"/>
        <v>182.5</v>
      </c>
      <c r="R10" s="126">
        <f t="shared" si="1"/>
        <v>232.98400000000004</v>
      </c>
      <c r="S10" s="126">
        <f t="shared" si="2"/>
        <v>99.927999999999997</v>
      </c>
      <c r="T10" s="126">
        <f t="shared" si="3"/>
        <v>771.80791858801081</v>
      </c>
      <c r="U10" s="126">
        <f t="shared" si="4"/>
        <v>398.85196374622359</v>
      </c>
      <c r="V10" s="127">
        <f t="shared" si="5"/>
        <v>0</v>
      </c>
      <c r="W10" s="128">
        <f t="shared" si="6"/>
        <v>2193.3598823342345</v>
      </c>
      <c r="X10" s="138">
        <f t="shared" si="10"/>
        <v>13774.300061058993</v>
      </c>
    </row>
    <row r="11" spans="1:24" ht="14.15" customHeight="1" x14ac:dyDescent="0.2">
      <c r="A11" s="135">
        <v>9</v>
      </c>
      <c r="B11" s="126">
        <f>Prodiarias!B19</f>
        <v>595.27</v>
      </c>
      <c r="C11" s="126" t="s">
        <v>65</v>
      </c>
      <c r="D11" s="126">
        <f>Prodiarias!V19</f>
        <v>180.4</v>
      </c>
      <c r="E11" s="126">
        <f>Prodiarias!AC19</f>
        <v>194.77</v>
      </c>
      <c r="F11" s="126">
        <f>Prodiarias!AM19</f>
        <v>122.55</v>
      </c>
      <c r="G11" s="126">
        <f>Prodiarias!AT19</f>
        <v>788.22706312609319</v>
      </c>
      <c r="H11" s="126">
        <f>Prodiarias!AX19</f>
        <v>396.31578947368422</v>
      </c>
      <c r="I11" s="126">
        <f>Prodiarias!BB19</f>
        <v>0</v>
      </c>
      <c r="J11" s="126">
        <f t="shared" si="11"/>
        <v>2277.5328525997775</v>
      </c>
      <c r="K11" s="242">
        <f t="shared" si="12"/>
        <v>14302.906314326603</v>
      </c>
      <c r="N11" s="125">
        <v>9</v>
      </c>
      <c r="O11" s="126">
        <f t="shared" si="9"/>
        <v>476.21600000000001</v>
      </c>
      <c r="P11" s="126" t="s">
        <v>65</v>
      </c>
      <c r="Q11" s="126">
        <f t="shared" si="0"/>
        <v>180.4</v>
      </c>
      <c r="R11" s="126">
        <f t="shared" si="1"/>
        <v>155.81600000000003</v>
      </c>
      <c r="S11" s="126">
        <f t="shared" si="2"/>
        <v>98.04</v>
      </c>
      <c r="T11" s="126">
        <f t="shared" si="3"/>
        <v>788.22706312609319</v>
      </c>
      <c r="U11" s="126">
        <f t="shared" si="4"/>
        <v>396.31578947368422</v>
      </c>
      <c r="V11" s="127">
        <f t="shared" si="5"/>
        <v>0</v>
      </c>
      <c r="W11" s="128">
        <f t="shared" si="6"/>
        <v>2095.0148525997774</v>
      </c>
      <c r="X11" s="138">
        <f t="shared" si="10"/>
        <v>13156.693274326602</v>
      </c>
    </row>
    <row r="12" spans="1:24" ht="14.15" customHeight="1" x14ac:dyDescent="0.2">
      <c r="A12" s="135">
        <v>10</v>
      </c>
      <c r="B12" s="126">
        <f>Prodiarias!B20</f>
        <v>602.74</v>
      </c>
      <c r="C12" s="126" t="s">
        <v>65</v>
      </c>
      <c r="D12" s="126">
        <f>Prodiarias!V20</f>
        <v>182.5</v>
      </c>
      <c r="E12" s="126">
        <f>Prodiarias!AC20</f>
        <v>282.52999999999997</v>
      </c>
      <c r="F12" s="126">
        <f>Prodiarias!AM20</f>
        <v>115.73</v>
      </c>
      <c r="G12" s="126">
        <f>Prodiarias!AT20</f>
        <v>782.5838766099539</v>
      </c>
      <c r="H12" s="126">
        <f>Prodiarias!AX20</f>
        <v>394.87517888376533</v>
      </c>
      <c r="I12" s="126">
        <f>Prodiarias!BB20</f>
        <v>0</v>
      </c>
      <c r="J12" s="126">
        <f t="shared" si="11"/>
        <v>2360.9590554937195</v>
      </c>
      <c r="K12" s="242">
        <f t="shared" si="12"/>
        <v>14826.82286850056</v>
      </c>
      <c r="N12" s="125">
        <v>10</v>
      </c>
      <c r="O12" s="126">
        <f t="shared" si="9"/>
        <v>482.19200000000001</v>
      </c>
      <c r="P12" s="126" t="s">
        <v>65</v>
      </c>
      <c r="Q12" s="126">
        <f t="shared" si="0"/>
        <v>182.5</v>
      </c>
      <c r="R12" s="126">
        <f t="shared" si="1"/>
        <v>226.024</v>
      </c>
      <c r="S12" s="126">
        <f t="shared" si="2"/>
        <v>92.584000000000003</v>
      </c>
      <c r="T12" s="126">
        <f t="shared" si="3"/>
        <v>782.5838766099539</v>
      </c>
      <c r="U12" s="126">
        <f t="shared" si="4"/>
        <v>394.87517888376533</v>
      </c>
      <c r="V12" s="127">
        <f t="shared" si="5"/>
        <v>0</v>
      </c>
      <c r="W12" s="128">
        <f t="shared" si="6"/>
        <v>2160.7590554937192</v>
      </c>
      <c r="X12" s="138">
        <f t="shared" si="10"/>
        <v>13569.566868500557</v>
      </c>
    </row>
    <row r="13" spans="1:24" ht="14.15" customHeight="1" x14ac:dyDescent="0.2">
      <c r="A13" s="135">
        <v>11</v>
      </c>
      <c r="B13" s="126">
        <f>Prodiarias!B21</f>
        <v>582.88</v>
      </c>
      <c r="C13" s="126" t="s">
        <v>65</v>
      </c>
      <c r="D13" s="126">
        <f>Prodiarias!V21</f>
        <v>182.8</v>
      </c>
      <c r="E13" s="126">
        <f>Prodiarias!AC21</f>
        <v>282.42</v>
      </c>
      <c r="F13" s="126">
        <f>Prodiarias!AM21</f>
        <v>111.89</v>
      </c>
      <c r="G13" s="126">
        <f>Prodiarias!AT21</f>
        <v>775.7020193989506</v>
      </c>
      <c r="H13" s="126">
        <f>Prodiarias!AX21</f>
        <v>381.6648115757672</v>
      </c>
      <c r="I13" s="126">
        <f>Prodiarias!BB21</f>
        <v>5.9786929559548421</v>
      </c>
      <c r="J13" s="126">
        <f t="shared" si="11"/>
        <v>2323.3355239306729</v>
      </c>
      <c r="K13" s="242">
        <f t="shared" si="12"/>
        <v>14590.547090284626</v>
      </c>
      <c r="N13" s="125">
        <v>11</v>
      </c>
      <c r="O13" s="126">
        <f t="shared" si="9"/>
        <v>466.30400000000003</v>
      </c>
      <c r="P13" s="126" t="s">
        <v>65</v>
      </c>
      <c r="Q13" s="126">
        <f t="shared" si="0"/>
        <v>182.8</v>
      </c>
      <c r="R13" s="126">
        <f t="shared" si="1"/>
        <v>225.93600000000004</v>
      </c>
      <c r="S13" s="126">
        <f t="shared" si="2"/>
        <v>89.512</v>
      </c>
      <c r="T13" s="126">
        <f t="shared" si="3"/>
        <v>775.7020193989506</v>
      </c>
      <c r="U13" s="126">
        <f t="shared" si="4"/>
        <v>381.6648115757672</v>
      </c>
      <c r="V13" s="127">
        <f t="shared" si="5"/>
        <v>2.0925425345841946</v>
      </c>
      <c r="W13" s="128">
        <f t="shared" si="6"/>
        <v>2124.0113735093018</v>
      </c>
      <c r="X13" s="138">
        <f t="shared" si="10"/>
        <v>13338.791425638416</v>
      </c>
    </row>
    <row r="14" spans="1:24" ht="14.15" customHeight="1" x14ac:dyDescent="0.2">
      <c r="A14" s="135">
        <v>12</v>
      </c>
      <c r="B14" s="126">
        <f>Prodiarias!B22</f>
        <v>619.23</v>
      </c>
      <c r="C14" s="126" t="s">
        <v>65</v>
      </c>
      <c r="D14" s="126">
        <f>Prodiarias!V22</f>
        <v>188</v>
      </c>
      <c r="E14" s="126">
        <f>Prodiarias!AC22</f>
        <v>289.39</v>
      </c>
      <c r="F14" s="126">
        <f>Prodiarias!AM22</f>
        <v>120.62</v>
      </c>
      <c r="G14" s="126">
        <f>Prodiarias!AT22</f>
        <v>774.95150262362858</v>
      </c>
      <c r="H14" s="126">
        <f>Prodiarias!AX22</f>
        <v>393.43615837176026</v>
      </c>
      <c r="I14" s="126">
        <f>Prodiarias!BB22</f>
        <v>6.8341548735888056</v>
      </c>
      <c r="J14" s="126">
        <f t="shared" si="11"/>
        <v>2392.4618158689773</v>
      </c>
      <c r="K14" s="242">
        <f t="shared" si="12"/>
        <v>15024.660203657178</v>
      </c>
      <c r="N14" s="125">
        <v>12</v>
      </c>
      <c r="O14" s="126">
        <f t="shared" si="9"/>
        <v>495.38400000000001</v>
      </c>
      <c r="P14" s="126" t="s">
        <v>65</v>
      </c>
      <c r="Q14" s="126">
        <f t="shared" si="0"/>
        <v>188</v>
      </c>
      <c r="R14" s="126">
        <f t="shared" si="1"/>
        <v>231.512</v>
      </c>
      <c r="S14" s="126">
        <f t="shared" si="2"/>
        <v>96.496000000000009</v>
      </c>
      <c r="T14" s="126">
        <f t="shared" si="3"/>
        <v>774.95150262362858</v>
      </c>
      <c r="U14" s="126">
        <f t="shared" si="4"/>
        <v>393.43615837176026</v>
      </c>
      <c r="V14" s="127">
        <f t="shared" si="5"/>
        <v>2.3919542057560816</v>
      </c>
      <c r="W14" s="128">
        <f t="shared" si="6"/>
        <v>2182.1716152011445</v>
      </c>
      <c r="X14" s="138">
        <f t="shared" si="10"/>
        <v>13704.037743463188</v>
      </c>
    </row>
    <row r="15" spans="1:24" ht="14.15" customHeight="1" x14ac:dyDescent="0.2">
      <c r="A15" s="135">
        <v>13</v>
      </c>
      <c r="B15" s="126">
        <f>Prodiarias!B23</f>
        <v>601.28</v>
      </c>
      <c r="C15" s="126" t="s">
        <v>65</v>
      </c>
      <c r="D15" s="126">
        <f>Prodiarias!V23</f>
        <v>188.6</v>
      </c>
      <c r="E15" s="126">
        <f>Prodiarias!AC23</f>
        <v>298.77999999999997</v>
      </c>
      <c r="F15" s="126">
        <f>Prodiarias!AM23</f>
        <v>134.29</v>
      </c>
      <c r="G15" s="126">
        <f>Prodiarias!AT23</f>
        <v>774.3822547304818</v>
      </c>
      <c r="H15" s="126">
        <f>Prodiarias!AX23</f>
        <v>392.45031006519321</v>
      </c>
      <c r="I15" s="126">
        <f>Prodiarias!BB23</f>
        <v>7.6387342979806014</v>
      </c>
      <c r="J15" s="126">
        <f t="shared" si="11"/>
        <v>2397.4212990936553</v>
      </c>
      <c r="K15" s="242">
        <f t="shared" si="12"/>
        <v>15055.805758308155</v>
      </c>
      <c r="N15" s="125">
        <v>13</v>
      </c>
      <c r="O15" s="126">
        <f t="shared" si="9"/>
        <v>481.024</v>
      </c>
      <c r="P15" s="126" t="s">
        <v>65</v>
      </c>
      <c r="Q15" s="126">
        <f t="shared" si="0"/>
        <v>188.6</v>
      </c>
      <c r="R15" s="126">
        <f t="shared" si="1"/>
        <v>239.024</v>
      </c>
      <c r="S15" s="126">
        <f t="shared" si="2"/>
        <v>107.432</v>
      </c>
      <c r="T15" s="126">
        <f t="shared" si="3"/>
        <v>774.3822547304818</v>
      </c>
      <c r="U15" s="126">
        <f t="shared" si="4"/>
        <v>392.45031006519321</v>
      </c>
      <c r="V15" s="127">
        <f t="shared" si="5"/>
        <v>2.6735570042932104</v>
      </c>
      <c r="W15" s="128">
        <f t="shared" si="6"/>
        <v>2185.5861217999686</v>
      </c>
      <c r="X15" s="138">
        <f t="shared" si="10"/>
        <v>13725.480844903803</v>
      </c>
    </row>
    <row r="16" spans="1:24" ht="14.15" customHeight="1" x14ac:dyDescent="0.2">
      <c r="A16" s="135">
        <v>14</v>
      </c>
      <c r="B16" s="126">
        <f>Prodiarias!B24</f>
        <v>617.74</v>
      </c>
      <c r="C16" s="126" t="s">
        <v>65</v>
      </c>
      <c r="D16" s="126">
        <f>Prodiarias!V24</f>
        <v>186.3</v>
      </c>
      <c r="E16" s="126">
        <f>Prodiarias!AC24</f>
        <v>298.61</v>
      </c>
      <c r="F16" s="126">
        <f>Prodiarias!AM24</f>
        <v>123.6</v>
      </c>
      <c r="G16" s="126">
        <f>Prodiarias!AT24</f>
        <v>770.22261090793461</v>
      </c>
      <c r="H16" s="126">
        <f>Prodiarias!AX24</f>
        <v>392.5027826363492</v>
      </c>
      <c r="I16" s="126">
        <f>Prodiarias!BB24</f>
        <v>17.090157417713471</v>
      </c>
      <c r="J16" s="126">
        <f t="shared" si="11"/>
        <v>2406.0655509619974</v>
      </c>
      <c r="K16" s="242">
        <f t="shared" si="12"/>
        <v>15110.091660041344</v>
      </c>
      <c r="N16" s="125">
        <v>14</v>
      </c>
      <c r="O16" s="126">
        <f t="shared" si="9"/>
        <v>494.19200000000001</v>
      </c>
      <c r="P16" s="126" t="s">
        <v>65</v>
      </c>
      <c r="Q16" s="126">
        <f t="shared" si="0"/>
        <v>186.3</v>
      </c>
      <c r="R16" s="126">
        <f t="shared" si="1"/>
        <v>238.88800000000003</v>
      </c>
      <c r="S16" s="126">
        <f t="shared" si="2"/>
        <v>98.88</v>
      </c>
      <c r="T16" s="126">
        <f t="shared" si="3"/>
        <v>770.22261090793461</v>
      </c>
      <c r="U16" s="126">
        <f t="shared" si="4"/>
        <v>392.5027826363492</v>
      </c>
      <c r="V16" s="127">
        <f t="shared" si="5"/>
        <v>5.9815550961997141</v>
      </c>
      <c r="W16" s="128">
        <f t="shared" si="6"/>
        <v>2186.9669486404837</v>
      </c>
      <c r="X16" s="138">
        <f t="shared" si="10"/>
        <v>13734.152437462239</v>
      </c>
    </row>
    <row r="17" spans="1:24" ht="14.15" customHeight="1" x14ac:dyDescent="0.2">
      <c r="A17" s="135">
        <v>15</v>
      </c>
      <c r="B17" s="126">
        <f>Prodiarias!B25</f>
        <v>638.83000000000004</v>
      </c>
      <c r="C17" s="126" t="s">
        <v>65</v>
      </c>
      <c r="D17" s="126">
        <f>Prodiarias!V25</f>
        <v>187.9</v>
      </c>
      <c r="E17" s="126">
        <f>Prodiarias!AC25</f>
        <v>293.89999999999998</v>
      </c>
      <c r="F17" s="126">
        <f>Prodiarias!AM25</f>
        <v>132.15</v>
      </c>
      <c r="G17" s="126">
        <f>Prodiarias!AT25</f>
        <v>762.18794720941321</v>
      </c>
      <c r="H17" s="126">
        <f>Prodiarias!AX25</f>
        <v>392.80330736206076</v>
      </c>
      <c r="I17" s="126">
        <f>Prodiarias!BB25</f>
        <v>16.683097471776119</v>
      </c>
      <c r="J17" s="126">
        <f t="shared" si="11"/>
        <v>2424.4543520432503</v>
      </c>
      <c r="K17" s="242">
        <f t="shared" si="12"/>
        <v>15225.573330831612</v>
      </c>
      <c r="N17" s="125">
        <v>15</v>
      </c>
      <c r="O17" s="126">
        <f t="shared" si="9"/>
        <v>511.06400000000008</v>
      </c>
      <c r="P17" s="126" t="s">
        <v>65</v>
      </c>
      <c r="Q17" s="126">
        <f t="shared" si="0"/>
        <v>187.9</v>
      </c>
      <c r="R17" s="126">
        <f t="shared" si="1"/>
        <v>235.12</v>
      </c>
      <c r="S17" s="126">
        <f t="shared" si="2"/>
        <v>105.72000000000001</v>
      </c>
      <c r="T17" s="126">
        <f t="shared" si="3"/>
        <v>762.18794720941321</v>
      </c>
      <c r="U17" s="126">
        <f t="shared" si="4"/>
        <v>392.80330736206076</v>
      </c>
      <c r="V17" s="127">
        <f t="shared" si="5"/>
        <v>5.8390841151216408</v>
      </c>
      <c r="W17" s="128">
        <f t="shared" si="6"/>
        <v>2200.634338686596</v>
      </c>
      <c r="X17" s="138">
        <f t="shared" si="10"/>
        <v>13819.983646951823</v>
      </c>
    </row>
    <row r="18" spans="1:24" ht="14.15" customHeight="1" x14ac:dyDescent="0.2">
      <c r="A18" s="135">
        <v>16</v>
      </c>
      <c r="B18" s="126">
        <f>Prodiarias!B26</f>
        <v>0</v>
      </c>
      <c r="C18" s="126" t="s">
        <v>65</v>
      </c>
      <c r="D18" s="126">
        <f>Prodiarias!V26</f>
        <v>0</v>
      </c>
      <c r="E18" s="126">
        <f>Prodiarias!AC26</f>
        <v>0</v>
      </c>
      <c r="F18" s="126">
        <f>Prodiarias!AM26</f>
        <v>0</v>
      </c>
      <c r="G18" s="126">
        <f>Prodiarias!AT26</f>
        <v>0</v>
      </c>
      <c r="H18" s="126">
        <f>Prodiarias!AX26</f>
        <v>0</v>
      </c>
      <c r="I18" s="126">
        <f>Prodiarias!BB26</f>
        <v>0</v>
      </c>
      <c r="J18" s="126">
        <f t="shared" si="11"/>
        <v>0</v>
      </c>
      <c r="K18" s="242">
        <f t="shared" si="12"/>
        <v>0</v>
      </c>
      <c r="N18" s="125">
        <v>16</v>
      </c>
      <c r="O18" s="126">
        <f t="shared" si="9"/>
        <v>0</v>
      </c>
      <c r="P18" s="126" t="s">
        <v>65</v>
      </c>
      <c r="Q18" s="126">
        <f t="shared" si="0"/>
        <v>0</v>
      </c>
      <c r="R18" s="126">
        <f t="shared" si="1"/>
        <v>0</v>
      </c>
      <c r="S18" s="126">
        <f t="shared" si="2"/>
        <v>0</v>
      </c>
      <c r="T18" s="126">
        <f t="shared" si="3"/>
        <v>0</v>
      </c>
      <c r="U18" s="126">
        <f t="shared" si="4"/>
        <v>0</v>
      </c>
      <c r="V18" s="127">
        <f t="shared" si="5"/>
        <v>0</v>
      </c>
      <c r="W18" s="128">
        <f t="shared" si="6"/>
        <v>0</v>
      </c>
      <c r="X18" s="138">
        <f t="shared" si="10"/>
        <v>0</v>
      </c>
    </row>
    <row r="19" spans="1:24" ht="14.15" customHeight="1" x14ac:dyDescent="0.2">
      <c r="A19" s="135">
        <v>17</v>
      </c>
      <c r="B19" s="126">
        <f>Prodiarias!B27</f>
        <v>0</v>
      </c>
      <c r="C19" s="126" t="s">
        <v>65</v>
      </c>
      <c r="D19" s="126">
        <f>Prodiarias!V27</f>
        <v>0</v>
      </c>
      <c r="E19" s="126">
        <f>Prodiarias!AC27</f>
        <v>0</v>
      </c>
      <c r="F19" s="126">
        <f>Prodiarias!AM27</f>
        <v>0</v>
      </c>
      <c r="G19" s="126">
        <f>Prodiarias!AT27</f>
        <v>0</v>
      </c>
      <c r="H19" s="126">
        <f>Prodiarias!AX27</f>
        <v>0</v>
      </c>
      <c r="I19" s="126">
        <f>Prodiarias!BB27</f>
        <v>0</v>
      </c>
      <c r="J19" s="126">
        <f t="shared" si="11"/>
        <v>0</v>
      </c>
      <c r="K19" s="242">
        <f t="shared" si="12"/>
        <v>0</v>
      </c>
      <c r="N19" s="125">
        <v>17</v>
      </c>
      <c r="O19" s="126">
        <f t="shared" si="9"/>
        <v>0</v>
      </c>
      <c r="P19" s="126" t="s">
        <v>65</v>
      </c>
      <c r="Q19" s="126">
        <f t="shared" si="0"/>
        <v>0</v>
      </c>
      <c r="R19" s="126">
        <f t="shared" si="1"/>
        <v>0</v>
      </c>
      <c r="S19" s="126">
        <f t="shared" si="2"/>
        <v>0</v>
      </c>
      <c r="T19" s="126">
        <f t="shared" si="3"/>
        <v>0</v>
      </c>
      <c r="U19" s="126">
        <f t="shared" si="4"/>
        <v>0</v>
      </c>
      <c r="V19" s="127">
        <f t="shared" si="5"/>
        <v>0</v>
      </c>
      <c r="W19" s="128">
        <f t="shared" si="6"/>
        <v>0</v>
      </c>
      <c r="X19" s="138">
        <f t="shared" si="10"/>
        <v>0</v>
      </c>
    </row>
    <row r="20" spans="1:24" ht="14.15" customHeight="1" x14ac:dyDescent="0.2">
      <c r="A20" s="135">
        <v>18</v>
      </c>
      <c r="B20" s="126">
        <f>Prodiarias!B28</f>
        <v>0</v>
      </c>
      <c r="C20" s="126" t="s">
        <v>65</v>
      </c>
      <c r="D20" s="126">
        <f>Prodiarias!V28</f>
        <v>0</v>
      </c>
      <c r="E20" s="126">
        <f>Prodiarias!AC28</f>
        <v>0</v>
      </c>
      <c r="F20" s="126">
        <f>Prodiarias!AM28</f>
        <v>0</v>
      </c>
      <c r="G20" s="126">
        <f>Prodiarias!AT28</f>
        <v>0</v>
      </c>
      <c r="H20" s="126">
        <f>Prodiarias!AX28</f>
        <v>0</v>
      </c>
      <c r="I20" s="126">
        <f>Prodiarias!BB28</f>
        <v>0</v>
      </c>
      <c r="J20" s="126">
        <f t="shared" si="11"/>
        <v>0</v>
      </c>
      <c r="K20" s="242">
        <f t="shared" si="12"/>
        <v>0</v>
      </c>
      <c r="N20" s="125">
        <v>18</v>
      </c>
      <c r="O20" s="126">
        <f t="shared" si="9"/>
        <v>0</v>
      </c>
      <c r="P20" s="126" t="s">
        <v>65</v>
      </c>
      <c r="Q20" s="126">
        <f t="shared" si="0"/>
        <v>0</v>
      </c>
      <c r="R20" s="126">
        <f t="shared" si="1"/>
        <v>0</v>
      </c>
      <c r="S20" s="126">
        <f t="shared" si="2"/>
        <v>0</v>
      </c>
      <c r="T20" s="126">
        <f t="shared" si="3"/>
        <v>0</v>
      </c>
      <c r="U20" s="126">
        <f t="shared" si="4"/>
        <v>0</v>
      </c>
      <c r="V20" s="127">
        <f t="shared" si="5"/>
        <v>0</v>
      </c>
      <c r="W20" s="128">
        <f t="shared" si="6"/>
        <v>0</v>
      </c>
      <c r="X20" s="138">
        <f t="shared" si="10"/>
        <v>0</v>
      </c>
    </row>
    <row r="21" spans="1:24" ht="14.15" customHeight="1" x14ac:dyDescent="0.2">
      <c r="A21" s="135">
        <v>19</v>
      </c>
      <c r="B21" s="126">
        <f>Prodiarias!B29</f>
        <v>0</v>
      </c>
      <c r="C21" s="126" t="s">
        <v>65</v>
      </c>
      <c r="D21" s="126">
        <f>Prodiarias!V29</f>
        <v>0</v>
      </c>
      <c r="E21" s="126">
        <f>Prodiarias!AC29</f>
        <v>0</v>
      </c>
      <c r="F21" s="126">
        <f>Prodiarias!AM29</f>
        <v>0</v>
      </c>
      <c r="G21" s="126">
        <f>Prodiarias!AT29</f>
        <v>0</v>
      </c>
      <c r="H21" s="126">
        <f>Prodiarias!AX29</f>
        <v>0</v>
      </c>
      <c r="I21" s="126">
        <f>Prodiarias!BB29</f>
        <v>0</v>
      </c>
      <c r="J21" s="126">
        <f t="shared" si="11"/>
        <v>0</v>
      </c>
      <c r="K21" s="242">
        <f t="shared" si="12"/>
        <v>0</v>
      </c>
      <c r="N21" s="125">
        <v>19</v>
      </c>
      <c r="O21" s="126">
        <f t="shared" si="9"/>
        <v>0</v>
      </c>
      <c r="P21" s="126" t="s">
        <v>65</v>
      </c>
      <c r="Q21" s="126">
        <f t="shared" si="0"/>
        <v>0</v>
      </c>
      <c r="R21" s="126">
        <f t="shared" si="1"/>
        <v>0</v>
      </c>
      <c r="S21" s="126">
        <f t="shared" si="2"/>
        <v>0</v>
      </c>
      <c r="T21" s="126">
        <f t="shared" si="3"/>
        <v>0</v>
      </c>
      <c r="U21" s="126">
        <f t="shared" si="4"/>
        <v>0</v>
      </c>
      <c r="V21" s="127">
        <f t="shared" si="5"/>
        <v>0</v>
      </c>
      <c r="W21" s="128">
        <f t="shared" si="6"/>
        <v>0</v>
      </c>
      <c r="X21" s="138">
        <f t="shared" si="10"/>
        <v>0</v>
      </c>
    </row>
    <row r="22" spans="1:24" ht="14.15" customHeight="1" x14ac:dyDescent="0.2">
      <c r="A22" s="135">
        <v>20</v>
      </c>
      <c r="B22" s="126">
        <f>Prodiarias!B30</f>
        <v>0</v>
      </c>
      <c r="C22" s="126" t="s">
        <v>65</v>
      </c>
      <c r="D22" s="126">
        <f>Prodiarias!V30</f>
        <v>0</v>
      </c>
      <c r="E22" s="126">
        <f>Prodiarias!AC30</f>
        <v>0</v>
      </c>
      <c r="F22" s="126">
        <f>Prodiarias!AM30</f>
        <v>0</v>
      </c>
      <c r="G22" s="126">
        <f>Prodiarias!AT30</f>
        <v>0</v>
      </c>
      <c r="H22" s="126">
        <f>Prodiarias!AX30</f>
        <v>0</v>
      </c>
      <c r="I22" s="126">
        <f>Prodiarias!BB30</f>
        <v>0</v>
      </c>
      <c r="J22" s="126">
        <f t="shared" si="11"/>
        <v>0</v>
      </c>
      <c r="K22" s="242">
        <f t="shared" si="12"/>
        <v>0</v>
      </c>
      <c r="N22" s="125">
        <v>20</v>
      </c>
      <c r="O22" s="126">
        <f t="shared" si="9"/>
        <v>0</v>
      </c>
      <c r="P22" s="126" t="s">
        <v>65</v>
      </c>
      <c r="Q22" s="126">
        <f t="shared" si="0"/>
        <v>0</v>
      </c>
      <c r="R22" s="126">
        <f t="shared" si="1"/>
        <v>0</v>
      </c>
      <c r="S22" s="126">
        <f t="shared" si="2"/>
        <v>0</v>
      </c>
      <c r="T22" s="126">
        <f t="shared" si="3"/>
        <v>0</v>
      </c>
      <c r="U22" s="126">
        <f t="shared" si="4"/>
        <v>0</v>
      </c>
      <c r="V22" s="127">
        <f t="shared" si="5"/>
        <v>0</v>
      </c>
      <c r="W22" s="128">
        <f t="shared" si="6"/>
        <v>0</v>
      </c>
      <c r="X22" s="138">
        <f t="shared" si="10"/>
        <v>0</v>
      </c>
    </row>
    <row r="23" spans="1:24" ht="14.15" customHeight="1" x14ac:dyDescent="0.2">
      <c r="A23" s="135">
        <v>21</v>
      </c>
      <c r="B23" s="126">
        <f>Prodiarias!B31</f>
        <v>0</v>
      </c>
      <c r="C23" s="126" t="s">
        <v>65</v>
      </c>
      <c r="D23" s="126">
        <f>Prodiarias!V31</f>
        <v>0</v>
      </c>
      <c r="E23" s="126">
        <f>Prodiarias!AC31</f>
        <v>0</v>
      </c>
      <c r="F23" s="126">
        <f>Prodiarias!AM31</f>
        <v>0</v>
      </c>
      <c r="G23" s="126">
        <f>Prodiarias!AT31</f>
        <v>0</v>
      </c>
      <c r="H23" s="126">
        <f>Prodiarias!AX31</f>
        <v>0</v>
      </c>
      <c r="I23" s="126">
        <f>Prodiarias!BB31</f>
        <v>0</v>
      </c>
      <c r="J23" s="126">
        <f t="shared" si="11"/>
        <v>0</v>
      </c>
      <c r="K23" s="242">
        <f t="shared" si="12"/>
        <v>0</v>
      </c>
      <c r="N23" s="125">
        <v>21</v>
      </c>
      <c r="O23" s="126">
        <f t="shared" si="9"/>
        <v>0</v>
      </c>
      <c r="P23" s="126" t="s">
        <v>65</v>
      </c>
      <c r="Q23" s="126">
        <f t="shared" si="0"/>
        <v>0</v>
      </c>
      <c r="R23" s="126">
        <f t="shared" si="1"/>
        <v>0</v>
      </c>
      <c r="S23" s="126">
        <f t="shared" si="2"/>
        <v>0</v>
      </c>
      <c r="T23" s="126">
        <f t="shared" si="3"/>
        <v>0</v>
      </c>
      <c r="U23" s="126">
        <f t="shared" si="4"/>
        <v>0</v>
      </c>
      <c r="V23" s="127">
        <f t="shared" si="5"/>
        <v>0</v>
      </c>
      <c r="W23" s="128">
        <f t="shared" si="6"/>
        <v>0</v>
      </c>
      <c r="X23" s="138">
        <f t="shared" si="10"/>
        <v>0</v>
      </c>
    </row>
    <row r="24" spans="1:24" ht="14.15" customHeight="1" x14ac:dyDescent="0.2">
      <c r="A24" s="135">
        <v>22</v>
      </c>
      <c r="B24" s="126">
        <f>Prodiarias!B32</f>
        <v>0</v>
      </c>
      <c r="C24" s="126" t="s">
        <v>65</v>
      </c>
      <c r="D24" s="126">
        <f>Prodiarias!V32</f>
        <v>0</v>
      </c>
      <c r="E24" s="126">
        <f>Prodiarias!AC32</f>
        <v>0</v>
      </c>
      <c r="F24" s="126">
        <f>Prodiarias!AM32</f>
        <v>0</v>
      </c>
      <c r="G24" s="126">
        <f>Prodiarias!AT32</f>
        <v>0</v>
      </c>
      <c r="H24" s="126">
        <f>Prodiarias!AX32</f>
        <v>0</v>
      </c>
      <c r="I24" s="126">
        <f>Prodiarias!BB32</f>
        <v>0</v>
      </c>
      <c r="J24" s="126">
        <f t="shared" si="11"/>
        <v>0</v>
      </c>
      <c r="K24" s="242">
        <f t="shared" si="12"/>
        <v>0</v>
      </c>
      <c r="N24" s="125">
        <v>22</v>
      </c>
      <c r="O24" s="126">
        <f t="shared" si="9"/>
        <v>0</v>
      </c>
      <c r="P24" s="126" t="s">
        <v>65</v>
      </c>
      <c r="Q24" s="126">
        <f t="shared" si="0"/>
        <v>0</v>
      </c>
      <c r="R24" s="126">
        <f t="shared" si="1"/>
        <v>0</v>
      </c>
      <c r="S24" s="126">
        <f t="shared" si="2"/>
        <v>0</v>
      </c>
      <c r="T24" s="126">
        <f t="shared" si="3"/>
        <v>0</v>
      </c>
      <c r="U24" s="126">
        <f t="shared" si="4"/>
        <v>0</v>
      </c>
      <c r="V24" s="127">
        <f t="shared" si="5"/>
        <v>0</v>
      </c>
      <c r="W24" s="128">
        <f t="shared" si="6"/>
        <v>0</v>
      </c>
      <c r="X24" s="138">
        <f t="shared" si="10"/>
        <v>0</v>
      </c>
    </row>
    <row r="25" spans="1:24" ht="14.15" customHeight="1" x14ac:dyDescent="0.2">
      <c r="A25" s="135">
        <v>23</v>
      </c>
      <c r="B25" s="126">
        <f>Prodiarias!B33</f>
        <v>0</v>
      </c>
      <c r="C25" s="126" t="s">
        <v>65</v>
      </c>
      <c r="D25" s="126">
        <f>Prodiarias!V33</f>
        <v>0</v>
      </c>
      <c r="E25" s="126">
        <f>Prodiarias!AC33</f>
        <v>0</v>
      </c>
      <c r="F25" s="126">
        <f>Prodiarias!AM33</f>
        <v>0</v>
      </c>
      <c r="G25" s="126">
        <f>Prodiarias!AT33</f>
        <v>0</v>
      </c>
      <c r="H25" s="126">
        <f>Prodiarias!AX33</f>
        <v>0</v>
      </c>
      <c r="I25" s="126">
        <f>Prodiarias!BB33</f>
        <v>0</v>
      </c>
      <c r="J25" s="126">
        <f t="shared" si="11"/>
        <v>0</v>
      </c>
      <c r="K25" s="242">
        <f t="shared" si="12"/>
        <v>0</v>
      </c>
      <c r="N25" s="125">
        <v>23</v>
      </c>
      <c r="O25" s="126">
        <f t="shared" si="9"/>
        <v>0</v>
      </c>
      <c r="P25" s="126" t="s">
        <v>65</v>
      </c>
      <c r="Q25" s="126">
        <f t="shared" si="0"/>
        <v>0</v>
      </c>
      <c r="R25" s="126">
        <f t="shared" si="1"/>
        <v>0</v>
      </c>
      <c r="S25" s="126">
        <f t="shared" si="2"/>
        <v>0</v>
      </c>
      <c r="T25" s="126">
        <f t="shared" si="3"/>
        <v>0</v>
      </c>
      <c r="U25" s="126">
        <f t="shared" si="4"/>
        <v>0</v>
      </c>
      <c r="V25" s="127">
        <f t="shared" si="5"/>
        <v>0</v>
      </c>
      <c r="W25" s="128">
        <f t="shared" si="6"/>
        <v>0</v>
      </c>
      <c r="X25" s="138">
        <f t="shared" si="10"/>
        <v>0</v>
      </c>
    </row>
    <row r="26" spans="1:24" ht="14.15" customHeight="1" x14ac:dyDescent="0.2">
      <c r="A26" s="135">
        <v>24</v>
      </c>
      <c r="B26" s="126">
        <f>Prodiarias!B34</f>
        <v>0</v>
      </c>
      <c r="C26" s="126" t="s">
        <v>65</v>
      </c>
      <c r="D26" s="126">
        <f>Prodiarias!V34</f>
        <v>0</v>
      </c>
      <c r="E26" s="126">
        <f>Prodiarias!AC34</f>
        <v>0</v>
      </c>
      <c r="F26" s="126">
        <f>Prodiarias!AM34</f>
        <v>0</v>
      </c>
      <c r="G26" s="126">
        <f>Prodiarias!AT34</f>
        <v>0</v>
      </c>
      <c r="H26" s="126">
        <f>Prodiarias!AX34</f>
        <v>0</v>
      </c>
      <c r="I26" s="126">
        <f>Prodiarias!BB34</f>
        <v>0</v>
      </c>
      <c r="J26" s="126">
        <f t="shared" si="11"/>
        <v>0</v>
      </c>
      <c r="K26" s="242">
        <f t="shared" si="12"/>
        <v>0</v>
      </c>
      <c r="N26" s="125">
        <v>24</v>
      </c>
      <c r="O26" s="126">
        <f t="shared" si="9"/>
        <v>0</v>
      </c>
      <c r="P26" s="126" t="s">
        <v>65</v>
      </c>
      <c r="Q26" s="126">
        <f t="shared" si="0"/>
        <v>0</v>
      </c>
      <c r="R26" s="126">
        <f t="shared" si="1"/>
        <v>0</v>
      </c>
      <c r="S26" s="126">
        <f t="shared" si="2"/>
        <v>0</v>
      </c>
      <c r="T26" s="126">
        <f t="shared" si="3"/>
        <v>0</v>
      </c>
      <c r="U26" s="126">
        <f t="shared" si="4"/>
        <v>0</v>
      </c>
      <c r="V26" s="127">
        <f t="shared" si="5"/>
        <v>0</v>
      </c>
      <c r="W26" s="128">
        <f t="shared" si="6"/>
        <v>0</v>
      </c>
      <c r="X26" s="138">
        <f t="shared" si="10"/>
        <v>0</v>
      </c>
    </row>
    <row r="27" spans="1:24" ht="14.15" customHeight="1" x14ac:dyDescent="0.2">
      <c r="A27" s="135">
        <v>25</v>
      </c>
      <c r="B27" s="126">
        <f>Prodiarias!B35</f>
        <v>0</v>
      </c>
      <c r="C27" s="126" t="s">
        <v>65</v>
      </c>
      <c r="D27" s="126">
        <f>Prodiarias!V35</f>
        <v>0</v>
      </c>
      <c r="E27" s="126">
        <f>Prodiarias!AC35</f>
        <v>0</v>
      </c>
      <c r="F27" s="126">
        <f>Prodiarias!AM35</f>
        <v>0</v>
      </c>
      <c r="G27" s="126">
        <f>Prodiarias!AT35</f>
        <v>0</v>
      </c>
      <c r="H27" s="126">
        <f>Prodiarias!AX35</f>
        <v>0</v>
      </c>
      <c r="I27" s="126">
        <f>Prodiarias!BB35</f>
        <v>0</v>
      </c>
      <c r="J27" s="126">
        <f t="shared" si="11"/>
        <v>0</v>
      </c>
      <c r="K27" s="242">
        <f t="shared" si="12"/>
        <v>0</v>
      </c>
      <c r="N27" s="125">
        <v>25</v>
      </c>
      <c r="O27" s="126">
        <f t="shared" si="9"/>
        <v>0</v>
      </c>
      <c r="P27" s="126" t="s">
        <v>65</v>
      </c>
      <c r="Q27" s="126">
        <f t="shared" si="0"/>
        <v>0</v>
      </c>
      <c r="R27" s="126">
        <f t="shared" si="1"/>
        <v>0</v>
      </c>
      <c r="S27" s="126">
        <f t="shared" si="2"/>
        <v>0</v>
      </c>
      <c r="T27" s="126">
        <f t="shared" si="3"/>
        <v>0</v>
      </c>
      <c r="U27" s="126">
        <f t="shared" si="4"/>
        <v>0</v>
      </c>
      <c r="V27" s="127">
        <f t="shared" si="5"/>
        <v>0</v>
      </c>
      <c r="W27" s="128">
        <f t="shared" si="6"/>
        <v>0</v>
      </c>
      <c r="X27" s="138">
        <f t="shared" si="10"/>
        <v>0</v>
      </c>
    </row>
    <row r="28" spans="1:24" ht="14.15" customHeight="1" x14ac:dyDescent="0.2">
      <c r="A28" s="135">
        <v>26</v>
      </c>
      <c r="B28" s="126">
        <f>Prodiarias!B36</f>
        <v>0</v>
      </c>
      <c r="C28" s="126" t="s">
        <v>65</v>
      </c>
      <c r="D28" s="126">
        <f>Prodiarias!V36</f>
        <v>0</v>
      </c>
      <c r="E28" s="126">
        <f>Prodiarias!AC36</f>
        <v>0</v>
      </c>
      <c r="F28" s="126">
        <f>Prodiarias!AM36</f>
        <v>0</v>
      </c>
      <c r="G28" s="126">
        <f>Prodiarias!AT36</f>
        <v>0</v>
      </c>
      <c r="H28" s="126">
        <f>Prodiarias!AX36</f>
        <v>0</v>
      </c>
      <c r="I28" s="126">
        <f>Prodiarias!BB36</f>
        <v>0</v>
      </c>
      <c r="J28" s="126">
        <f t="shared" si="11"/>
        <v>0</v>
      </c>
      <c r="K28" s="242">
        <f t="shared" si="12"/>
        <v>0</v>
      </c>
      <c r="N28" s="125">
        <v>26</v>
      </c>
      <c r="O28" s="126">
        <f t="shared" si="9"/>
        <v>0</v>
      </c>
      <c r="P28" s="126" t="s">
        <v>65</v>
      </c>
      <c r="Q28" s="126">
        <f t="shared" si="0"/>
        <v>0</v>
      </c>
      <c r="R28" s="126">
        <f t="shared" si="1"/>
        <v>0</v>
      </c>
      <c r="S28" s="126">
        <f t="shared" si="2"/>
        <v>0</v>
      </c>
      <c r="T28" s="126">
        <f t="shared" si="3"/>
        <v>0</v>
      </c>
      <c r="U28" s="126">
        <f t="shared" si="4"/>
        <v>0</v>
      </c>
      <c r="V28" s="127">
        <f t="shared" si="5"/>
        <v>0</v>
      </c>
      <c r="W28" s="128">
        <f t="shared" si="6"/>
        <v>0</v>
      </c>
      <c r="X28" s="138">
        <f t="shared" si="10"/>
        <v>0</v>
      </c>
    </row>
    <row r="29" spans="1:24" ht="14.15" customHeight="1" x14ac:dyDescent="0.2">
      <c r="A29" s="135">
        <v>27</v>
      </c>
      <c r="B29" s="126">
        <f>Prodiarias!B37</f>
        <v>0</v>
      </c>
      <c r="C29" s="126" t="s">
        <v>65</v>
      </c>
      <c r="D29" s="126">
        <f>Prodiarias!V37</f>
        <v>0</v>
      </c>
      <c r="E29" s="126">
        <f>Prodiarias!AC37</f>
        <v>0</v>
      </c>
      <c r="F29" s="126">
        <f>Prodiarias!AM37</f>
        <v>0</v>
      </c>
      <c r="G29" s="126">
        <f>Prodiarias!AT37</f>
        <v>0</v>
      </c>
      <c r="H29" s="126">
        <f>Prodiarias!AX37</f>
        <v>0</v>
      </c>
      <c r="I29" s="126">
        <f>Prodiarias!BB37</f>
        <v>0</v>
      </c>
      <c r="J29" s="126">
        <f t="shared" si="11"/>
        <v>0</v>
      </c>
      <c r="K29" s="242">
        <f t="shared" si="12"/>
        <v>0</v>
      </c>
      <c r="N29" s="125">
        <v>27</v>
      </c>
      <c r="O29" s="126">
        <f t="shared" si="9"/>
        <v>0</v>
      </c>
      <c r="P29" s="126" t="s">
        <v>65</v>
      </c>
      <c r="Q29" s="126">
        <f t="shared" si="0"/>
        <v>0</v>
      </c>
      <c r="R29" s="126">
        <f t="shared" si="1"/>
        <v>0</v>
      </c>
      <c r="S29" s="126">
        <f t="shared" si="2"/>
        <v>0</v>
      </c>
      <c r="T29" s="126">
        <f t="shared" si="3"/>
        <v>0</v>
      </c>
      <c r="U29" s="126">
        <f t="shared" si="4"/>
        <v>0</v>
      </c>
      <c r="V29" s="127">
        <f t="shared" si="5"/>
        <v>0</v>
      </c>
      <c r="W29" s="128">
        <f t="shared" si="6"/>
        <v>0</v>
      </c>
      <c r="X29" s="138">
        <f t="shared" si="10"/>
        <v>0</v>
      </c>
    </row>
    <row r="30" spans="1:24" ht="14.15" customHeight="1" x14ac:dyDescent="0.2">
      <c r="A30" s="135">
        <v>28</v>
      </c>
      <c r="B30" s="126">
        <f>Prodiarias!B38</f>
        <v>0</v>
      </c>
      <c r="C30" s="126" t="s">
        <v>65</v>
      </c>
      <c r="D30" s="126">
        <f>Prodiarias!V38</f>
        <v>0</v>
      </c>
      <c r="E30" s="126">
        <f>Prodiarias!AC38</f>
        <v>0</v>
      </c>
      <c r="F30" s="126">
        <f>Prodiarias!AM38</f>
        <v>0</v>
      </c>
      <c r="G30" s="126">
        <f>Prodiarias!AT38</f>
        <v>0</v>
      </c>
      <c r="H30" s="126">
        <f>Prodiarias!AX38</f>
        <v>0</v>
      </c>
      <c r="I30" s="126">
        <f>Prodiarias!BB38</f>
        <v>0</v>
      </c>
      <c r="J30" s="126">
        <f t="shared" si="11"/>
        <v>0</v>
      </c>
      <c r="K30" s="242">
        <f t="shared" si="12"/>
        <v>0</v>
      </c>
      <c r="N30" s="125">
        <v>28</v>
      </c>
      <c r="O30" s="126">
        <f t="shared" si="9"/>
        <v>0</v>
      </c>
      <c r="P30" s="126" t="s">
        <v>65</v>
      </c>
      <c r="Q30" s="126">
        <f t="shared" si="0"/>
        <v>0</v>
      </c>
      <c r="R30" s="126">
        <f t="shared" si="1"/>
        <v>0</v>
      </c>
      <c r="S30" s="126">
        <f t="shared" si="2"/>
        <v>0</v>
      </c>
      <c r="T30" s="126">
        <f t="shared" si="3"/>
        <v>0</v>
      </c>
      <c r="U30" s="126">
        <f t="shared" si="4"/>
        <v>0</v>
      </c>
      <c r="V30" s="127">
        <f t="shared" si="5"/>
        <v>0</v>
      </c>
      <c r="W30" s="128">
        <f t="shared" si="6"/>
        <v>0</v>
      </c>
      <c r="X30" s="138">
        <f t="shared" si="10"/>
        <v>0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10" t="s">
        <v>78</v>
      </c>
      <c r="C36" s="410"/>
      <c r="D36" s="410"/>
      <c r="E36" s="410"/>
      <c r="F36" s="410"/>
      <c r="G36" s="410"/>
      <c r="H36" s="410"/>
      <c r="I36" s="410"/>
      <c r="O36" s="410" t="s">
        <v>77</v>
      </c>
      <c r="P36" s="410"/>
      <c r="Q36" s="410"/>
      <c r="R36" s="410"/>
      <c r="S36" s="410"/>
      <c r="T36" s="410"/>
      <c r="U36" s="410"/>
      <c r="V36" s="410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363.48599999999999</v>
      </c>
      <c r="C38" s="126">
        <f>Prodiarias!O11/1000</f>
        <v>1.7410000000000001</v>
      </c>
      <c r="D38" s="126" t="s">
        <v>65</v>
      </c>
      <c r="E38" s="126">
        <f>Prodiarias!AF11/1000</f>
        <v>144.44900000000001</v>
      </c>
      <c r="F38" s="126">
        <f>Prodiarias!AP11/1000</f>
        <v>131.76400000000001</v>
      </c>
      <c r="G38" s="126" t="s">
        <v>65</v>
      </c>
      <c r="H38" s="126" t="s">
        <v>65</v>
      </c>
      <c r="I38" s="126">
        <f>Prodiarias!BE11</f>
        <v>241.08769999999998</v>
      </c>
      <c r="J38" s="126">
        <f>SUM(B38:I38)</f>
        <v>882.5277000000001</v>
      </c>
      <c r="K38" s="129">
        <f>J38*35.336/1000</f>
        <v>31.184998807200003</v>
      </c>
      <c r="L38" s="139">
        <f>J38/1000*6289</f>
        <v>5550.2167053000012</v>
      </c>
      <c r="N38" s="125">
        <v>1</v>
      </c>
      <c r="O38" s="126">
        <f>B38*0.8</f>
        <v>290.78879999999998</v>
      </c>
      <c r="P38" s="126">
        <f>C38*0.5</f>
        <v>0.87050000000000005</v>
      </c>
      <c r="Q38" s="126" t="s">
        <v>65</v>
      </c>
      <c r="R38" s="126">
        <f t="shared" ref="R38:R68" si="13">E38*0.3172</f>
        <v>45.819222799999999</v>
      </c>
      <c r="S38" s="126">
        <f t="shared" ref="S38:S68" si="14">F38*0.8</f>
        <v>105.41120000000001</v>
      </c>
      <c r="T38" s="126" t="s">
        <v>65</v>
      </c>
      <c r="U38" s="126" t="s">
        <v>65</v>
      </c>
      <c r="V38" s="126">
        <f t="shared" ref="V38:V68" si="15">I38*0.35</f>
        <v>84.380694999999989</v>
      </c>
      <c r="W38" s="126">
        <f t="shared" ref="W38:W68" si="16">SUM(O38:V38)</f>
        <v>527.2704177999999</v>
      </c>
      <c r="X38" s="129">
        <f>W38*35.336/1000</f>
        <v>18.631627483380793</v>
      </c>
      <c r="Y38" s="139">
        <f>W38/1000*6289</f>
        <v>3316.0036575441995</v>
      </c>
    </row>
    <row r="39" spans="1:27" x14ac:dyDescent="0.2">
      <c r="A39" s="125">
        <v>2</v>
      </c>
      <c r="B39" s="126">
        <f>Prodiarias!E12/1000</f>
        <v>344.84568430107527</v>
      </c>
      <c r="C39" s="126">
        <f>Prodiarias!O12/1000</f>
        <v>3.7650752688172044</v>
      </c>
      <c r="D39" s="126" t="s">
        <v>65</v>
      </c>
      <c r="E39" s="126">
        <f>Prodiarias!AF12/1000</f>
        <v>147.75800000000001</v>
      </c>
      <c r="F39" s="126">
        <f>Prodiarias!AP12/1000</f>
        <v>138.74724043010752</v>
      </c>
      <c r="G39" s="126" t="s">
        <v>65</v>
      </c>
      <c r="H39" s="126" t="s">
        <v>65</v>
      </c>
      <c r="I39" s="126">
        <f>Prodiarias!BE12</f>
        <v>183.86509999999998</v>
      </c>
      <c r="J39" s="126">
        <f t="shared" ref="J39:J49" si="17">SUM(B39:I39)</f>
        <v>818.98109999999997</v>
      </c>
      <c r="K39" s="129">
        <f t="shared" ref="K39:K49" si="18">J39*35.336/1000</f>
        <v>28.939516149599996</v>
      </c>
      <c r="L39" s="139">
        <f>J39/1000*6289</f>
        <v>5150.5721378999997</v>
      </c>
      <c r="N39" s="125">
        <v>2</v>
      </c>
      <c r="O39" s="126">
        <f t="shared" ref="O39:O53" si="19">B39*0.8</f>
        <v>275.87654744086024</v>
      </c>
      <c r="P39" s="126">
        <f t="shared" ref="P39:P68" si="20">C39*0.5</f>
        <v>1.8825376344086022</v>
      </c>
      <c r="Q39" s="126" t="s">
        <v>65</v>
      </c>
      <c r="R39" s="126">
        <f t="shared" si="13"/>
        <v>46.868837599999999</v>
      </c>
      <c r="S39" s="126">
        <f t="shared" si="14"/>
        <v>110.99779234408602</v>
      </c>
      <c r="T39" s="126" t="s">
        <v>65</v>
      </c>
      <c r="U39" s="126" t="s">
        <v>65</v>
      </c>
      <c r="V39" s="126">
        <f t="shared" si="15"/>
        <v>64.352784999999997</v>
      </c>
      <c r="W39" s="126">
        <f t="shared" si="16"/>
        <v>499.97850001935484</v>
      </c>
      <c r="X39" s="129">
        <f t="shared" ref="X39:X67" si="21">W39*35.336/1000</f>
        <v>17.667240276683923</v>
      </c>
      <c r="Y39" s="139">
        <f t="shared" ref="Y39:Y53" si="22">W39/1000*6289</f>
        <v>3144.3647866217225</v>
      </c>
      <c r="AA39" s="18" t="s">
        <v>54</v>
      </c>
    </row>
    <row r="40" spans="1:27" x14ac:dyDescent="0.2">
      <c r="A40" s="125">
        <v>3</v>
      </c>
      <c r="B40" s="126">
        <f>Prodiarias!E13/1000</f>
        <v>342.04343419354842</v>
      </c>
      <c r="C40" s="126">
        <f>Prodiarias!O13/1000</f>
        <v>2.7094032258064518</v>
      </c>
      <c r="D40" s="126" t="s">
        <v>65</v>
      </c>
      <c r="E40" s="126">
        <f>Prodiarias!AF13/1000</f>
        <v>147.958</v>
      </c>
      <c r="F40" s="126">
        <f>Prodiarias!AP13/1000</f>
        <v>145.56816258064515</v>
      </c>
      <c r="G40" s="126" t="s">
        <v>65</v>
      </c>
      <c r="H40" s="126" t="s">
        <v>65</v>
      </c>
      <c r="I40" s="126">
        <f>Prodiarias!BE13</f>
        <v>0</v>
      </c>
      <c r="J40" s="126">
        <f t="shared" si="17"/>
        <v>638.279</v>
      </c>
      <c r="K40" s="129">
        <f t="shared" si="18"/>
        <v>22.554226744000001</v>
      </c>
      <c r="L40" s="139">
        <f>J40/1000*6289</f>
        <v>4014.1366310000003</v>
      </c>
      <c r="N40" s="125">
        <v>3</v>
      </c>
      <c r="O40" s="126">
        <f t="shared" si="19"/>
        <v>273.63474735483874</v>
      </c>
      <c r="P40" s="126">
        <f t="shared" si="20"/>
        <v>1.3547016129032259</v>
      </c>
      <c r="Q40" s="126" t="s">
        <v>65</v>
      </c>
      <c r="R40" s="126">
        <f t="shared" si="13"/>
        <v>46.932277599999999</v>
      </c>
      <c r="S40" s="126">
        <f t="shared" si="14"/>
        <v>116.45453006451612</v>
      </c>
      <c r="T40" s="126" t="s">
        <v>65</v>
      </c>
      <c r="U40" s="126" t="s">
        <v>65</v>
      </c>
      <c r="V40" s="126">
        <f t="shared" si="15"/>
        <v>0</v>
      </c>
      <c r="W40" s="126">
        <f t="shared" si="16"/>
        <v>438.37625663225811</v>
      </c>
      <c r="X40" s="129">
        <f t="shared" si="21"/>
        <v>15.490463404357472</v>
      </c>
      <c r="Y40" s="139">
        <f t="shared" si="22"/>
        <v>2756.9482779602713</v>
      </c>
      <c r="AA40" s="18" t="s">
        <v>54</v>
      </c>
    </row>
    <row r="41" spans="1:27" x14ac:dyDescent="0.2">
      <c r="A41" s="125">
        <v>4</v>
      </c>
      <c r="B41" s="126">
        <f>Prodiarias!E14/1000</f>
        <v>344.8300290322581</v>
      </c>
      <c r="C41" s="126">
        <f>Prodiarias!O14/1000</f>
        <v>3.5353387096774194</v>
      </c>
      <c r="D41" s="126" t="s">
        <v>65</v>
      </c>
      <c r="E41" s="126">
        <f>Prodiarias!AF14/1000</f>
        <v>149.41499999999999</v>
      </c>
      <c r="F41" s="126">
        <f>Prodiarias!AP14/1000</f>
        <v>147.24063225806452</v>
      </c>
      <c r="G41" s="126" t="s">
        <v>65</v>
      </c>
      <c r="H41" s="126" t="s">
        <v>65</v>
      </c>
      <c r="I41" s="126">
        <f>Prodiarias!BE14</f>
        <v>0</v>
      </c>
      <c r="J41" s="126">
        <f t="shared" si="17"/>
        <v>645.02099999999996</v>
      </c>
      <c r="K41" s="129">
        <f t="shared" si="18"/>
        <v>22.792462055999998</v>
      </c>
      <c r="L41" s="139">
        <f t="shared" ref="L41:L49" si="23">J41/1000*6289</f>
        <v>4056.5370689999995</v>
      </c>
      <c r="N41" s="125">
        <v>4</v>
      </c>
      <c r="O41" s="126">
        <f t="shared" si="19"/>
        <v>275.86402322580648</v>
      </c>
      <c r="P41" s="126">
        <f t="shared" si="20"/>
        <v>1.7676693548387097</v>
      </c>
      <c r="Q41" s="126" t="s">
        <v>65</v>
      </c>
      <c r="R41" s="126">
        <f t="shared" si="13"/>
        <v>47.394437999999994</v>
      </c>
      <c r="S41" s="126">
        <f t="shared" si="14"/>
        <v>117.79250580645163</v>
      </c>
      <c r="T41" s="126" t="s">
        <v>65</v>
      </c>
      <c r="U41" s="126" t="s">
        <v>65</v>
      </c>
      <c r="V41" s="126">
        <f t="shared" si="15"/>
        <v>0</v>
      </c>
      <c r="W41" s="126">
        <f t="shared" si="16"/>
        <v>442.81863638709677</v>
      </c>
      <c r="X41" s="129">
        <f t="shared" si="21"/>
        <v>15.64743933537445</v>
      </c>
      <c r="Y41" s="139">
        <f t="shared" si="22"/>
        <v>2784.8864042384516</v>
      </c>
    </row>
    <row r="42" spans="1:27" x14ac:dyDescent="0.2">
      <c r="A42" s="125">
        <v>5</v>
      </c>
      <c r="B42" s="126">
        <f>Prodiarias!E15/1000</f>
        <v>350.15776645161293</v>
      </c>
      <c r="C42" s="126">
        <f>Prodiarias!O15/1000</f>
        <v>0</v>
      </c>
      <c r="D42" s="126" t="s">
        <v>65</v>
      </c>
      <c r="E42" s="126">
        <f>Prodiarias!AF15/1000</f>
        <v>147.86000000000001</v>
      </c>
      <c r="F42" s="126">
        <f>Prodiarias!AP15/1000</f>
        <v>144.78523354838711</v>
      </c>
      <c r="G42" s="126" t="s">
        <v>65</v>
      </c>
      <c r="H42" s="126" t="s">
        <v>65</v>
      </c>
      <c r="I42" s="126">
        <f>Prodiarias!BE15</f>
        <v>0</v>
      </c>
      <c r="J42" s="126">
        <f t="shared" si="17"/>
        <v>642.80300000000011</v>
      </c>
      <c r="K42" s="129">
        <f t="shared" si="18"/>
        <v>22.714086808000005</v>
      </c>
      <c r="L42" s="139">
        <f t="shared" si="23"/>
        <v>4042.5880670000006</v>
      </c>
      <c r="N42" s="125">
        <v>5</v>
      </c>
      <c r="O42" s="126">
        <f t="shared" si="19"/>
        <v>280.12621316129037</v>
      </c>
      <c r="P42" s="126">
        <f t="shared" si="20"/>
        <v>0</v>
      </c>
      <c r="Q42" s="126" t="s">
        <v>65</v>
      </c>
      <c r="R42" s="126">
        <f t="shared" si="13"/>
        <v>46.901192000000002</v>
      </c>
      <c r="S42" s="126">
        <f t="shared" si="14"/>
        <v>115.8281868387097</v>
      </c>
      <c r="T42" s="126" t="s">
        <v>65</v>
      </c>
      <c r="U42" s="126" t="s">
        <v>65</v>
      </c>
      <c r="V42" s="126">
        <f t="shared" si="15"/>
        <v>0</v>
      </c>
      <c r="W42" s="126">
        <f t="shared" si="16"/>
        <v>442.85559200000006</v>
      </c>
      <c r="X42" s="129">
        <f t="shared" si="21"/>
        <v>15.648745198912001</v>
      </c>
      <c r="Y42" s="139">
        <f t="shared" si="22"/>
        <v>2785.1188180880004</v>
      </c>
    </row>
    <row r="43" spans="1:27" x14ac:dyDescent="0.2">
      <c r="A43" s="125">
        <v>6</v>
      </c>
      <c r="B43" s="126">
        <f>Prodiarias!E16/1000</f>
        <v>333.51900000000001</v>
      </c>
      <c r="C43" s="126">
        <f>Prodiarias!O16/1000</f>
        <v>12.218</v>
      </c>
      <c r="D43" s="126" t="s">
        <v>65</v>
      </c>
      <c r="E43" s="126">
        <f>Prodiarias!AF16/1000</f>
        <v>147.01900000000001</v>
      </c>
      <c r="F43" s="126">
        <f>Prodiarias!AP16/1000</f>
        <v>153.40100000000001</v>
      </c>
      <c r="G43" s="126" t="s">
        <v>65</v>
      </c>
      <c r="H43" s="126" t="s">
        <v>65</v>
      </c>
      <c r="I43" s="126">
        <f>Prodiarias!BE16</f>
        <v>0</v>
      </c>
      <c r="J43" s="126">
        <f t="shared" si="17"/>
        <v>646.15700000000004</v>
      </c>
      <c r="K43" s="129">
        <f t="shared" si="18"/>
        <v>22.832603752000001</v>
      </c>
      <c r="L43" s="139">
        <f t="shared" si="23"/>
        <v>4063.6813730000008</v>
      </c>
      <c r="N43" s="125">
        <v>6</v>
      </c>
      <c r="O43" s="126">
        <f t="shared" si="19"/>
        <v>266.8152</v>
      </c>
      <c r="P43" s="126">
        <f t="shared" si="20"/>
        <v>6.109</v>
      </c>
      <c r="Q43" s="126" t="s">
        <v>65</v>
      </c>
      <c r="R43" s="126">
        <f t="shared" si="13"/>
        <v>46.6344268</v>
      </c>
      <c r="S43" s="126">
        <f t="shared" si="14"/>
        <v>122.72080000000001</v>
      </c>
      <c r="T43" s="126" t="s">
        <v>65</v>
      </c>
      <c r="U43" s="126" t="s">
        <v>65</v>
      </c>
      <c r="V43" s="126">
        <f t="shared" si="15"/>
        <v>0</v>
      </c>
      <c r="W43" s="126">
        <f t="shared" si="16"/>
        <v>442.27942679999995</v>
      </c>
      <c r="X43" s="129">
        <f t="shared" si="21"/>
        <v>15.628385825404797</v>
      </c>
      <c r="Y43" s="139">
        <f t="shared" si="22"/>
        <v>2781.4953151451996</v>
      </c>
    </row>
    <row r="44" spans="1:27" x14ac:dyDescent="0.2">
      <c r="A44" s="125">
        <v>7</v>
      </c>
      <c r="B44" s="126">
        <f>Prodiarias!E17/1000</f>
        <v>331.45400000000001</v>
      </c>
      <c r="C44" s="126">
        <f>Prodiarias!O17/1000</f>
        <v>7.6310000000000002</v>
      </c>
      <c r="D44" s="126" t="s">
        <v>65</v>
      </c>
      <c r="E44" s="126">
        <f>Prodiarias!AF17/1000</f>
        <v>149.661</v>
      </c>
      <c r="F44" s="126">
        <f>Prodiarias!AP17/1000</f>
        <v>156.52000000000001</v>
      </c>
      <c r="G44" s="126" t="s">
        <v>65</v>
      </c>
      <c r="H44" s="126" t="s">
        <v>65</v>
      </c>
      <c r="I44" s="126">
        <f>Prodiarias!BE17</f>
        <v>0</v>
      </c>
      <c r="J44" s="126">
        <f t="shared" si="17"/>
        <v>645.26600000000008</v>
      </c>
      <c r="K44" s="129">
        <f t="shared" si="18"/>
        <v>22.801119376000003</v>
      </c>
      <c r="L44" s="139">
        <f t="shared" si="23"/>
        <v>4058.0778740000005</v>
      </c>
      <c r="N44" s="125">
        <v>7</v>
      </c>
      <c r="O44" s="126">
        <f t="shared" si="19"/>
        <v>265.16320000000002</v>
      </c>
      <c r="P44" s="126">
        <f t="shared" si="20"/>
        <v>3.8155000000000001</v>
      </c>
      <c r="Q44" s="126" t="s">
        <v>65</v>
      </c>
      <c r="R44" s="126">
        <f t="shared" si="13"/>
        <v>47.472469199999999</v>
      </c>
      <c r="S44" s="126">
        <f t="shared" si="14"/>
        <v>125.21600000000001</v>
      </c>
      <c r="T44" s="126" t="s">
        <v>65</v>
      </c>
      <c r="U44" s="126" t="s">
        <v>65</v>
      </c>
      <c r="V44" s="126">
        <f t="shared" si="15"/>
        <v>0</v>
      </c>
      <c r="W44" s="126">
        <f t="shared" si="16"/>
        <v>441.66716919999999</v>
      </c>
      <c r="X44" s="129">
        <f t="shared" si="21"/>
        <v>15.606751090851199</v>
      </c>
      <c r="Y44" s="139">
        <f t="shared" si="22"/>
        <v>2777.6448270987999</v>
      </c>
    </row>
    <row r="45" spans="1:27" x14ac:dyDescent="0.2">
      <c r="A45" s="125">
        <v>8</v>
      </c>
      <c r="B45" s="126">
        <f>Prodiarias!E18/1000</f>
        <v>334.61874688172048</v>
      </c>
      <c r="C45" s="126">
        <f>Prodiarias!O18/1000</f>
        <v>8.9299623655913987</v>
      </c>
      <c r="D45" s="126" t="s">
        <v>65</v>
      </c>
      <c r="E45" s="126">
        <f>Prodiarias!AF18/1000</f>
        <v>149.95699999999999</v>
      </c>
      <c r="F45" s="126">
        <f>Prodiarias!AP18/1000</f>
        <v>156.07829075268816</v>
      </c>
      <c r="G45" s="126" t="s">
        <v>65</v>
      </c>
      <c r="H45" s="126" t="s">
        <v>65</v>
      </c>
      <c r="I45" s="126">
        <f>Prodiarias!BE18</f>
        <v>0</v>
      </c>
      <c r="J45" s="126">
        <f t="shared" si="17"/>
        <v>649.58400000000006</v>
      </c>
      <c r="K45" s="129">
        <f t="shared" si="18"/>
        <v>22.953700223999999</v>
      </c>
      <c r="L45" s="139">
        <f t="shared" si="23"/>
        <v>4085.2337760000005</v>
      </c>
      <c r="N45" s="125">
        <v>8</v>
      </c>
      <c r="O45" s="126">
        <f t="shared" si="19"/>
        <v>267.69499750537642</v>
      </c>
      <c r="P45" s="126">
        <f t="shared" si="20"/>
        <v>4.4649811827956993</v>
      </c>
      <c r="Q45" s="126" t="s">
        <v>65</v>
      </c>
      <c r="R45" s="126">
        <f t="shared" si="13"/>
        <v>47.566360399999994</v>
      </c>
      <c r="S45" s="126">
        <f t="shared" si="14"/>
        <v>124.86263260215054</v>
      </c>
      <c r="T45" s="126" t="s">
        <v>65</v>
      </c>
      <c r="U45" s="126" t="s">
        <v>65</v>
      </c>
      <c r="V45" s="126">
        <f t="shared" si="15"/>
        <v>0</v>
      </c>
      <c r="W45" s="126">
        <f t="shared" si="16"/>
        <v>444.58897169032269</v>
      </c>
      <c r="X45" s="129">
        <f t="shared" si="21"/>
        <v>15.709995903649242</v>
      </c>
      <c r="Y45" s="139">
        <f t="shared" si="22"/>
        <v>2796.0200429604392</v>
      </c>
    </row>
    <row r="46" spans="1:27" x14ac:dyDescent="0.2">
      <c r="A46" s="125">
        <v>9</v>
      </c>
      <c r="B46" s="126">
        <f>Prodiarias!E19/1000</f>
        <v>338.56057784946239</v>
      </c>
      <c r="C46" s="126">
        <f>Prodiarias!O19/1000</f>
        <v>14.30040322580645</v>
      </c>
      <c r="D46" s="126" t="s">
        <v>65</v>
      </c>
      <c r="E46" s="126">
        <f>Prodiarias!AF19/1000</f>
        <v>140.53899999999999</v>
      </c>
      <c r="F46" s="126">
        <f>Prodiarias!AP19/1000</f>
        <v>147.99801892473118</v>
      </c>
      <c r="G46" s="126" t="s">
        <v>65</v>
      </c>
      <c r="H46" s="126" t="s">
        <v>65</v>
      </c>
      <c r="I46" s="126">
        <f>Prodiarias!BE19</f>
        <v>0</v>
      </c>
      <c r="J46" s="126">
        <f t="shared" si="17"/>
        <v>641.39800000000002</v>
      </c>
      <c r="K46" s="129">
        <f t="shared" si="18"/>
        <v>22.664439728000001</v>
      </c>
      <c r="L46" s="139">
        <f t="shared" si="23"/>
        <v>4033.7520220000001</v>
      </c>
      <c r="N46" s="125">
        <v>9</v>
      </c>
      <c r="O46" s="126">
        <f t="shared" si="19"/>
        <v>270.8484622795699</v>
      </c>
      <c r="P46" s="126">
        <f t="shared" si="20"/>
        <v>7.1502016129032251</v>
      </c>
      <c r="Q46" s="126" t="s">
        <v>65</v>
      </c>
      <c r="R46" s="126">
        <f t="shared" si="13"/>
        <v>44.578970799999993</v>
      </c>
      <c r="S46" s="126">
        <f t="shared" si="14"/>
        <v>118.39841513978496</v>
      </c>
      <c r="T46" s="126" t="s">
        <v>65</v>
      </c>
      <c r="U46" s="126" t="s">
        <v>65</v>
      </c>
      <c r="V46" s="126">
        <f t="shared" si="15"/>
        <v>0</v>
      </c>
      <c r="W46" s="126">
        <f t="shared" si="16"/>
        <v>440.97604983225807</v>
      </c>
      <c r="X46" s="129">
        <f t="shared" si="21"/>
        <v>15.582329696872669</v>
      </c>
      <c r="Y46" s="139">
        <f t="shared" si="22"/>
        <v>2773.2983773950709</v>
      </c>
    </row>
    <row r="47" spans="1:27" x14ac:dyDescent="0.2">
      <c r="A47" s="125">
        <v>10</v>
      </c>
      <c r="B47" s="126">
        <f>Prodiarias!E20/1000</f>
        <v>337.65165376344083</v>
      </c>
      <c r="C47" s="126">
        <f>Prodiarias!O20/1000</f>
        <v>15.849032258064517</v>
      </c>
      <c r="D47" s="126" t="s">
        <v>65</v>
      </c>
      <c r="E47" s="126">
        <f>Prodiarias!AF20/1000</f>
        <v>137.64599999999999</v>
      </c>
      <c r="F47" s="126">
        <f>Prodiarias!AP20/1000</f>
        <v>154.74231397849462</v>
      </c>
      <c r="G47" s="126" t="s">
        <v>65</v>
      </c>
      <c r="H47" s="126" t="s">
        <v>65</v>
      </c>
      <c r="I47" s="126">
        <f>Prodiarias!BE20</f>
        <v>0</v>
      </c>
      <c r="J47" s="126">
        <f t="shared" si="17"/>
        <v>645.88900000000001</v>
      </c>
      <c r="K47" s="129">
        <f t="shared" si="18"/>
        <v>22.823133704</v>
      </c>
      <c r="L47" s="139">
        <f t="shared" si="23"/>
        <v>4061.9959210000002</v>
      </c>
      <c r="N47" s="125">
        <v>10</v>
      </c>
      <c r="O47" s="126">
        <f t="shared" si="19"/>
        <v>270.12132301075269</v>
      </c>
      <c r="P47" s="126">
        <f t="shared" si="20"/>
        <v>7.9245161290322583</v>
      </c>
      <c r="Q47" s="126" t="s">
        <v>65</v>
      </c>
      <c r="R47" s="126">
        <f t="shared" si="13"/>
        <v>43.661311199999993</v>
      </c>
      <c r="S47" s="126">
        <f t="shared" si="14"/>
        <v>123.79385118279571</v>
      </c>
      <c r="T47" s="126" t="s">
        <v>65</v>
      </c>
      <c r="U47" s="126" t="s">
        <v>65</v>
      </c>
      <c r="V47" s="126">
        <f t="shared" si="15"/>
        <v>0</v>
      </c>
      <c r="W47" s="126">
        <f t="shared" si="16"/>
        <v>445.50100152258068</v>
      </c>
      <c r="X47" s="129">
        <f t="shared" si="21"/>
        <v>15.742223389801909</v>
      </c>
      <c r="Y47" s="139">
        <f t="shared" si="22"/>
        <v>2801.7557985755097</v>
      </c>
    </row>
    <row r="48" spans="1:27" x14ac:dyDescent="0.2">
      <c r="A48" s="125">
        <v>11</v>
      </c>
      <c r="B48" s="126">
        <f>Prodiarias!E21/1000</f>
        <v>335.12357913978491</v>
      </c>
      <c r="C48" s="126">
        <f>Prodiarias!O21/1000</f>
        <v>8.6379086021505369</v>
      </c>
      <c r="D48" s="126" t="s">
        <v>65</v>
      </c>
      <c r="E48" s="126">
        <f>Prodiarias!AF21/1000</f>
        <v>141.40199999999999</v>
      </c>
      <c r="F48" s="126">
        <f>Prodiarias!AP21/1000</f>
        <v>154.57351225806454</v>
      </c>
      <c r="G48" s="126" t="s">
        <v>65</v>
      </c>
      <c r="H48" s="126" t="s">
        <v>65</v>
      </c>
      <c r="I48" s="126">
        <f>Prodiarias!BE21</f>
        <v>108.1626</v>
      </c>
      <c r="J48" s="126">
        <f t="shared" si="17"/>
        <v>747.89959999999996</v>
      </c>
      <c r="K48" s="129">
        <f t="shared" si="18"/>
        <v>26.427780265599999</v>
      </c>
      <c r="L48" s="139">
        <f t="shared" si="23"/>
        <v>4703.5405843999997</v>
      </c>
      <c r="N48" s="125">
        <v>11</v>
      </c>
      <c r="O48" s="126">
        <f t="shared" si="19"/>
        <v>268.09886331182793</v>
      </c>
      <c r="P48" s="126">
        <f t="shared" si="20"/>
        <v>4.3189543010752685</v>
      </c>
      <c r="Q48" s="126" t="s">
        <v>65</v>
      </c>
      <c r="R48" s="126">
        <f t="shared" si="13"/>
        <v>44.852714399999996</v>
      </c>
      <c r="S48" s="126">
        <f t="shared" si="14"/>
        <v>123.65880980645164</v>
      </c>
      <c r="T48" s="126" t="s">
        <v>65</v>
      </c>
      <c r="U48" s="126" t="s">
        <v>65</v>
      </c>
      <c r="V48" s="126">
        <f t="shared" si="15"/>
        <v>37.856909999999999</v>
      </c>
      <c r="W48" s="126">
        <f t="shared" si="16"/>
        <v>478.7862518193549</v>
      </c>
      <c r="X48" s="129">
        <f t="shared" si="21"/>
        <v>16.918390994288725</v>
      </c>
      <c r="Y48" s="139">
        <f t="shared" si="22"/>
        <v>3011.0867376919232</v>
      </c>
    </row>
    <row r="49" spans="1:25" x14ac:dyDescent="0.2">
      <c r="A49" s="125">
        <v>12</v>
      </c>
      <c r="B49" s="126">
        <f>Prodiarias!E22/1000</f>
        <v>341.33507548387098</v>
      </c>
      <c r="C49" s="126">
        <f>Prodiarias!O22/1000</f>
        <v>9.2071344086021512</v>
      </c>
      <c r="D49" s="126" t="s">
        <v>65</v>
      </c>
      <c r="E49" s="126">
        <f>Prodiarias!AF22/1000</f>
        <v>139.15700000000001</v>
      </c>
      <c r="F49" s="126">
        <f>Prodiarias!AP22/1000</f>
        <v>154.46579010752689</v>
      </c>
      <c r="G49" s="126" t="s">
        <v>65</v>
      </c>
      <c r="H49" s="126" t="s">
        <v>65</v>
      </c>
      <c r="I49" s="126">
        <f>Prodiarias!BE22</f>
        <v>255.57729999999998</v>
      </c>
      <c r="J49" s="126">
        <f t="shared" si="17"/>
        <v>899.74230000000011</v>
      </c>
      <c r="K49" s="129">
        <f t="shared" si="18"/>
        <v>31.793293912800003</v>
      </c>
      <c r="L49" s="139">
        <f t="shared" si="23"/>
        <v>5658.4793247000007</v>
      </c>
      <c r="N49" s="125">
        <v>12</v>
      </c>
      <c r="O49" s="126">
        <f t="shared" si="19"/>
        <v>273.06806038709681</v>
      </c>
      <c r="P49" s="126">
        <f t="shared" si="20"/>
        <v>4.6035672043010756</v>
      </c>
      <c r="Q49" s="126" t="s">
        <v>65</v>
      </c>
      <c r="R49" s="126">
        <f t="shared" si="13"/>
        <v>44.140600400000004</v>
      </c>
      <c r="S49" s="126">
        <f t="shared" si="14"/>
        <v>123.57263208602151</v>
      </c>
      <c r="T49" s="126" t="s">
        <v>65</v>
      </c>
      <c r="U49" s="126" t="s">
        <v>65</v>
      </c>
      <c r="V49" s="126">
        <f t="shared" si="15"/>
        <v>89.452054999999987</v>
      </c>
      <c r="W49" s="126">
        <f t="shared" si="16"/>
        <v>534.83691507741935</v>
      </c>
      <c r="X49" s="129">
        <f t="shared" si="21"/>
        <v>18.898997231175692</v>
      </c>
      <c r="Y49" s="139">
        <f t="shared" si="22"/>
        <v>3363.5893589218904</v>
      </c>
    </row>
    <row r="50" spans="1:25" x14ac:dyDescent="0.2">
      <c r="A50" s="125">
        <v>13</v>
      </c>
      <c r="B50" s="126">
        <f>Prodiarias!E23/1000</f>
        <v>355.87846279569891</v>
      </c>
      <c r="C50" s="126">
        <f>Prodiarias!O23/1000</f>
        <v>7.6361827956989243</v>
      </c>
      <c r="D50" s="126" t="s">
        <v>65</v>
      </c>
      <c r="E50" s="126">
        <f>Prodiarias!AF23/1000</f>
        <v>143.215</v>
      </c>
      <c r="F50" s="126">
        <f>Prodiarias!AP23/1000</f>
        <v>155.09435440860213</v>
      </c>
      <c r="G50" s="126" t="s">
        <v>65</v>
      </c>
      <c r="H50" s="126" t="s">
        <v>65</v>
      </c>
      <c r="I50" s="126">
        <f>Prodiarias!BE23</f>
        <v>269.67069999999995</v>
      </c>
      <c r="J50" s="126">
        <f t="shared" ref="J50:J67" si="24">SUM(B50:I50)</f>
        <v>931.49469999999997</v>
      </c>
      <c r="K50" s="129">
        <f t="shared" ref="K50:K67" si="25">J50*35.336/1000</f>
        <v>32.915296719200001</v>
      </c>
      <c r="L50" s="139">
        <f t="shared" ref="L50:L67" si="26">J50/1000*6289</f>
        <v>5858.1701683000001</v>
      </c>
      <c r="N50" s="125">
        <v>13</v>
      </c>
      <c r="O50" s="126">
        <f t="shared" si="19"/>
        <v>284.70277023655916</v>
      </c>
      <c r="P50" s="126">
        <f t="shared" si="20"/>
        <v>3.8180913978494622</v>
      </c>
      <c r="Q50" s="126" t="s">
        <v>65</v>
      </c>
      <c r="R50" s="126">
        <f t="shared" si="13"/>
        <v>45.427797999999996</v>
      </c>
      <c r="S50" s="126">
        <f t="shared" si="14"/>
        <v>124.07548352688171</v>
      </c>
      <c r="T50" s="126" t="s">
        <v>65</v>
      </c>
      <c r="U50" s="126" t="s">
        <v>65</v>
      </c>
      <c r="V50" s="126">
        <f t="shared" si="15"/>
        <v>94.384744999999981</v>
      </c>
      <c r="W50" s="126">
        <f t="shared" si="16"/>
        <v>552.40888816129029</v>
      </c>
      <c r="X50" s="129">
        <f t="shared" si="21"/>
        <v>19.519920472067351</v>
      </c>
      <c r="Y50" s="139">
        <f t="shared" si="22"/>
        <v>3474.0994976463548</v>
      </c>
    </row>
    <row r="51" spans="1:25" x14ac:dyDescent="0.2">
      <c r="A51" s="125">
        <v>14</v>
      </c>
      <c r="B51" s="126">
        <f>Prodiarias!E24/1000</f>
        <v>345.83325870967735</v>
      </c>
      <c r="C51" s="126">
        <f>Prodiarias!O24/1000</f>
        <v>6.3628655913978491</v>
      </c>
      <c r="D51" s="126" t="s">
        <v>65</v>
      </c>
      <c r="E51" s="126">
        <f>Prodiarias!AF24/1000</f>
        <v>143.02000000000001</v>
      </c>
      <c r="F51" s="126">
        <f>Prodiarias!AP24/1000</f>
        <v>151.50287569892473</v>
      </c>
      <c r="G51" s="126" t="s">
        <v>65</v>
      </c>
      <c r="H51" s="126" t="s">
        <v>65</v>
      </c>
      <c r="I51" s="126">
        <f>Prodiarias!BE24</f>
        <v>269.86879999999996</v>
      </c>
      <c r="J51" s="126">
        <f t="shared" si="24"/>
        <v>916.5877999999999</v>
      </c>
      <c r="K51" s="129">
        <f t="shared" si="25"/>
        <v>32.388546500799997</v>
      </c>
      <c r="L51" s="139">
        <f t="shared" si="26"/>
        <v>5764.4206741999997</v>
      </c>
      <c r="N51" s="125">
        <v>14</v>
      </c>
      <c r="O51" s="126">
        <f t="shared" si="19"/>
        <v>276.66660696774187</v>
      </c>
      <c r="P51" s="126">
        <f t="shared" si="20"/>
        <v>3.1814327956989246</v>
      </c>
      <c r="Q51" s="126" t="s">
        <v>65</v>
      </c>
      <c r="R51" s="126">
        <f t="shared" si="13"/>
        <v>45.365943999999999</v>
      </c>
      <c r="S51" s="126">
        <f t="shared" si="14"/>
        <v>121.20230055913979</v>
      </c>
      <c r="T51" s="126" t="s">
        <v>65</v>
      </c>
      <c r="U51" s="126" t="s">
        <v>65</v>
      </c>
      <c r="V51" s="126">
        <f t="shared" si="15"/>
        <v>94.454079999999976</v>
      </c>
      <c r="W51" s="126">
        <f t="shared" si="16"/>
        <v>540.8703643225806</v>
      </c>
      <c r="X51" s="129">
        <f t="shared" si="21"/>
        <v>19.112195193702707</v>
      </c>
      <c r="Y51" s="139">
        <f t="shared" si="22"/>
        <v>3401.5337212247096</v>
      </c>
    </row>
    <row r="52" spans="1:25" x14ac:dyDescent="0.2">
      <c r="A52" s="125">
        <v>15</v>
      </c>
      <c r="B52" s="126">
        <f>Prodiarias!E25/1000</f>
        <v>336.12151096774193</v>
      </c>
      <c r="C52" s="126">
        <f>Prodiarias!O25/1000</f>
        <v>6.1833548387096773</v>
      </c>
      <c r="D52" s="126" t="s">
        <v>65</v>
      </c>
      <c r="E52" s="126">
        <f>Prodiarias!AF25/1000</f>
        <v>142.33600000000001</v>
      </c>
      <c r="F52" s="126">
        <f>Prodiarias!AP25/1000</f>
        <v>144.33213419354837</v>
      </c>
      <c r="G52" s="126" t="s">
        <v>65</v>
      </c>
      <c r="H52" s="126" t="s">
        <v>65</v>
      </c>
      <c r="I52" s="126">
        <f>Prodiarias!BE25</f>
        <v>270.01029999999997</v>
      </c>
      <c r="J52" s="126">
        <f t="shared" si="24"/>
        <v>898.98329999999987</v>
      </c>
      <c r="K52" s="129">
        <f t="shared" si="25"/>
        <v>31.766473888799997</v>
      </c>
      <c r="L52" s="139">
        <f t="shared" si="26"/>
        <v>5653.705973699999</v>
      </c>
      <c r="N52" s="125">
        <v>15</v>
      </c>
      <c r="O52" s="126">
        <f t="shared" si="19"/>
        <v>268.89720877419353</v>
      </c>
      <c r="P52" s="126">
        <f t="shared" si="20"/>
        <v>3.0916774193548386</v>
      </c>
      <c r="Q52" s="126" t="s">
        <v>65</v>
      </c>
      <c r="R52" s="126">
        <f t="shared" si="13"/>
        <v>45.148979199999999</v>
      </c>
      <c r="S52" s="126">
        <f t="shared" si="14"/>
        <v>115.4657073548387</v>
      </c>
      <c r="T52" s="126" t="s">
        <v>65</v>
      </c>
      <c r="U52" s="126" t="s">
        <v>65</v>
      </c>
      <c r="V52" s="126">
        <f t="shared" si="15"/>
        <v>94.503604999999979</v>
      </c>
      <c r="W52" s="126">
        <f t="shared" si="16"/>
        <v>527.10717774838702</v>
      </c>
      <c r="X52" s="129">
        <f t="shared" si="21"/>
        <v>18.625859232917001</v>
      </c>
      <c r="Y52" s="139">
        <f t="shared" si="22"/>
        <v>3314.9770408596059</v>
      </c>
    </row>
    <row r="53" spans="1:25" x14ac:dyDescent="0.2">
      <c r="A53" s="125">
        <v>16</v>
      </c>
      <c r="B53" s="126">
        <f>Prodiarias!E26/1000</f>
        <v>0</v>
      </c>
      <c r="C53" s="126">
        <f>Prodiarias!O26/1000</f>
        <v>0</v>
      </c>
      <c r="D53" s="126" t="s">
        <v>65</v>
      </c>
      <c r="E53" s="126">
        <f>Prodiarias!AF26/1000</f>
        <v>0</v>
      </c>
      <c r="F53" s="126">
        <f>Prodiarias!AP26/1000</f>
        <v>0</v>
      </c>
      <c r="G53" s="126" t="s">
        <v>65</v>
      </c>
      <c r="H53" s="126" t="s">
        <v>65</v>
      </c>
      <c r="I53" s="126">
        <f>Prodiarias!BE26</f>
        <v>0</v>
      </c>
      <c r="J53" s="126">
        <f t="shared" si="24"/>
        <v>0</v>
      </c>
      <c r="K53" s="129">
        <f t="shared" si="25"/>
        <v>0</v>
      </c>
      <c r="L53" s="139">
        <f t="shared" si="26"/>
        <v>0</v>
      </c>
      <c r="N53" s="125">
        <v>16</v>
      </c>
      <c r="O53" s="126">
        <f t="shared" si="19"/>
        <v>0</v>
      </c>
      <c r="P53" s="126">
        <f t="shared" si="20"/>
        <v>0</v>
      </c>
      <c r="Q53" s="126" t="s">
        <v>65</v>
      </c>
      <c r="R53" s="126">
        <f t="shared" si="13"/>
        <v>0</v>
      </c>
      <c r="S53" s="126">
        <f t="shared" si="14"/>
        <v>0</v>
      </c>
      <c r="T53" s="126" t="s">
        <v>65</v>
      </c>
      <c r="U53" s="126" t="s">
        <v>65</v>
      </c>
      <c r="V53" s="126">
        <f t="shared" si="15"/>
        <v>0</v>
      </c>
      <c r="W53" s="126">
        <f t="shared" si="16"/>
        <v>0</v>
      </c>
      <c r="X53" s="129">
        <f t="shared" si="21"/>
        <v>0</v>
      </c>
      <c r="Y53" s="139">
        <f t="shared" si="22"/>
        <v>0</v>
      </c>
    </row>
    <row r="54" spans="1:25" x14ac:dyDescent="0.2">
      <c r="A54" s="125">
        <v>17</v>
      </c>
      <c r="B54" s="126">
        <f>Prodiarias!E27/1000</f>
        <v>0</v>
      </c>
      <c r="C54" s="126">
        <f>Prodiarias!O27/1000</f>
        <v>0</v>
      </c>
      <c r="D54" s="126" t="s">
        <v>65</v>
      </c>
      <c r="E54" s="126">
        <f>Prodiarias!AF27/1000</f>
        <v>0</v>
      </c>
      <c r="F54" s="126">
        <f>Prodiarias!AP27/1000</f>
        <v>0</v>
      </c>
      <c r="G54" s="126" t="s">
        <v>65</v>
      </c>
      <c r="H54" s="126" t="s">
        <v>65</v>
      </c>
      <c r="I54" s="126">
        <f>Prodiarias!BE27</f>
        <v>0</v>
      </c>
      <c r="J54" s="126">
        <f t="shared" si="24"/>
        <v>0</v>
      </c>
      <c r="K54" s="129">
        <f t="shared" si="25"/>
        <v>0</v>
      </c>
      <c r="L54" s="139">
        <f t="shared" si="26"/>
        <v>0</v>
      </c>
      <c r="N54" s="125">
        <v>17</v>
      </c>
      <c r="O54" s="126">
        <f t="shared" ref="O54:O67" si="27">B54*0.8</f>
        <v>0</v>
      </c>
      <c r="P54" s="126">
        <f t="shared" si="20"/>
        <v>0</v>
      </c>
      <c r="Q54" s="126" t="s">
        <v>65</v>
      </c>
      <c r="R54" s="126">
        <f t="shared" si="13"/>
        <v>0</v>
      </c>
      <c r="S54" s="126">
        <f t="shared" si="14"/>
        <v>0</v>
      </c>
      <c r="T54" s="126" t="s">
        <v>65</v>
      </c>
      <c r="U54" s="126" t="s">
        <v>65</v>
      </c>
      <c r="V54" s="126">
        <f t="shared" si="15"/>
        <v>0</v>
      </c>
      <c r="W54" s="126">
        <f t="shared" si="16"/>
        <v>0</v>
      </c>
      <c r="X54" s="129">
        <f t="shared" si="21"/>
        <v>0</v>
      </c>
      <c r="Y54" s="139">
        <f t="shared" ref="Y54:Y67" si="28">W54/1000*6289</f>
        <v>0</v>
      </c>
    </row>
    <row r="55" spans="1:25" x14ac:dyDescent="0.2">
      <c r="A55" s="125">
        <v>18</v>
      </c>
      <c r="B55" s="126">
        <f>Prodiarias!E28/1000</f>
        <v>0</v>
      </c>
      <c r="C55" s="126">
        <f>Prodiarias!O28/1000</f>
        <v>0</v>
      </c>
      <c r="D55" s="126" t="s">
        <v>65</v>
      </c>
      <c r="E55" s="126">
        <f>Prodiarias!AF28/1000</f>
        <v>0</v>
      </c>
      <c r="F55" s="126">
        <f>Prodiarias!AP28/1000</f>
        <v>0</v>
      </c>
      <c r="G55" s="126" t="s">
        <v>65</v>
      </c>
      <c r="H55" s="126" t="s">
        <v>65</v>
      </c>
      <c r="I55" s="126">
        <f>Prodiarias!BE28</f>
        <v>0</v>
      </c>
      <c r="J55" s="126">
        <f t="shared" si="24"/>
        <v>0</v>
      </c>
      <c r="K55" s="129">
        <f t="shared" si="25"/>
        <v>0</v>
      </c>
      <c r="L55" s="139">
        <f t="shared" si="26"/>
        <v>0</v>
      </c>
      <c r="N55" s="125">
        <v>18</v>
      </c>
      <c r="O55" s="126">
        <f t="shared" si="27"/>
        <v>0</v>
      </c>
      <c r="P55" s="126">
        <f t="shared" si="20"/>
        <v>0</v>
      </c>
      <c r="Q55" s="126" t="s">
        <v>65</v>
      </c>
      <c r="R55" s="126">
        <f t="shared" si="13"/>
        <v>0</v>
      </c>
      <c r="S55" s="126">
        <f t="shared" si="14"/>
        <v>0</v>
      </c>
      <c r="T55" s="126" t="s">
        <v>65</v>
      </c>
      <c r="U55" s="126" t="s">
        <v>65</v>
      </c>
      <c r="V55" s="126">
        <f t="shared" si="15"/>
        <v>0</v>
      </c>
      <c r="W55" s="126">
        <f t="shared" si="16"/>
        <v>0</v>
      </c>
      <c r="X55" s="129">
        <f t="shared" si="21"/>
        <v>0</v>
      </c>
      <c r="Y55" s="139">
        <f t="shared" si="28"/>
        <v>0</v>
      </c>
    </row>
    <row r="56" spans="1:25" x14ac:dyDescent="0.2">
      <c r="A56" s="125">
        <v>19</v>
      </c>
      <c r="B56" s="126">
        <f>Prodiarias!E29/1000</f>
        <v>0</v>
      </c>
      <c r="C56" s="126">
        <f>Prodiarias!O29/1000</f>
        <v>0</v>
      </c>
      <c r="D56" s="126" t="s">
        <v>65</v>
      </c>
      <c r="E56" s="126">
        <f>Prodiarias!AF29/1000</f>
        <v>0</v>
      </c>
      <c r="F56" s="126">
        <f>Prodiarias!AP29/1000</f>
        <v>0</v>
      </c>
      <c r="G56" s="126" t="s">
        <v>65</v>
      </c>
      <c r="H56" s="126" t="s">
        <v>65</v>
      </c>
      <c r="I56" s="126">
        <f>Prodiarias!BE29</f>
        <v>0</v>
      </c>
      <c r="J56" s="126">
        <f t="shared" si="24"/>
        <v>0</v>
      </c>
      <c r="K56" s="129">
        <f t="shared" si="25"/>
        <v>0</v>
      </c>
      <c r="L56" s="139">
        <f t="shared" si="26"/>
        <v>0</v>
      </c>
      <c r="N56" s="125">
        <v>19</v>
      </c>
      <c r="O56" s="126">
        <f t="shared" si="27"/>
        <v>0</v>
      </c>
      <c r="P56" s="126">
        <f t="shared" si="20"/>
        <v>0</v>
      </c>
      <c r="Q56" s="126" t="s">
        <v>65</v>
      </c>
      <c r="R56" s="126">
        <f t="shared" si="13"/>
        <v>0</v>
      </c>
      <c r="S56" s="126">
        <f t="shared" si="14"/>
        <v>0</v>
      </c>
      <c r="T56" s="126" t="s">
        <v>65</v>
      </c>
      <c r="U56" s="126" t="s">
        <v>65</v>
      </c>
      <c r="V56" s="126">
        <f t="shared" si="15"/>
        <v>0</v>
      </c>
      <c r="W56" s="126">
        <f t="shared" si="16"/>
        <v>0</v>
      </c>
      <c r="X56" s="129">
        <f t="shared" si="21"/>
        <v>0</v>
      </c>
      <c r="Y56" s="139">
        <f t="shared" si="28"/>
        <v>0</v>
      </c>
    </row>
    <row r="57" spans="1:25" x14ac:dyDescent="0.2">
      <c r="A57" s="125">
        <v>20</v>
      </c>
      <c r="B57" s="126">
        <f>Prodiarias!E30/1000</f>
        <v>0</v>
      </c>
      <c r="C57" s="126">
        <f>Prodiarias!O30/1000</f>
        <v>0</v>
      </c>
      <c r="D57" s="126" t="s">
        <v>65</v>
      </c>
      <c r="E57" s="126">
        <f>Prodiarias!AF30/1000</f>
        <v>0</v>
      </c>
      <c r="F57" s="126">
        <f>Prodiarias!AP30/1000</f>
        <v>0</v>
      </c>
      <c r="G57" s="126" t="s">
        <v>65</v>
      </c>
      <c r="H57" s="126" t="s">
        <v>65</v>
      </c>
      <c r="I57" s="126">
        <f>Prodiarias!BE30</f>
        <v>0</v>
      </c>
      <c r="J57" s="126">
        <f t="shared" si="24"/>
        <v>0</v>
      </c>
      <c r="K57" s="129">
        <f t="shared" si="25"/>
        <v>0</v>
      </c>
      <c r="L57" s="139">
        <f t="shared" si="26"/>
        <v>0</v>
      </c>
      <c r="N57" s="125">
        <v>20</v>
      </c>
      <c r="O57" s="126">
        <f t="shared" si="27"/>
        <v>0</v>
      </c>
      <c r="P57" s="126">
        <f t="shared" si="20"/>
        <v>0</v>
      </c>
      <c r="Q57" s="126" t="s">
        <v>65</v>
      </c>
      <c r="R57" s="126">
        <f t="shared" si="13"/>
        <v>0</v>
      </c>
      <c r="S57" s="126">
        <f t="shared" si="14"/>
        <v>0</v>
      </c>
      <c r="T57" s="126" t="s">
        <v>65</v>
      </c>
      <c r="U57" s="126" t="s">
        <v>65</v>
      </c>
      <c r="V57" s="126">
        <f t="shared" si="15"/>
        <v>0</v>
      </c>
      <c r="W57" s="126">
        <f t="shared" si="16"/>
        <v>0</v>
      </c>
      <c r="X57" s="129">
        <f t="shared" si="21"/>
        <v>0</v>
      </c>
      <c r="Y57" s="139">
        <f t="shared" si="28"/>
        <v>0</v>
      </c>
    </row>
    <row r="58" spans="1:25" x14ac:dyDescent="0.2">
      <c r="A58" s="125">
        <v>21</v>
      </c>
      <c r="B58" s="126">
        <f>Prodiarias!E31/1000</f>
        <v>0</v>
      </c>
      <c r="C58" s="126">
        <f>Prodiarias!O31/1000</f>
        <v>0</v>
      </c>
      <c r="D58" s="126" t="s">
        <v>65</v>
      </c>
      <c r="E58" s="126">
        <f>Prodiarias!AF31/1000</f>
        <v>0</v>
      </c>
      <c r="F58" s="126">
        <f>Prodiarias!AP31/1000</f>
        <v>0</v>
      </c>
      <c r="G58" s="126" t="s">
        <v>65</v>
      </c>
      <c r="H58" s="126" t="s">
        <v>65</v>
      </c>
      <c r="I58" s="126">
        <f>Prodiarias!BE31</f>
        <v>0</v>
      </c>
      <c r="J58" s="126">
        <f t="shared" si="24"/>
        <v>0</v>
      </c>
      <c r="K58" s="129">
        <f t="shared" si="25"/>
        <v>0</v>
      </c>
      <c r="L58" s="139">
        <f t="shared" si="26"/>
        <v>0</v>
      </c>
      <c r="N58" s="125">
        <v>21</v>
      </c>
      <c r="O58" s="126">
        <f t="shared" si="27"/>
        <v>0</v>
      </c>
      <c r="P58" s="126">
        <f t="shared" si="20"/>
        <v>0</v>
      </c>
      <c r="Q58" s="126" t="s">
        <v>65</v>
      </c>
      <c r="R58" s="126">
        <f t="shared" si="13"/>
        <v>0</v>
      </c>
      <c r="S58" s="126">
        <f t="shared" si="14"/>
        <v>0</v>
      </c>
      <c r="T58" s="126" t="s">
        <v>65</v>
      </c>
      <c r="U58" s="126" t="s">
        <v>65</v>
      </c>
      <c r="V58" s="126">
        <f t="shared" si="15"/>
        <v>0</v>
      </c>
      <c r="W58" s="126">
        <f t="shared" si="16"/>
        <v>0</v>
      </c>
      <c r="X58" s="129">
        <f t="shared" si="21"/>
        <v>0</v>
      </c>
      <c r="Y58" s="139">
        <f t="shared" si="28"/>
        <v>0</v>
      </c>
    </row>
    <row r="59" spans="1:25" x14ac:dyDescent="0.2">
      <c r="A59" s="125">
        <v>22</v>
      </c>
      <c r="B59" s="126">
        <f>Prodiarias!E32/1000</f>
        <v>0</v>
      </c>
      <c r="C59" s="126">
        <f>Prodiarias!O32/1000</f>
        <v>0</v>
      </c>
      <c r="D59" s="126" t="s">
        <v>65</v>
      </c>
      <c r="E59" s="126">
        <f>Prodiarias!AF32/1000</f>
        <v>0</v>
      </c>
      <c r="F59" s="126">
        <f>Prodiarias!AP32/1000</f>
        <v>0</v>
      </c>
      <c r="G59" s="126" t="s">
        <v>65</v>
      </c>
      <c r="H59" s="126" t="s">
        <v>65</v>
      </c>
      <c r="I59" s="126">
        <f>Prodiarias!BE32</f>
        <v>0</v>
      </c>
      <c r="J59" s="126">
        <f t="shared" si="24"/>
        <v>0</v>
      </c>
      <c r="K59" s="129">
        <f t="shared" si="25"/>
        <v>0</v>
      </c>
      <c r="L59" s="139">
        <f t="shared" si="26"/>
        <v>0</v>
      </c>
      <c r="N59" s="125">
        <v>22</v>
      </c>
      <c r="O59" s="126">
        <f t="shared" si="27"/>
        <v>0</v>
      </c>
      <c r="P59" s="126">
        <f t="shared" si="20"/>
        <v>0</v>
      </c>
      <c r="Q59" s="126" t="s">
        <v>65</v>
      </c>
      <c r="R59" s="126">
        <f t="shared" si="13"/>
        <v>0</v>
      </c>
      <c r="S59" s="126">
        <f t="shared" si="14"/>
        <v>0</v>
      </c>
      <c r="T59" s="126" t="s">
        <v>65</v>
      </c>
      <c r="U59" s="126" t="s">
        <v>65</v>
      </c>
      <c r="V59" s="126">
        <f t="shared" si="15"/>
        <v>0</v>
      </c>
      <c r="W59" s="126">
        <f t="shared" si="16"/>
        <v>0</v>
      </c>
      <c r="X59" s="129">
        <f t="shared" si="21"/>
        <v>0</v>
      </c>
      <c r="Y59" s="139">
        <f t="shared" si="28"/>
        <v>0</v>
      </c>
    </row>
    <row r="60" spans="1:25" x14ac:dyDescent="0.2">
      <c r="A60" s="125">
        <v>23</v>
      </c>
      <c r="B60" s="126">
        <f>Prodiarias!E33/1000</f>
        <v>0</v>
      </c>
      <c r="C60" s="126">
        <f>Prodiarias!O33/1000</f>
        <v>0</v>
      </c>
      <c r="D60" s="126" t="s">
        <v>65</v>
      </c>
      <c r="E60" s="126">
        <f>Prodiarias!AF33/1000</f>
        <v>0</v>
      </c>
      <c r="F60" s="126">
        <f>Prodiarias!AP33/1000</f>
        <v>0</v>
      </c>
      <c r="G60" s="126" t="s">
        <v>65</v>
      </c>
      <c r="H60" s="126" t="s">
        <v>65</v>
      </c>
      <c r="I60" s="126">
        <f>Prodiarias!BE33</f>
        <v>0</v>
      </c>
      <c r="J60" s="126">
        <f t="shared" si="24"/>
        <v>0</v>
      </c>
      <c r="K60" s="129">
        <f t="shared" si="25"/>
        <v>0</v>
      </c>
      <c r="L60" s="139">
        <f t="shared" si="26"/>
        <v>0</v>
      </c>
      <c r="N60" s="125">
        <v>23</v>
      </c>
      <c r="O60" s="126">
        <f t="shared" si="27"/>
        <v>0</v>
      </c>
      <c r="P60" s="126">
        <f t="shared" si="20"/>
        <v>0</v>
      </c>
      <c r="Q60" s="126" t="s">
        <v>65</v>
      </c>
      <c r="R60" s="126">
        <f t="shared" si="13"/>
        <v>0</v>
      </c>
      <c r="S60" s="126">
        <f t="shared" si="14"/>
        <v>0</v>
      </c>
      <c r="T60" s="126" t="s">
        <v>65</v>
      </c>
      <c r="U60" s="126" t="s">
        <v>65</v>
      </c>
      <c r="V60" s="126">
        <f t="shared" si="15"/>
        <v>0</v>
      </c>
      <c r="W60" s="126">
        <f t="shared" si="16"/>
        <v>0</v>
      </c>
      <c r="X60" s="129">
        <f t="shared" si="21"/>
        <v>0</v>
      </c>
      <c r="Y60" s="139">
        <f t="shared" si="28"/>
        <v>0</v>
      </c>
    </row>
    <row r="61" spans="1:25" x14ac:dyDescent="0.2">
      <c r="A61" s="125">
        <v>24</v>
      </c>
      <c r="B61" s="126">
        <f>Prodiarias!E34/1000</f>
        <v>0</v>
      </c>
      <c r="C61" s="126">
        <f>Prodiarias!O34/1000</f>
        <v>0</v>
      </c>
      <c r="D61" s="126" t="s">
        <v>65</v>
      </c>
      <c r="E61" s="126">
        <f>Prodiarias!AF34/1000</f>
        <v>0</v>
      </c>
      <c r="F61" s="126">
        <f>Prodiarias!AP34/1000</f>
        <v>0</v>
      </c>
      <c r="G61" s="126" t="s">
        <v>65</v>
      </c>
      <c r="H61" s="126" t="s">
        <v>65</v>
      </c>
      <c r="I61" s="126">
        <f>Prodiarias!BE34</f>
        <v>0</v>
      </c>
      <c r="J61" s="126">
        <f t="shared" si="24"/>
        <v>0</v>
      </c>
      <c r="K61" s="129">
        <f t="shared" si="25"/>
        <v>0</v>
      </c>
      <c r="L61" s="139">
        <f t="shared" si="26"/>
        <v>0</v>
      </c>
      <c r="N61" s="125">
        <v>24</v>
      </c>
      <c r="O61" s="126">
        <f t="shared" si="27"/>
        <v>0</v>
      </c>
      <c r="P61" s="126">
        <f t="shared" si="20"/>
        <v>0</v>
      </c>
      <c r="Q61" s="126" t="s">
        <v>65</v>
      </c>
      <c r="R61" s="126">
        <f t="shared" si="13"/>
        <v>0</v>
      </c>
      <c r="S61" s="126">
        <f t="shared" si="14"/>
        <v>0</v>
      </c>
      <c r="T61" s="126" t="s">
        <v>65</v>
      </c>
      <c r="U61" s="126" t="s">
        <v>65</v>
      </c>
      <c r="V61" s="126">
        <f t="shared" si="15"/>
        <v>0</v>
      </c>
      <c r="W61" s="126">
        <f t="shared" si="16"/>
        <v>0</v>
      </c>
      <c r="X61" s="129">
        <f t="shared" si="21"/>
        <v>0</v>
      </c>
      <c r="Y61" s="139">
        <f t="shared" si="28"/>
        <v>0</v>
      </c>
    </row>
    <row r="62" spans="1:25" x14ac:dyDescent="0.2">
      <c r="A62" s="125">
        <v>25</v>
      </c>
      <c r="B62" s="126">
        <f>Prodiarias!E35/1000</f>
        <v>0</v>
      </c>
      <c r="C62" s="126">
        <f>Prodiarias!O35/1000</f>
        <v>0</v>
      </c>
      <c r="D62" s="126" t="s">
        <v>65</v>
      </c>
      <c r="E62" s="126">
        <f>Prodiarias!AF35/1000</f>
        <v>0</v>
      </c>
      <c r="F62" s="126">
        <f>Prodiarias!AP35/1000</f>
        <v>0</v>
      </c>
      <c r="G62" s="126" t="s">
        <v>65</v>
      </c>
      <c r="H62" s="126" t="s">
        <v>65</v>
      </c>
      <c r="I62" s="126">
        <f>Prodiarias!BE35</f>
        <v>0</v>
      </c>
      <c r="J62" s="126">
        <f t="shared" si="24"/>
        <v>0</v>
      </c>
      <c r="K62" s="129">
        <f t="shared" si="25"/>
        <v>0</v>
      </c>
      <c r="L62" s="139">
        <f t="shared" si="26"/>
        <v>0</v>
      </c>
      <c r="N62" s="125">
        <v>25</v>
      </c>
      <c r="O62" s="126">
        <f t="shared" si="27"/>
        <v>0</v>
      </c>
      <c r="P62" s="126">
        <f t="shared" si="20"/>
        <v>0</v>
      </c>
      <c r="Q62" s="126" t="s">
        <v>65</v>
      </c>
      <c r="R62" s="126">
        <f t="shared" si="13"/>
        <v>0</v>
      </c>
      <c r="S62" s="126">
        <f t="shared" si="14"/>
        <v>0</v>
      </c>
      <c r="T62" s="126" t="s">
        <v>65</v>
      </c>
      <c r="U62" s="126" t="s">
        <v>65</v>
      </c>
      <c r="V62" s="126">
        <f t="shared" si="15"/>
        <v>0</v>
      </c>
      <c r="W62" s="126">
        <f t="shared" si="16"/>
        <v>0</v>
      </c>
      <c r="X62" s="129">
        <f t="shared" si="21"/>
        <v>0</v>
      </c>
      <c r="Y62" s="139">
        <f t="shared" si="28"/>
        <v>0</v>
      </c>
    </row>
    <row r="63" spans="1:25" x14ac:dyDescent="0.2">
      <c r="A63" s="125">
        <v>26</v>
      </c>
      <c r="B63" s="126">
        <f>Prodiarias!E36/1000</f>
        <v>0</v>
      </c>
      <c r="C63" s="126">
        <f>Prodiarias!O36/1000</f>
        <v>0</v>
      </c>
      <c r="D63" s="126" t="s">
        <v>65</v>
      </c>
      <c r="E63" s="126">
        <f>Prodiarias!AF36/1000</f>
        <v>0</v>
      </c>
      <c r="F63" s="126">
        <f>Prodiarias!AP36/1000</f>
        <v>0</v>
      </c>
      <c r="G63" s="126" t="s">
        <v>65</v>
      </c>
      <c r="H63" s="126" t="s">
        <v>65</v>
      </c>
      <c r="I63" s="126">
        <f>Prodiarias!BE36</f>
        <v>0</v>
      </c>
      <c r="J63" s="126">
        <f t="shared" si="24"/>
        <v>0</v>
      </c>
      <c r="K63" s="129">
        <f t="shared" si="25"/>
        <v>0</v>
      </c>
      <c r="L63" s="139">
        <f t="shared" si="26"/>
        <v>0</v>
      </c>
      <c r="N63" s="125">
        <v>26</v>
      </c>
      <c r="O63" s="126">
        <f t="shared" si="27"/>
        <v>0</v>
      </c>
      <c r="P63" s="126">
        <f t="shared" si="20"/>
        <v>0</v>
      </c>
      <c r="Q63" s="126" t="s">
        <v>65</v>
      </c>
      <c r="R63" s="126">
        <f t="shared" si="13"/>
        <v>0</v>
      </c>
      <c r="S63" s="126">
        <f t="shared" si="14"/>
        <v>0</v>
      </c>
      <c r="T63" s="126" t="s">
        <v>65</v>
      </c>
      <c r="U63" s="126" t="s">
        <v>65</v>
      </c>
      <c r="V63" s="126">
        <f t="shared" si="15"/>
        <v>0</v>
      </c>
      <c r="W63" s="126">
        <f t="shared" si="16"/>
        <v>0</v>
      </c>
      <c r="X63" s="129">
        <f t="shared" si="21"/>
        <v>0</v>
      </c>
      <c r="Y63" s="139">
        <f t="shared" si="28"/>
        <v>0</v>
      </c>
    </row>
    <row r="64" spans="1:25" x14ac:dyDescent="0.2">
      <c r="A64" s="125">
        <v>27</v>
      </c>
      <c r="B64" s="126">
        <f>Prodiarias!E37/1000</f>
        <v>0</v>
      </c>
      <c r="C64" s="126">
        <f>Prodiarias!O37/1000</f>
        <v>0</v>
      </c>
      <c r="D64" s="126" t="s">
        <v>65</v>
      </c>
      <c r="E64" s="126">
        <f>Prodiarias!AF37/1000</f>
        <v>0</v>
      </c>
      <c r="F64" s="126">
        <f>Prodiarias!AP37/1000</f>
        <v>0</v>
      </c>
      <c r="G64" s="126" t="s">
        <v>65</v>
      </c>
      <c r="H64" s="126" t="s">
        <v>65</v>
      </c>
      <c r="I64" s="126">
        <f>Prodiarias!BE37</f>
        <v>0</v>
      </c>
      <c r="J64" s="126">
        <f t="shared" si="24"/>
        <v>0</v>
      </c>
      <c r="K64" s="129">
        <f t="shared" si="25"/>
        <v>0</v>
      </c>
      <c r="L64" s="139">
        <f t="shared" si="26"/>
        <v>0</v>
      </c>
      <c r="N64" s="125">
        <v>27</v>
      </c>
      <c r="O64" s="126">
        <f t="shared" si="27"/>
        <v>0</v>
      </c>
      <c r="P64" s="126">
        <f t="shared" si="20"/>
        <v>0</v>
      </c>
      <c r="Q64" s="126" t="s">
        <v>65</v>
      </c>
      <c r="R64" s="126">
        <f t="shared" si="13"/>
        <v>0</v>
      </c>
      <c r="S64" s="126">
        <f t="shared" si="14"/>
        <v>0</v>
      </c>
      <c r="T64" s="126" t="s">
        <v>65</v>
      </c>
      <c r="U64" s="126" t="s">
        <v>65</v>
      </c>
      <c r="V64" s="126">
        <f t="shared" si="15"/>
        <v>0</v>
      </c>
      <c r="W64" s="126">
        <f t="shared" si="16"/>
        <v>0</v>
      </c>
      <c r="X64" s="129">
        <f t="shared" si="21"/>
        <v>0</v>
      </c>
      <c r="Y64" s="139">
        <f t="shared" si="28"/>
        <v>0</v>
      </c>
    </row>
    <row r="65" spans="1:25" x14ac:dyDescent="0.2">
      <c r="A65" s="125">
        <v>28</v>
      </c>
      <c r="B65" s="126">
        <f>Prodiarias!E38/1000</f>
        <v>0</v>
      </c>
      <c r="C65" s="126">
        <f>Prodiarias!O38/1000</f>
        <v>0</v>
      </c>
      <c r="D65" s="126" t="s">
        <v>65</v>
      </c>
      <c r="E65" s="126">
        <f>Prodiarias!AF38/1000</f>
        <v>0</v>
      </c>
      <c r="F65" s="126">
        <f>Prodiarias!AP38/1000</f>
        <v>0</v>
      </c>
      <c r="G65" s="126" t="s">
        <v>65</v>
      </c>
      <c r="H65" s="126" t="s">
        <v>65</v>
      </c>
      <c r="I65" s="126">
        <f>Prodiarias!BE38</f>
        <v>0</v>
      </c>
      <c r="J65" s="126">
        <f t="shared" si="24"/>
        <v>0</v>
      </c>
      <c r="K65" s="129">
        <f t="shared" si="25"/>
        <v>0</v>
      </c>
      <c r="L65" s="139">
        <f t="shared" si="26"/>
        <v>0</v>
      </c>
      <c r="N65" s="125">
        <v>28</v>
      </c>
      <c r="O65" s="126">
        <f t="shared" si="27"/>
        <v>0</v>
      </c>
      <c r="P65" s="126">
        <f t="shared" si="20"/>
        <v>0</v>
      </c>
      <c r="Q65" s="126" t="s">
        <v>65</v>
      </c>
      <c r="R65" s="126">
        <f t="shared" si="13"/>
        <v>0</v>
      </c>
      <c r="S65" s="126">
        <f t="shared" si="14"/>
        <v>0</v>
      </c>
      <c r="T65" s="126" t="s">
        <v>65</v>
      </c>
      <c r="U65" s="126" t="s">
        <v>65</v>
      </c>
      <c r="V65" s="126">
        <f t="shared" si="15"/>
        <v>0</v>
      </c>
      <c r="W65" s="126">
        <f t="shared" si="16"/>
        <v>0</v>
      </c>
      <c r="X65" s="129">
        <f t="shared" si="21"/>
        <v>0</v>
      </c>
      <c r="Y65" s="139">
        <f t="shared" si="28"/>
        <v>0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11" t="s">
        <v>86</v>
      </c>
      <c r="F70" s="412"/>
      <c r="G70" s="412"/>
      <c r="H70" s="413"/>
      <c r="I70" s="155" t="str">
        <f>D1</f>
        <v>Julio 2021</v>
      </c>
      <c r="J70" s="156"/>
      <c r="Q70" s="411" t="s">
        <v>87</v>
      </c>
      <c r="R70" s="412"/>
      <c r="S70" s="412"/>
      <c r="T70" s="413"/>
      <c r="U70" s="155" t="str">
        <f>D1</f>
        <v>Julio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14491.549815360153</v>
      </c>
      <c r="G72" s="151">
        <f>L38</f>
        <v>5550.2167053000012</v>
      </c>
      <c r="H72" s="153">
        <f>F72+G72</f>
        <v>20041.766520660152</v>
      </c>
      <c r="I72" s="152">
        <f>H72</f>
        <v>20041.766520660152</v>
      </c>
      <c r="J72" s="146">
        <f t="shared" ref="J72:J84" si="29">IF(F72=0,"",I72/E72)</f>
        <v>20041.766520660152</v>
      </c>
      <c r="Q72" s="126">
        <v>1</v>
      </c>
      <c r="R72" s="144">
        <f t="shared" ref="R72:R84" si="30">X3</f>
        <v>13177.114168713628</v>
      </c>
      <c r="S72" s="151">
        <f t="shared" ref="S72:S84" si="31">Y38</f>
        <v>3316.0036575441995</v>
      </c>
      <c r="T72" s="153">
        <f t="shared" ref="T72:T84" si="32">R72+S72</f>
        <v>16493.117826257829</v>
      </c>
      <c r="U72" s="152">
        <f>T72</f>
        <v>16493.117826257829</v>
      </c>
      <c r="V72" s="146">
        <f t="shared" ref="V72:V84" si="33">IF(R72=0,"",U72/Q72)</f>
        <v>16493.117826257829</v>
      </c>
    </row>
    <row r="73" spans="1:25" ht="14.15" customHeight="1" x14ac:dyDescent="0.2">
      <c r="E73" s="126">
        <v>2</v>
      </c>
      <c r="F73" s="144">
        <f t="shared" ref="F73:F84" si="34">K4</f>
        <v>14512.733047225314</v>
      </c>
      <c r="G73" s="151">
        <f t="shared" ref="G73:G84" si="35">L39</f>
        <v>5150.5721378999997</v>
      </c>
      <c r="H73" s="153">
        <f t="shared" ref="H73:H84" si="36">F73+G73</f>
        <v>19663.305185125315</v>
      </c>
      <c r="I73" s="152">
        <f t="shared" ref="I73:I84" si="37">H73+I72</f>
        <v>39705.071705785464</v>
      </c>
      <c r="J73" s="146">
        <f t="shared" si="29"/>
        <v>19852.535852892732</v>
      </c>
      <c r="Q73" s="126">
        <v>2</v>
      </c>
      <c r="R73" s="144">
        <f t="shared" si="30"/>
        <v>13206.407759453014</v>
      </c>
      <c r="S73" s="151">
        <f t="shared" si="31"/>
        <v>3144.3647866217225</v>
      </c>
      <c r="T73" s="153">
        <f t="shared" si="32"/>
        <v>16350.772546074735</v>
      </c>
      <c r="U73" s="152">
        <f t="shared" ref="U73:U84" si="38">T73+U72</f>
        <v>32843.890372332564</v>
      </c>
      <c r="V73" s="146">
        <f t="shared" si="33"/>
        <v>16421.945186166282</v>
      </c>
    </row>
    <row r="74" spans="1:25" ht="14.15" customHeight="1" x14ac:dyDescent="0.2">
      <c r="E74" s="126">
        <v>3</v>
      </c>
      <c r="F74" s="144">
        <f t="shared" si="34"/>
        <v>14600.582488344731</v>
      </c>
      <c r="G74" s="151">
        <f t="shared" si="35"/>
        <v>4014.1366310000003</v>
      </c>
      <c r="H74" s="153">
        <f t="shared" si="36"/>
        <v>18614.719119344732</v>
      </c>
      <c r="I74" s="152">
        <f t="shared" si="37"/>
        <v>58319.7908251302</v>
      </c>
      <c r="J74" s="146">
        <f t="shared" si="29"/>
        <v>19439.9302750434</v>
      </c>
      <c r="Q74" s="126">
        <v>3</v>
      </c>
      <c r="R74" s="144">
        <f t="shared" si="30"/>
        <v>13310.406728344731</v>
      </c>
      <c r="S74" s="151">
        <f t="shared" si="31"/>
        <v>2756.9482779602713</v>
      </c>
      <c r="T74" s="153">
        <f t="shared" si="32"/>
        <v>16067.355006305002</v>
      </c>
      <c r="U74" s="152">
        <f t="shared" si="38"/>
        <v>48911.24537863757</v>
      </c>
      <c r="V74" s="146">
        <f t="shared" si="33"/>
        <v>16303.748459545857</v>
      </c>
    </row>
    <row r="75" spans="1:25" ht="14.15" customHeight="1" x14ac:dyDescent="0.2">
      <c r="E75" s="126">
        <v>4</v>
      </c>
      <c r="F75" s="144">
        <f t="shared" si="34"/>
        <v>14773.632336969311</v>
      </c>
      <c r="G75" s="151">
        <f t="shared" si="35"/>
        <v>4056.5370689999995</v>
      </c>
      <c r="H75" s="153">
        <f t="shared" si="36"/>
        <v>18830.169405969311</v>
      </c>
      <c r="I75" s="152">
        <f t="shared" si="37"/>
        <v>77149.960231099511</v>
      </c>
      <c r="J75" s="146">
        <f t="shared" si="29"/>
        <v>19287.490057774878</v>
      </c>
      <c r="Q75" s="126">
        <v>4</v>
      </c>
      <c r="R75" s="144">
        <f t="shared" si="30"/>
        <v>13497.084176969312</v>
      </c>
      <c r="S75" s="151">
        <f t="shared" si="31"/>
        <v>2784.8864042384516</v>
      </c>
      <c r="T75" s="153">
        <f t="shared" si="32"/>
        <v>16281.970581207765</v>
      </c>
      <c r="U75" s="152">
        <f t="shared" si="38"/>
        <v>65193.215959845336</v>
      </c>
      <c r="V75" s="146">
        <f t="shared" si="33"/>
        <v>16298.303989961334</v>
      </c>
    </row>
    <row r="76" spans="1:25" ht="14.15" customHeight="1" x14ac:dyDescent="0.2">
      <c r="E76" s="126">
        <v>5</v>
      </c>
      <c r="F76" s="144">
        <f t="shared" si="34"/>
        <v>14971.481565081891</v>
      </c>
      <c r="G76" s="151">
        <f t="shared" si="35"/>
        <v>4042.5880670000006</v>
      </c>
      <c r="H76" s="153">
        <f t="shared" si="36"/>
        <v>19014.06963208189</v>
      </c>
      <c r="I76" s="152">
        <f t="shared" si="37"/>
        <v>96164.029863181408</v>
      </c>
      <c r="J76" s="146">
        <f t="shared" si="29"/>
        <v>19232.805972636281</v>
      </c>
      <c r="Q76" s="126">
        <v>5</v>
      </c>
      <c r="R76" s="144">
        <f t="shared" si="30"/>
        <v>13662.490925081891</v>
      </c>
      <c r="S76" s="151">
        <f t="shared" si="31"/>
        <v>2785.1188180880004</v>
      </c>
      <c r="T76" s="153">
        <f t="shared" si="32"/>
        <v>16447.609743169891</v>
      </c>
      <c r="U76" s="152">
        <f t="shared" si="38"/>
        <v>81640.825703015231</v>
      </c>
      <c r="V76" s="146">
        <f t="shared" si="33"/>
        <v>16328.165140603047</v>
      </c>
    </row>
    <row r="77" spans="1:25" ht="14.15" customHeight="1" x14ac:dyDescent="0.2">
      <c r="E77" s="126">
        <v>6</v>
      </c>
      <c r="F77" s="144">
        <f t="shared" si="34"/>
        <v>15218.440822579105</v>
      </c>
      <c r="G77" s="151">
        <f t="shared" si="35"/>
        <v>4063.6813730000008</v>
      </c>
      <c r="H77" s="153">
        <f t="shared" si="36"/>
        <v>19282.122195579104</v>
      </c>
      <c r="I77" s="152">
        <f t="shared" si="37"/>
        <v>115446.15205876052</v>
      </c>
      <c r="J77" s="146">
        <f t="shared" si="29"/>
        <v>19241.025343126752</v>
      </c>
      <c r="Q77" s="126">
        <v>6</v>
      </c>
      <c r="R77" s="144">
        <f t="shared" si="30"/>
        <v>13866.469862579108</v>
      </c>
      <c r="S77" s="151">
        <f t="shared" si="31"/>
        <v>2781.4953151451996</v>
      </c>
      <c r="T77" s="153">
        <f t="shared" si="32"/>
        <v>16647.965177724309</v>
      </c>
      <c r="U77" s="152">
        <f t="shared" si="38"/>
        <v>98288.790880739543</v>
      </c>
      <c r="V77" s="146">
        <f t="shared" si="33"/>
        <v>16381.465146789924</v>
      </c>
    </row>
    <row r="78" spans="1:25" ht="14.15" customHeight="1" x14ac:dyDescent="0.2">
      <c r="E78" s="126">
        <v>7</v>
      </c>
      <c r="F78" s="144">
        <f t="shared" si="34"/>
        <v>15110.511907775481</v>
      </c>
      <c r="G78" s="151">
        <f t="shared" si="35"/>
        <v>4058.0778740000005</v>
      </c>
      <c r="H78" s="153">
        <f t="shared" si="36"/>
        <v>19168.589781775481</v>
      </c>
      <c r="I78" s="152">
        <f t="shared" si="37"/>
        <v>134614.74184053601</v>
      </c>
      <c r="J78" s="146">
        <f t="shared" si="29"/>
        <v>19230.677405790859</v>
      </c>
      <c r="Q78" s="126">
        <v>7</v>
      </c>
      <c r="R78" s="144">
        <f t="shared" si="30"/>
        <v>13781.287107775483</v>
      </c>
      <c r="S78" s="151">
        <f t="shared" si="31"/>
        <v>2777.6448270987999</v>
      </c>
      <c r="T78" s="153">
        <f t="shared" si="32"/>
        <v>16558.931934874283</v>
      </c>
      <c r="U78" s="152">
        <f t="shared" si="38"/>
        <v>114847.72281561383</v>
      </c>
      <c r="V78" s="146">
        <f t="shared" si="33"/>
        <v>16406.817545087692</v>
      </c>
    </row>
    <row r="79" spans="1:25" ht="14.15" customHeight="1" x14ac:dyDescent="0.2">
      <c r="E79" s="126">
        <v>8</v>
      </c>
      <c r="F79" s="144">
        <f t="shared" si="34"/>
        <v>15093.414061058995</v>
      </c>
      <c r="G79" s="151">
        <f t="shared" si="35"/>
        <v>4085.2337760000005</v>
      </c>
      <c r="H79" s="153">
        <f t="shared" si="36"/>
        <v>19178.647837058994</v>
      </c>
      <c r="I79" s="152">
        <f t="shared" si="37"/>
        <v>153793.389677595</v>
      </c>
      <c r="J79" s="146">
        <f t="shared" si="29"/>
        <v>19224.173709699375</v>
      </c>
      <c r="Q79" s="126">
        <v>8</v>
      </c>
      <c r="R79" s="144">
        <f t="shared" si="30"/>
        <v>13774.300061058993</v>
      </c>
      <c r="S79" s="151">
        <f t="shared" si="31"/>
        <v>2796.0200429604392</v>
      </c>
      <c r="T79" s="153">
        <f t="shared" si="32"/>
        <v>16570.320104019433</v>
      </c>
      <c r="U79" s="152">
        <f t="shared" si="38"/>
        <v>131418.04291963327</v>
      </c>
      <c r="V79" s="146">
        <f t="shared" si="33"/>
        <v>16427.255364954159</v>
      </c>
    </row>
    <row r="80" spans="1:25" ht="14.15" customHeight="1" x14ac:dyDescent="0.2">
      <c r="E80" s="126">
        <v>9</v>
      </c>
      <c r="F80" s="144">
        <f t="shared" si="34"/>
        <v>14302.906314326603</v>
      </c>
      <c r="G80" s="151">
        <f t="shared" si="35"/>
        <v>4033.7520220000001</v>
      </c>
      <c r="H80" s="153">
        <f t="shared" si="36"/>
        <v>18336.658336326604</v>
      </c>
      <c r="I80" s="152">
        <f t="shared" si="37"/>
        <v>172130.04801392159</v>
      </c>
      <c r="J80" s="146">
        <f t="shared" si="29"/>
        <v>19125.560890435732</v>
      </c>
      <c r="Q80" s="126">
        <v>9</v>
      </c>
      <c r="R80" s="144">
        <f t="shared" si="30"/>
        <v>13156.693274326602</v>
      </c>
      <c r="S80" s="151">
        <f t="shared" si="31"/>
        <v>2773.2983773950709</v>
      </c>
      <c r="T80" s="153">
        <f t="shared" si="32"/>
        <v>15929.991651721673</v>
      </c>
      <c r="U80" s="152">
        <f t="shared" si="38"/>
        <v>147348.03457135495</v>
      </c>
      <c r="V80" s="146">
        <f t="shared" si="33"/>
        <v>16372.003841261661</v>
      </c>
    </row>
    <row r="81" spans="5:22" ht="14.15" customHeight="1" x14ac:dyDescent="0.2">
      <c r="E81" s="126">
        <v>10</v>
      </c>
      <c r="F81" s="144">
        <f t="shared" si="34"/>
        <v>14826.82286850056</v>
      </c>
      <c r="G81" s="151">
        <f t="shared" si="35"/>
        <v>4061.9959210000002</v>
      </c>
      <c r="H81" s="153">
        <f t="shared" si="36"/>
        <v>18888.818789500561</v>
      </c>
      <c r="I81" s="152">
        <f t="shared" si="37"/>
        <v>191018.86680342216</v>
      </c>
      <c r="J81" s="146">
        <f t="shared" si="29"/>
        <v>19101.886680342217</v>
      </c>
      <c r="Q81" s="126">
        <v>10</v>
      </c>
      <c r="R81" s="144">
        <f t="shared" si="30"/>
        <v>13569.566868500557</v>
      </c>
      <c r="S81" s="151">
        <f t="shared" si="31"/>
        <v>2801.7557985755097</v>
      </c>
      <c r="T81" s="153">
        <f t="shared" si="32"/>
        <v>16371.322667076067</v>
      </c>
      <c r="U81" s="152">
        <f t="shared" si="38"/>
        <v>163719.35723843102</v>
      </c>
      <c r="V81" s="146">
        <f t="shared" si="33"/>
        <v>16371.935723843102</v>
      </c>
    </row>
    <row r="82" spans="5:22" ht="14.15" customHeight="1" x14ac:dyDescent="0.2">
      <c r="E82" s="126">
        <v>11</v>
      </c>
      <c r="F82" s="144">
        <f t="shared" si="34"/>
        <v>14590.547090284626</v>
      </c>
      <c r="G82" s="151">
        <f t="shared" si="35"/>
        <v>4703.5405843999997</v>
      </c>
      <c r="H82" s="153">
        <f t="shared" si="36"/>
        <v>19294.087674684626</v>
      </c>
      <c r="I82" s="152">
        <f t="shared" si="37"/>
        <v>210312.95447810678</v>
      </c>
      <c r="J82" s="146">
        <f t="shared" si="29"/>
        <v>19119.359498009708</v>
      </c>
      <c r="Q82" s="126">
        <v>11</v>
      </c>
      <c r="R82" s="144">
        <f t="shared" si="30"/>
        <v>13338.791425638416</v>
      </c>
      <c r="S82" s="151">
        <f t="shared" si="31"/>
        <v>3011.0867376919232</v>
      </c>
      <c r="T82" s="153">
        <f t="shared" si="32"/>
        <v>16349.878163330339</v>
      </c>
      <c r="U82" s="152">
        <f t="shared" si="38"/>
        <v>180069.23540176137</v>
      </c>
      <c r="V82" s="146">
        <f t="shared" si="33"/>
        <v>16369.930491069215</v>
      </c>
    </row>
    <row r="83" spans="5:22" ht="14.15" customHeight="1" x14ac:dyDescent="0.2">
      <c r="E83" s="126">
        <v>12</v>
      </c>
      <c r="F83" s="144">
        <f t="shared" si="34"/>
        <v>15024.660203657178</v>
      </c>
      <c r="G83" s="151">
        <f t="shared" si="35"/>
        <v>5658.4793247000007</v>
      </c>
      <c r="H83" s="153">
        <f t="shared" si="36"/>
        <v>20683.13952835718</v>
      </c>
      <c r="I83" s="152">
        <f t="shared" si="37"/>
        <v>230996.09400646397</v>
      </c>
      <c r="J83" s="146">
        <f t="shared" si="29"/>
        <v>19249.674500538666</v>
      </c>
      <c r="Q83" s="126">
        <v>12</v>
      </c>
      <c r="R83" s="144">
        <f t="shared" si="30"/>
        <v>13704.037743463188</v>
      </c>
      <c r="S83" s="151">
        <f t="shared" si="31"/>
        <v>3363.5893589218904</v>
      </c>
      <c r="T83" s="153">
        <f t="shared" si="32"/>
        <v>17067.627102385079</v>
      </c>
      <c r="U83" s="152">
        <f t="shared" si="38"/>
        <v>197136.86250414644</v>
      </c>
      <c r="V83" s="146">
        <f t="shared" si="33"/>
        <v>16428.071875345537</v>
      </c>
    </row>
    <row r="84" spans="5:22" ht="14.15" customHeight="1" x14ac:dyDescent="0.2">
      <c r="E84" s="126">
        <v>13</v>
      </c>
      <c r="F84" s="144">
        <f t="shared" si="34"/>
        <v>15055.805758308155</v>
      </c>
      <c r="G84" s="151">
        <f t="shared" si="35"/>
        <v>5858.1701683000001</v>
      </c>
      <c r="H84" s="153">
        <f t="shared" si="36"/>
        <v>20913.975926608156</v>
      </c>
      <c r="I84" s="152">
        <f t="shared" si="37"/>
        <v>251910.06993307214</v>
      </c>
      <c r="J84" s="146">
        <f t="shared" si="29"/>
        <v>19377.697687159394</v>
      </c>
      <c r="Q84" s="126">
        <v>13</v>
      </c>
      <c r="R84" s="144">
        <f t="shared" si="30"/>
        <v>13725.480844903803</v>
      </c>
      <c r="S84" s="151">
        <f t="shared" si="31"/>
        <v>3474.0994976463548</v>
      </c>
      <c r="T84" s="153">
        <f t="shared" si="32"/>
        <v>17199.580342550158</v>
      </c>
      <c r="U84" s="152">
        <f t="shared" si="38"/>
        <v>214336.44284669659</v>
      </c>
      <c r="V84" s="146">
        <f t="shared" si="33"/>
        <v>16487.418680515122</v>
      </c>
    </row>
    <row r="85" spans="5:22" ht="14.15" customHeight="1" x14ac:dyDescent="0.2">
      <c r="E85" s="126">
        <v>14</v>
      </c>
      <c r="F85" s="144">
        <f t="shared" ref="F85:F102" si="39">K16</f>
        <v>15110.091660041344</v>
      </c>
      <c r="G85" s="151">
        <f t="shared" ref="G85:G102" si="40">L51</f>
        <v>5764.4206741999997</v>
      </c>
      <c r="H85" s="153">
        <f t="shared" ref="H85:H102" si="41">F85+G85</f>
        <v>20874.512334241343</v>
      </c>
      <c r="I85" s="152">
        <f t="shared" ref="I85:I102" si="42">H85+I84</f>
        <v>272784.5822673135</v>
      </c>
      <c r="J85" s="146">
        <f t="shared" ref="J85:J102" si="43">IF(F85=0,"",I85/E85)</f>
        <v>19484.61301909382</v>
      </c>
      <c r="Q85" s="126">
        <v>14</v>
      </c>
      <c r="R85" s="144">
        <f t="shared" ref="R85:R102" si="44">X16</f>
        <v>13734.152437462239</v>
      </c>
      <c r="S85" s="151">
        <f t="shared" ref="S85:S102" si="45">Y51</f>
        <v>3401.5337212247096</v>
      </c>
      <c r="T85" s="153">
        <f t="shared" ref="T85:T102" si="46">R85+S85</f>
        <v>17135.686158686949</v>
      </c>
      <c r="U85" s="152">
        <f t="shared" ref="U85:U102" si="47">T85+U84</f>
        <v>231472.12900538353</v>
      </c>
      <c r="V85" s="146">
        <f t="shared" ref="V85:V102" si="48">IF(R85=0,"",U85/Q85)</f>
        <v>16533.723500384538</v>
      </c>
    </row>
    <row r="86" spans="5:22" ht="14.15" customHeight="1" x14ac:dyDescent="0.2">
      <c r="E86" s="126">
        <v>15</v>
      </c>
      <c r="F86" s="144">
        <f t="shared" si="39"/>
        <v>15225.573330831612</v>
      </c>
      <c r="G86" s="151">
        <f t="shared" si="40"/>
        <v>5653.705973699999</v>
      </c>
      <c r="H86" s="153">
        <f t="shared" si="41"/>
        <v>20879.27930453161</v>
      </c>
      <c r="I86" s="152">
        <f t="shared" si="42"/>
        <v>293663.86157184513</v>
      </c>
      <c r="J86" s="146">
        <f t="shared" si="43"/>
        <v>19577.590771456344</v>
      </c>
      <c r="Q86" s="126">
        <v>15</v>
      </c>
      <c r="R86" s="144">
        <f t="shared" si="44"/>
        <v>13819.983646951823</v>
      </c>
      <c r="S86" s="151">
        <f t="shared" si="45"/>
        <v>3314.9770408596059</v>
      </c>
      <c r="T86" s="153">
        <f t="shared" si="46"/>
        <v>17134.960687811428</v>
      </c>
      <c r="U86" s="152">
        <f t="shared" si="47"/>
        <v>248607.08969319495</v>
      </c>
      <c r="V86" s="146">
        <f t="shared" si="48"/>
        <v>16573.80597954633</v>
      </c>
    </row>
    <row r="87" spans="5:22" ht="14.15" customHeight="1" x14ac:dyDescent="0.2">
      <c r="E87" s="126">
        <v>16</v>
      </c>
      <c r="F87" s="144">
        <f t="shared" si="39"/>
        <v>0</v>
      </c>
      <c r="G87" s="151">
        <f t="shared" si="40"/>
        <v>0</v>
      </c>
      <c r="H87" s="153">
        <f t="shared" si="41"/>
        <v>0</v>
      </c>
      <c r="I87" s="152">
        <f t="shared" si="42"/>
        <v>293663.86157184513</v>
      </c>
      <c r="J87" s="146" t="str">
        <f t="shared" si="43"/>
        <v/>
      </c>
      <c r="Q87" s="126">
        <v>16</v>
      </c>
      <c r="R87" s="144">
        <f t="shared" si="44"/>
        <v>0</v>
      </c>
      <c r="S87" s="151">
        <f t="shared" si="45"/>
        <v>0</v>
      </c>
      <c r="T87" s="153">
        <f t="shared" si="46"/>
        <v>0</v>
      </c>
      <c r="U87" s="152">
        <f t="shared" si="47"/>
        <v>248607.08969319495</v>
      </c>
      <c r="V87" s="146" t="str">
        <f t="shared" si="48"/>
        <v/>
      </c>
    </row>
    <row r="88" spans="5:22" ht="14.15" customHeight="1" x14ac:dyDescent="0.2">
      <c r="E88" s="126">
        <v>17</v>
      </c>
      <c r="F88" s="144">
        <f t="shared" si="39"/>
        <v>0</v>
      </c>
      <c r="G88" s="151">
        <f t="shared" si="40"/>
        <v>0</v>
      </c>
      <c r="H88" s="153">
        <f t="shared" si="41"/>
        <v>0</v>
      </c>
      <c r="I88" s="152">
        <f t="shared" si="42"/>
        <v>293663.86157184513</v>
      </c>
      <c r="J88" s="146" t="str">
        <f t="shared" si="43"/>
        <v/>
      </c>
      <c r="Q88" s="126">
        <v>17</v>
      </c>
      <c r="R88" s="144">
        <f t="shared" si="44"/>
        <v>0</v>
      </c>
      <c r="S88" s="151">
        <f t="shared" si="45"/>
        <v>0</v>
      </c>
      <c r="T88" s="153">
        <f t="shared" si="46"/>
        <v>0</v>
      </c>
      <c r="U88" s="152">
        <f t="shared" si="47"/>
        <v>248607.08969319495</v>
      </c>
      <c r="V88" s="146" t="str">
        <f t="shared" si="48"/>
        <v/>
      </c>
    </row>
    <row r="89" spans="5:22" ht="14.15" customHeight="1" x14ac:dyDescent="0.2">
      <c r="E89" s="126">
        <v>18</v>
      </c>
      <c r="F89" s="144">
        <f t="shared" si="39"/>
        <v>0</v>
      </c>
      <c r="G89" s="151">
        <f t="shared" si="40"/>
        <v>0</v>
      </c>
      <c r="H89" s="153">
        <f t="shared" si="41"/>
        <v>0</v>
      </c>
      <c r="I89" s="152">
        <f t="shared" si="42"/>
        <v>293663.86157184513</v>
      </c>
      <c r="J89" s="146" t="str">
        <f t="shared" si="43"/>
        <v/>
      </c>
      <c r="Q89" s="126">
        <v>18</v>
      </c>
      <c r="R89" s="144">
        <f t="shared" si="44"/>
        <v>0</v>
      </c>
      <c r="S89" s="151">
        <f t="shared" si="45"/>
        <v>0</v>
      </c>
      <c r="T89" s="153">
        <f t="shared" si="46"/>
        <v>0</v>
      </c>
      <c r="U89" s="152">
        <f t="shared" si="47"/>
        <v>248607.08969319495</v>
      </c>
      <c r="V89" s="146" t="str">
        <f t="shared" si="48"/>
        <v/>
      </c>
    </row>
    <row r="90" spans="5:22" ht="14.15" customHeight="1" x14ac:dyDescent="0.2">
      <c r="E90" s="126">
        <v>19</v>
      </c>
      <c r="F90" s="144">
        <f t="shared" si="39"/>
        <v>0</v>
      </c>
      <c r="G90" s="151">
        <f t="shared" si="40"/>
        <v>0</v>
      </c>
      <c r="H90" s="153">
        <f t="shared" si="41"/>
        <v>0</v>
      </c>
      <c r="I90" s="152">
        <f t="shared" si="42"/>
        <v>293663.86157184513</v>
      </c>
      <c r="J90" s="146" t="str">
        <f t="shared" si="43"/>
        <v/>
      </c>
      <c r="Q90" s="126">
        <v>19</v>
      </c>
      <c r="R90" s="144">
        <f t="shared" si="44"/>
        <v>0</v>
      </c>
      <c r="S90" s="151">
        <f t="shared" si="45"/>
        <v>0</v>
      </c>
      <c r="T90" s="153">
        <f t="shared" si="46"/>
        <v>0</v>
      </c>
      <c r="U90" s="152">
        <f t="shared" si="47"/>
        <v>248607.08969319495</v>
      </c>
      <c r="V90" s="146" t="str">
        <f t="shared" si="48"/>
        <v/>
      </c>
    </row>
    <row r="91" spans="5:22" ht="14.15" customHeight="1" x14ac:dyDescent="0.2">
      <c r="E91" s="126">
        <v>20</v>
      </c>
      <c r="F91" s="144">
        <f t="shared" si="39"/>
        <v>0</v>
      </c>
      <c r="G91" s="151">
        <f t="shared" si="40"/>
        <v>0</v>
      </c>
      <c r="H91" s="153">
        <f t="shared" si="41"/>
        <v>0</v>
      </c>
      <c r="I91" s="152">
        <f t="shared" si="42"/>
        <v>293663.86157184513</v>
      </c>
      <c r="J91" s="146" t="str">
        <f t="shared" si="43"/>
        <v/>
      </c>
      <c r="Q91" s="126">
        <v>20</v>
      </c>
      <c r="R91" s="144">
        <f t="shared" si="44"/>
        <v>0</v>
      </c>
      <c r="S91" s="151">
        <f t="shared" si="45"/>
        <v>0</v>
      </c>
      <c r="T91" s="153">
        <f t="shared" si="46"/>
        <v>0</v>
      </c>
      <c r="U91" s="152">
        <f t="shared" si="47"/>
        <v>248607.08969319495</v>
      </c>
      <c r="V91" s="146" t="str">
        <f t="shared" si="48"/>
        <v/>
      </c>
    </row>
    <row r="92" spans="5:22" ht="14.15" customHeight="1" x14ac:dyDescent="0.2">
      <c r="E92" s="126">
        <v>21</v>
      </c>
      <c r="F92" s="144">
        <f>K23</f>
        <v>0</v>
      </c>
      <c r="G92" s="151">
        <f t="shared" si="40"/>
        <v>0</v>
      </c>
      <c r="H92" s="153">
        <f t="shared" si="41"/>
        <v>0</v>
      </c>
      <c r="I92" s="152">
        <f t="shared" si="42"/>
        <v>293663.86157184513</v>
      </c>
      <c r="J92" s="146" t="str">
        <f t="shared" si="43"/>
        <v/>
      </c>
      <c r="Q92" s="126">
        <v>21</v>
      </c>
      <c r="R92" s="144">
        <f t="shared" si="44"/>
        <v>0</v>
      </c>
      <c r="S92" s="151">
        <f t="shared" si="45"/>
        <v>0</v>
      </c>
      <c r="T92" s="153">
        <f t="shared" si="46"/>
        <v>0</v>
      </c>
      <c r="U92" s="152">
        <f t="shared" si="47"/>
        <v>248607.08969319495</v>
      </c>
      <c r="V92" s="146" t="str">
        <f t="shared" si="48"/>
        <v/>
      </c>
    </row>
    <row r="93" spans="5:22" ht="14.15" customHeight="1" x14ac:dyDescent="0.2">
      <c r="E93" s="126">
        <v>22</v>
      </c>
      <c r="F93" s="144">
        <f t="shared" si="39"/>
        <v>0</v>
      </c>
      <c r="G93" s="151">
        <f t="shared" si="40"/>
        <v>0</v>
      </c>
      <c r="H93" s="153">
        <f t="shared" si="41"/>
        <v>0</v>
      </c>
      <c r="I93" s="152">
        <f t="shared" si="42"/>
        <v>293663.86157184513</v>
      </c>
      <c r="J93" s="146" t="str">
        <f t="shared" si="43"/>
        <v/>
      </c>
      <c r="Q93" s="126">
        <v>22</v>
      </c>
      <c r="R93" s="144">
        <f t="shared" si="44"/>
        <v>0</v>
      </c>
      <c r="S93" s="151">
        <f t="shared" si="45"/>
        <v>0</v>
      </c>
      <c r="T93" s="153">
        <f t="shared" si="46"/>
        <v>0</v>
      </c>
      <c r="U93" s="152">
        <f t="shared" si="47"/>
        <v>248607.08969319495</v>
      </c>
      <c r="V93" s="146" t="str">
        <f t="shared" si="48"/>
        <v/>
      </c>
    </row>
    <row r="94" spans="5:22" ht="14.15" customHeight="1" x14ac:dyDescent="0.2">
      <c r="E94" s="126">
        <v>23</v>
      </c>
      <c r="F94" s="144">
        <f t="shared" si="39"/>
        <v>0</v>
      </c>
      <c r="G94" s="151">
        <f t="shared" si="40"/>
        <v>0</v>
      </c>
      <c r="H94" s="153">
        <f t="shared" si="41"/>
        <v>0</v>
      </c>
      <c r="I94" s="152">
        <f t="shared" si="42"/>
        <v>293663.86157184513</v>
      </c>
      <c r="J94" s="146" t="str">
        <f t="shared" si="43"/>
        <v/>
      </c>
      <c r="Q94" s="126">
        <v>23</v>
      </c>
      <c r="R94" s="144">
        <f t="shared" si="44"/>
        <v>0</v>
      </c>
      <c r="S94" s="151">
        <f t="shared" si="45"/>
        <v>0</v>
      </c>
      <c r="T94" s="153">
        <f t="shared" si="46"/>
        <v>0</v>
      </c>
      <c r="U94" s="152">
        <f t="shared" si="47"/>
        <v>248607.08969319495</v>
      </c>
      <c r="V94" s="146" t="str">
        <f t="shared" si="48"/>
        <v/>
      </c>
    </row>
    <row r="95" spans="5:22" ht="14.15" customHeight="1" x14ac:dyDescent="0.2">
      <c r="E95" s="126">
        <v>24</v>
      </c>
      <c r="F95" s="144">
        <f t="shared" si="39"/>
        <v>0</v>
      </c>
      <c r="G95" s="151">
        <f t="shared" si="40"/>
        <v>0</v>
      </c>
      <c r="H95" s="153">
        <f t="shared" si="41"/>
        <v>0</v>
      </c>
      <c r="I95" s="152">
        <f t="shared" si="42"/>
        <v>293663.86157184513</v>
      </c>
      <c r="J95" s="146" t="str">
        <f t="shared" si="43"/>
        <v/>
      </c>
      <c r="Q95" s="126">
        <v>24</v>
      </c>
      <c r="R95" s="144">
        <f t="shared" si="44"/>
        <v>0</v>
      </c>
      <c r="S95" s="151">
        <f t="shared" si="45"/>
        <v>0</v>
      </c>
      <c r="T95" s="153">
        <f t="shared" si="46"/>
        <v>0</v>
      </c>
      <c r="U95" s="152">
        <f t="shared" si="47"/>
        <v>248607.08969319495</v>
      </c>
      <c r="V95" s="146" t="str">
        <f t="shared" si="48"/>
        <v/>
      </c>
    </row>
    <row r="96" spans="5:22" ht="14.15" customHeight="1" x14ac:dyDescent="0.2">
      <c r="E96" s="126">
        <v>25</v>
      </c>
      <c r="F96" s="144">
        <f t="shared" si="39"/>
        <v>0</v>
      </c>
      <c r="G96" s="151">
        <f t="shared" si="40"/>
        <v>0</v>
      </c>
      <c r="H96" s="153">
        <f t="shared" si="41"/>
        <v>0</v>
      </c>
      <c r="I96" s="152">
        <f t="shared" si="42"/>
        <v>293663.86157184513</v>
      </c>
      <c r="J96" s="146" t="str">
        <f t="shared" si="43"/>
        <v/>
      </c>
      <c r="Q96" s="126">
        <v>25</v>
      </c>
      <c r="R96" s="144">
        <f t="shared" si="44"/>
        <v>0</v>
      </c>
      <c r="S96" s="151">
        <f t="shared" si="45"/>
        <v>0</v>
      </c>
      <c r="T96" s="153">
        <f t="shared" si="46"/>
        <v>0</v>
      </c>
      <c r="U96" s="152">
        <f t="shared" si="47"/>
        <v>248607.08969319495</v>
      </c>
      <c r="V96" s="146" t="str">
        <f t="shared" si="48"/>
        <v/>
      </c>
    </row>
    <row r="97" spans="5:22" ht="14.15" customHeight="1" x14ac:dyDescent="0.2">
      <c r="E97" s="126">
        <v>26</v>
      </c>
      <c r="F97" s="144">
        <f t="shared" si="39"/>
        <v>0</v>
      </c>
      <c r="G97" s="151">
        <f t="shared" si="40"/>
        <v>0</v>
      </c>
      <c r="H97" s="153">
        <f t="shared" si="41"/>
        <v>0</v>
      </c>
      <c r="I97" s="152">
        <f t="shared" si="42"/>
        <v>293663.86157184513</v>
      </c>
      <c r="J97" s="146" t="str">
        <f t="shared" si="43"/>
        <v/>
      </c>
      <c r="Q97" s="126">
        <v>26</v>
      </c>
      <c r="R97" s="144">
        <f t="shared" si="44"/>
        <v>0</v>
      </c>
      <c r="S97" s="151">
        <f t="shared" si="45"/>
        <v>0</v>
      </c>
      <c r="T97" s="153">
        <f t="shared" si="46"/>
        <v>0</v>
      </c>
      <c r="U97" s="152">
        <f t="shared" si="47"/>
        <v>248607.08969319495</v>
      </c>
      <c r="V97" s="146" t="str">
        <f t="shared" si="48"/>
        <v/>
      </c>
    </row>
    <row r="98" spans="5:22" ht="14.15" customHeight="1" x14ac:dyDescent="0.2">
      <c r="E98" s="126">
        <v>27</v>
      </c>
      <c r="F98" s="144">
        <f t="shared" si="39"/>
        <v>0</v>
      </c>
      <c r="G98" s="151">
        <f t="shared" si="40"/>
        <v>0</v>
      </c>
      <c r="H98" s="153">
        <f t="shared" si="41"/>
        <v>0</v>
      </c>
      <c r="I98" s="152">
        <f t="shared" si="42"/>
        <v>293663.86157184513</v>
      </c>
      <c r="J98" s="146" t="str">
        <f t="shared" si="43"/>
        <v/>
      </c>
      <c r="Q98" s="126">
        <v>27</v>
      </c>
      <c r="R98" s="144">
        <f t="shared" si="44"/>
        <v>0</v>
      </c>
      <c r="S98" s="151">
        <f t="shared" si="45"/>
        <v>0</v>
      </c>
      <c r="T98" s="153">
        <f t="shared" si="46"/>
        <v>0</v>
      </c>
      <c r="U98" s="152">
        <f t="shared" si="47"/>
        <v>248607.08969319495</v>
      </c>
      <c r="V98" s="146" t="str">
        <f t="shared" si="48"/>
        <v/>
      </c>
    </row>
    <row r="99" spans="5:22" ht="14.15" customHeight="1" x14ac:dyDescent="0.2">
      <c r="E99" s="126">
        <v>28</v>
      </c>
      <c r="F99" s="144">
        <f t="shared" si="39"/>
        <v>0</v>
      </c>
      <c r="G99" s="151">
        <f t="shared" si="40"/>
        <v>0</v>
      </c>
      <c r="H99" s="153">
        <f t="shared" si="41"/>
        <v>0</v>
      </c>
      <c r="I99" s="152">
        <f t="shared" si="42"/>
        <v>293663.86157184513</v>
      </c>
      <c r="J99" s="146" t="str">
        <f t="shared" si="43"/>
        <v/>
      </c>
      <c r="Q99" s="126">
        <v>28</v>
      </c>
      <c r="R99" s="144">
        <f t="shared" si="44"/>
        <v>0</v>
      </c>
      <c r="S99" s="151">
        <f t="shared" si="45"/>
        <v>0</v>
      </c>
      <c r="T99" s="153">
        <f t="shared" si="46"/>
        <v>0</v>
      </c>
      <c r="U99" s="152">
        <f t="shared" si="47"/>
        <v>248607.08969319495</v>
      </c>
      <c r="V99" s="146" t="str">
        <f t="shared" si="48"/>
        <v/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293663.86157184513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248607.08969319495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293663.86157184513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248607.08969319495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293663.86157184513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248607.08969319495</v>
      </c>
      <c r="V102" s="146" t="str">
        <f t="shared" si="48"/>
        <v/>
      </c>
    </row>
    <row r="103" spans="5:22" x14ac:dyDescent="0.2">
      <c r="F103" s="273">
        <f>AVERAGE(F72:F99)</f>
        <v>7961.0269025123225</v>
      </c>
      <c r="G103" s="273">
        <f>AVERAGE(G72:G99)</f>
        <v>2526.968153625</v>
      </c>
      <c r="H103" s="273">
        <f>AVERAGE(H72:H99)</f>
        <v>10487.995056137326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H45" sqref="H45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14" activePane="bottomRight" state="frozen"/>
      <selection pane="topRight" activeCell="E1" sqref="E1"/>
      <selection pane="bottomLeft" activeCell="A9" sqref="A9"/>
      <selection pane="bottomRight" activeCell="G23" sqref="G23:G24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116</v>
      </c>
      <c r="D9" s="225">
        <v>44378</v>
      </c>
      <c r="E9" s="233">
        <v>53.96</v>
      </c>
      <c r="F9" s="247">
        <v>8.5190000000000001</v>
      </c>
      <c r="G9" s="246">
        <v>4466.99</v>
      </c>
      <c r="H9" s="236">
        <v>2522.3000000000002</v>
      </c>
    </row>
    <row r="10" spans="3:11" ht="15.5" x14ac:dyDescent="0.35">
      <c r="C10" s="14" t="s">
        <v>110</v>
      </c>
      <c r="D10" s="225">
        <f>+D9+1</f>
        <v>44379</v>
      </c>
      <c r="E10" s="233">
        <v>46.67</v>
      </c>
      <c r="F10" s="247">
        <v>6.4969999999999999</v>
      </c>
      <c r="G10" s="246">
        <v>4522.87</v>
      </c>
      <c r="H10" s="236">
        <v>2518.13</v>
      </c>
      <c r="I10" s="251"/>
    </row>
    <row r="11" spans="3:11" ht="15.5" x14ac:dyDescent="0.35">
      <c r="C11" s="14" t="s">
        <v>111</v>
      </c>
      <c r="D11" s="225">
        <f t="shared" ref="D11:D39" si="0">+D10+1</f>
        <v>44380</v>
      </c>
      <c r="E11" s="233">
        <v>0</v>
      </c>
      <c r="F11" s="247">
        <v>0</v>
      </c>
      <c r="G11" s="246">
        <v>4580.41</v>
      </c>
      <c r="H11" s="236">
        <v>2519.39</v>
      </c>
    </row>
    <row r="12" spans="3:11" ht="15.5" x14ac:dyDescent="0.35">
      <c r="C12" s="14" t="s">
        <v>112</v>
      </c>
      <c r="D12" s="225">
        <f t="shared" si="0"/>
        <v>44381</v>
      </c>
      <c r="E12" s="233">
        <v>0</v>
      </c>
      <c r="F12" s="247">
        <v>0</v>
      </c>
      <c r="G12" s="246">
        <v>4814.53</v>
      </c>
      <c r="H12" s="236">
        <v>2517.37</v>
      </c>
    </row>
    <row r="13" spans="3:11" ht="15.5" x14ac:dyDescent="0.35">
      <c r="C13" s="14" t="s">
        <v>113</v>
      </c>
      <c r="D13" s="225">
        <f t="shared" si="0"/>
        <v>44382</v>
      </c>
      <c r="E13" s="233">
        <v>0</v>
      </c>
      <c r="F13" s="247">
        <v>0</v>
      </c>
      <c r="G13" s="246">
        <v>4872.5200000000004</v>
      </c>
      <c r="H13" s="274">
        <v>2488.15</v>
      </c>
      <c r="J13" s="14" t="s">
        <v>54</v>
      </c>
    </row>
    <row r="14" spans="3:11" ht="15.5" x14ac:dyDescent="0.35">
      <c r="C14" s="14" t="s">
        <v>114</v>
      </c>
      <c r="D14" s="225">
        <f t="shared" si="0"/>
        <v>44383</v>
      </c>
      <c r="E14" s="233">
        <v>0</v>
      </c>
      <c r="F14" s="247">
        <v>0</v>
      </c>
      <c r="G14" s="246">
        <v>4864.58</v>
      </c>
      <c r="H14" s="236">
        <v>2513.1</v>
      </c>
    </row>
    <row r="15" spans="3:11" ht="15.5" x14ac:dyDescent="0.35">
      <c r="C15" s="14" t="s">
        <v>115</v>
      </c>
      <c r="D15" s="225">
        <f t="shared" si="0"/>
        <v>44384</v>
      </c>
      <c r="E15" s="233">
        <v>0</v>
      </c>
      <c r="F15" s="247">
        <v>0</v>
      </c>
      <c r="G15" s="246">
        <v>4861.95</v>
      </c>
      <c r="H15" s="236">
        <v>2510.2199999999998</v>
      </c>
    </row>
    <row r="16" spans="3:11" ht="15.5" x14ac:dyDescent="0.35">
      <c r="C16" s="14" t="s">
        <v>116</v>
      </c>
      <c r="D16" s="225">
        <f t="shared" si="0"/>
        <v>44385</v>
      </c>
      <c r="E16" s="233">
        <v>0</v>
      </c>
      <c r="F16" s="247">
        <v>0</v>
      </c>
      <c r="G16" s="246">
        <v>4853.8999999999996</v>
      </c>
      <c r="H16" s="236">
        <v>2508.38</v>
      </c>
      <c r="K16" s="251"/>
    </row>
    <row r="17" spans="3:13" ht="15.5" x14ac:dyDescent="0.35">
      <c r="C17" s="14" t="s">
        <v>110</v>
      </c>
      <c r="D17" s="225">
        <f t="shared" si="0"/>
        <v>44386</v>
      </c>
      <c r="E17" s="233">
        <v>0</v>
      </c>
      <c r="F17" s="247">
        <v>0</v>
      </c>
      <c r="G17" s="246">
        <v>4957.16</v>
      </c>
      <c r="H17" s="236">
        <v>2492.4299999999998</v>
      </c>
      <c r="I17" s="251"/>
    </row>
    <row r="18" spans="3:13" ht="15.5" x14ac:dyDescent="0.35">
      <c r="C18" s="14" t="s">
        <v>111</v>
      </c>
      <c r="D18" s="225">
        <f t="shared" si="0"/>
        <v>44387</v>
      </c>
      <c r="E18" s="233">
        <v>0</v>
      </c>
      <c r="F18" s="247">
        <v>0</v>
      </c>
      <c r="G18" s="246">
        <v>4921.67</v>
      </c>
      <c r="H18" s="236">
        <v>2483.37</v>
      </c>
      <c r="I18" s="251"/>
      <c r="M18" s="251"/>
    </row>
    <row r="19" spans="3:13" ht="15.5" x14ac:dyDescent="0.35">
      <c r="C19" s="14" t="s">
        <v>112</v>
      </c>
      <c r="D19" s="225">
        <f t="shared" si="0"/>
        <v>44388</v>
      </c>
      <c r="E19" s="233">
        <v>37.6</v>
      </c>
      <c r="F19" s="247">
        <v>3.8220000000000001</v>
      </c>
      <c r="G19" s="246">
        <v>4878.3900000000003</v>
      </c>
      <c r="H19" s="236">
        <v>2400.29</v>
      </c>
    </row>
    <row r="20" spans="3:13" ht="15.5" x14ac:dyDescent="0.35">
      <c r="C20" s="14" t="s">
        <v>113</v>
      </c>
      <c r="D20" s="225">
        <f t="shared" si="0"/>
        <v>44389</v>
      </c>
      <c r="E20" s="252">
        <v>42.98</v>
      </c>
      <c r="F20" s="247">
        <v>9.0310000000000006</v>
      </c>
      <c r="G20" s="246">
        <v>4873.67</v>
      </c>
      <c r="H20" s="236">
        <v>2474.3200000000002</v>
      </c>
    </row>
    <row r="21" spans="3:13" ht="15.5" x14ac:dyDescent="0.35">
      <c r="C21" s="14" t="s">
        <v>114</v>
      </c>
      <c r="D21" s="225">
        <f t="shared" si="0"/>
        <v>44390</v>
      </c>
      <c r="E21" s="252">
        <v>48.04</v>
      </c>
      <c r="F21" s="247">
        <v>9.5289999999999999</v>
      </c>
      <c r="G21" s="246">
        <v>4870.09</v>
      </c>
      <c r="H21" s="236">
        <v>2468.12</v>
      </c>
    </row>
    <row r="22" spans="3:13" ht="15.5" x14ac:dyDescent="0.35">
      <c r="C22" s="14" t="s">
        <v>115</v>
      </c>
      <c r="D22" s="225">
        <f t="shared" si="0"/>
        <v>44391</v>
      </c>
      <c r="E22" s="252">
        <v>107.48</v>
      </c>
      <c r="F22" s="247">
        <v>9.5359999999999996</v>
      </c>
      <c r="G22" s="246">
        <v>4843.93</v>
      </c>
      <c r="H22" s="236">
        <v>2468.4499999999998</v>
      </c>
    </row>
    <row r="23" spans="3:13" ht="15.5" x14ac:dyDescent="0.35">
      <c r="C23" s="14" t="s">
        <v>116</v>
      </c>
      <c r="D23" s="225">
        <f t="shared" si="0"/>
        <v>44392</v>
      </c>
      <c r="E23" s="252">
        <v>104.92</v>
      </c>
      <c r="F23" s="247">
        <v>9.5410000000000004</v>
      </c>
      <c r="G23" s="246">
        <v>4793.3999999999996</v>
      </c>
      <c r="H23" s="236">
        <v>2470.34</v>
      </c>
    </row>
    <row r="24" spans="3:13" ht="15.5" x14ac:dyDescent="0.35">
      <c r="C24" s="14" t="s">
        <v>110</v>
      </c>
      <c r="D24" s="225">
        <f t="shared" si="0"/>
        <v>44393</v>
      </c>
      <c r="E24" s="233"/>
      <c r="F24" s="247"/>
      <c r="G24" s="246"/>
      <c r="H24" s="236"/>
    </row>
    <row r="25" spans="3:13" ht="15.5" x14ac:dyDescent="0.35">
      <c r="C25" s="14" t="s">
        <v>111</v>
      </c>
      <c r="D25" s="225">
        <f t="shared" si="0"/>
        <v>44394</v>
      </c>
      <c r="E25" s="233"/>
      <c r="F25" s="247"/>
      <c r="G25" s="246"/>
      <c r="H25" s="236"/>
    </row>
    <row r="26" spans="3:13" ht="15.5" x14ac:dyDescent="0.35">
      <c r="C26" s="14" t="s">
        <v>112</v>
      </c>
      <c r="D26" s="225">
        <f t="shared" si="0"/>
        <v>44395</v>
      </c>
      <c r="E26" s="233"/>
      <c r="F26" s="247"/>
      <c r="G26" s="246"/>
      <c r="H26" s="236"/>
    </row>
    <row r="27" spans="3:13" ht="15.5" x14ac:dyDescent="0.35">
      <c r="C27" s="14" t="s">
        <v>113</v>
      </c>
      <c r="D27" s="225">
        <f t="shared" si="0"/>
        <v>44396</v>
      </c>
      <c r="E27" s="233"/>
      <c r="F27" s="247"/>
      <c r="G27" s="246"/>
      <c r="H27" s="236"/>
    </row>
    <row r="28" spans="3:13" ht="15.5" x14ac:dyDescent="0.35">
      <c r="C28" s="14" t="s">
        <v>114</v>
      </c>
      <c r="D28" s="225">
        <f t="shared" si="0"/>
        <v>44397</v>
      </c>
      <c r="E28" s="233"/>
      <c r="F28" s="247"/>
      <c r="G28" s="246"/>
      <c r="H28" s="236"/>
    </row>
    <row r="29" spans="3:13" ht="15.5" x14ac:dyDescent="0.35">
      <c r="C29" s="14" t="s">
        <v>115</v>
      </c>
      <c r="D29" s="225">
        <f t="shared" si="0"/>
        <v>44398</v>
      </c>
      <c r="E29" s="233"/>
      <c r="F29" s="247"/>
      <c r="G29" s="246"/>
      <c r="H29" s="236"/>
    </row>
    <row r="30" spans="3:13" ht="15.5" x14ac:dyDescent="0.35">
      <c r="C30" s="14" t="s">
        <v>116</v>
      </c>
      <c r="D30" s="225">
        <f t="shared" si="0"/>
        <v>44399</v>
      </c>
      <c r="E30" s="233"/>
      <c r="F30" s="247"/>
      <c r="G30" s="246"/>
      <c r="H30" s="236"/>
    </row>
    <row r="31" spans="3:13" ht="15.5" x14ac:dyDescent="0.35">
      <c r="C31" s="14" t="s">
        <v>110</v>
      </c>
      <c r="D31" s="225">
        <f t="shared" si="0"/>
        <v>44400</v>
      </c>
      <c r="E31" s="233"/>
      <c r="F31" s="247"/>
      <c r="G31" s="246"/>
      <c r="H31" s="236"/>
    </row>
    <row r="32" spans="3:13" ht="15.5" x14ac:dyDescent="0.35">
      <c r="C32" s="14" t="s">
        <v>111</v>
      </c>
      <c r="D32" s="225">
        <f t="shared" si="0"/>
        <v>44401</v>
      </c>
      <c r="E32" s="233"/>
      <c r="F32" s="247"/>
      <c r="G32" s="246"/>
      <c r="H32" s="236"/>
    </row>
    <row r="33" spans="3:8" ht="15.5" x14ac:dyDescent="0.35">
      <c r="C33" s="14" t="s">
        <v>112</v>
      </c>
      <c r="D33" s="225">
        <f t="shared" si="0"/>
        <v>44402</v>
      </c>
      <c r="E33" s="233"/>
      <c r="F33" s="247"/>
      <c r="G33" s="246"/>
      <c r="H33" s="236"/>
    </row>
    <row r="34" spans="3:8" ht="15.5" x14ac:dyDescent="0.35">
      <c r="C34" s="14" t="s">
        <v>113</v>
      </c>
      <c r="D34" s="225">
        <f t="shared" si="0"/>
        <v>44403</v>
      </c>
      <c r="E34" s="233"/>
      <c r="F34" s="247"/>
      <c r="G34" s="246"/>
      <c r="H34" s="236"/>
    </row>
    <row r="35" spans="3:8" ht="15.5" x14ac:dyDescent="0.35">
      <c r="C35" s="14" t="s">
        <v>114</v>
      </c>
      <c r="D35" s="225">
        <f t="shared" si="0"/>
        <v>44404</v>
      </c>
      <c r="E35" s="233"/>
      <c r="F35" s="247"/>
      <c r="G35" s="246"/>
      <c r="H35" s="236"/>
    </row>
    <row r="36" spans="3:8" ht="15.5" x14ac:dyDescent="0.35">
      <c r="C36" s="14" t="s">
        <v>115</v>
      </c>
      <c r="D36" s="225">
        <f t="shared" si="0"/>
        <v>44405</v>
      </c>
      <c r="E36" s="233"/>
      <c r="F36" s="247"/>
      <c r="G36" s="246"/>
      <c r="H36" s="236"/>
    </row>
    <row r="37" spans="3:8" ht="15.5" x14ac:dyDescent="0.35">
      <c r="C37" s="14" t="s">
        <v>116</v>
      </c>
      <c r="D37" s="225">
        <f t="shared" si="0"/>
        <v>44406</v>
      </c>
      <c r="E37" s="233"/>
      <c r="F37" s="247"/>
      <c r="G37" s="246"/>
      <c r="H37" s="236"/>
    </row>
    <row r="38" spans="3:8" ht="15.5" x14ac:dyDescent="0.35">
      <c r="C38" s="14" t="s">
        <v>110</v>
      </c>
      <c r="D38" s="225">
        <f t="shared" si="0"/>
        <v>44407</v>
      </c>
      <c r="E38" s="238"/>
      <c r="F38" s="247"/>
      <c r="G38" s="246"/>
      <c r="H38" s="236"/>
    </row>
    <row r="39" spans="3:8" ht="15.5" x14ac:dyDescent="0.35">
      <c r="C39" s="14" t="s">
        <v>111</v>
      </c>
      <c r="D39" s="225">
        <f t="shared" si="0"/>
        <v>44408</v>
      </c>
      <c r="E39" s="238"/>
      <c r="F39" s="247"/>
      <c r="G39" s="246"/>
      <c r="H39" s="236"/>
    </row>
    <row r="41" spans="3:8" ht="12.75" customHeight="1" x14ac:dyDescent="0.25"/>
    <row r="42" spans="3:8" ht="12.75" customHeight="1" x14ac:dyDescent="0.25"/>
  </sheetData>
  <phoneticPr fontId="10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PETROLEO</vt:lpstr>
      <vt:lpstr>Prodiarias</vt:lpstr>
      <vt:lpstr>Prod. Total vs % PCR</vt:lpstr>
      <vt:lpstr>oil-MyS</vt:lpstr>
      <vt:lpstr>borrador</vt:lpstr>
      <vt:lpstr>Grafico GAS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2019-03-28T12:04:06Z</cp:lastPrinted>
  <dcterms:created xsi:type="dcterms:W3CDTF">1998-07-21T11:45:52Z</dcterms:created>
  <dcterms:modified xsi:type="dcterms:W3CDTF">2021-07-16T15:59:04Z</dcterms:modified>
</cp:coreProperties>
</file>