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drawings/drawing9.xml" ContentType="application/vnd.openxmlformats-officedocument.drawing+xml"/>
  <Override PartName="/xl/comments11.xml" ContentType="application/vnd.openxmlformats-officedocument.spreadsheetml.comments+xml"/>
  <Override PartName="/xl/drawings/drawing10.xml" ContentType="application/vnd.openxmlformats-officedocument.drawing+xml"/>
  <Override PartName="/xl/comments12.xml" ContentType="application/vnd.openxmlformats-officedocument.spreadsheetml.comments+xml"/>
  <Override PartName="/xl/drawings/drawing11.xml" ContentType="application/vnd.openxmlformats-officedocument.drawing+xml"/>
  <Override PartName="/xl/comments13.xml" ContentType="application/vnd.openxmlformats-officedocument.spreadsheetml.comments+xml"/>
  <Override PartName="/xl/drawings/drawing12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lant-rates\plantrates\src\2025 Rates\"/>
    </mc:Choice>
  </mc:AlternateContent>
  <xr:revisionPtr revIDLastSave="0" documentId="13_ncr:1_{2E35471A-7AEE-4FD8-ADE3-8D3E925396CC}" xr6:coauthVersionLast="47" xr6:coauthVersionMax="47" xr10:uidLastSave="{00000000-0000-0000-0000-000000000000}"/>
  <bookViews>
    <workbookView xWindow="-120" yWindow="-120" windowWidth="38640" windowHeight="21120" tabRatio="747" firstSheet="4" activeTab="5" xr2:uid="{00000000-000D-0000-FFFF-FFFF00000000}"/>
  </bookViews>
  <sheets>
    <sheet name="18 Std v1 (Recap)" sheetId="25" state="hidden" r:id="rId1"/>
    <sheet name="18 Std v1 (140.1M)" sheetId="24" state="hidden" r:id="rId2"/>
    <sheet name="Comparative" sheetId="29" state="hidden" r:id="rId3"/>
    <sheet name="19 Std (2)" sheetId="28" state="hidden" r:id="rId4"/>
    <sheet name="2025 Summary" sheetId="36" r:id="rId5"/>
    <sheet name="Jan" sheetId="35" r:id="rId6"/>
    <sheet name="Feb" sheetId="48" r:id="rId7"/>
    <sheet name="Mar" sheetId="38" r:id="rId8"/>
    <sheet name="Apr" sheetId="39" r:id="rId9"/>
    <sheet name="May" sheetId="40" r:id="rId10"/>
    <sheet name="Jun" sheetId="41" r:id="rId11"/>
    <sheet name="Jul" sheetId="42" r:id="rId12"/>
    <sheet name="Aug" sheetId="43" r:id="rId13"/>
    <sheet name="Sep" sheetId="44" r:id="rId14"/>
    <sheet name="Oct" sheetId="45" r:id="rId15"/>
    <sheet name="Nov" sheetId="46" r:id="rId16"/>
    <sheet name="Dec" sheetId="47" r:id="rId17"/>
    <sheet name="18 Std (v2) final" sheetId="26" state="hidden" r:id="rId18"/>
    <sheet name="18 Std (v1)" sheetId="21" state="hidden" r:id="rId19"/>
    <sheet name="17 Actual" sheetId="22" state="hidden" r:id="rId20"/>
    <sheet name="17 Std" sheetId="9" state="hidden" r:id="rId21"/>
    <sheet name="17 Prod Est" sheetId="19" state="hidden" r:id="rId22"/>
    <sheet name="KSHD 6.0" sheetId="10" state="hidden" r:id="rId23"/>
    <sheet name="NIRO 21.5" sheetId="18" state="hidden" r:id="rId24"/>
    <sheet name="NIRO 4.5|KSLD 4.1" sheetId="15" state="hidden" r:id="rId25"/>
    <sheet name="NIRO 13.5|KSLD 7.0" sheetId="20" state="hidden" r:id="rId26"/>
    <sheet name="NIRO 15|KSLD 5.5" sheetId="16" state="hidden" r:id="rId27"/>
    <sheet name="EUF Std 2016" sheetId="1" state="hidden" r:id="rId28"/>
    <sheet name="Sales Projection" sheetId="4" state="hidden" r:id="rId29"/>
  </sheets>
  <definedNames>
    <definedName name="_xlnm.Print_Area" localSheetId="18">'18 Std (v1)'!$A$1:$J$153</definedName>
    <definedName name="_xlnm.Print_Area" localSheetId="17">'18 Std (v2) final'!$A$1:$J$153</definedName>
    <definedName name="_xlnm.Print_Area" localSheetId="1">'18 Std v1 (140.1M)'!$A$1:$J$153</definedName>
    <definedName name="_xlnm.Print_Area" localSheetId="3">'19 Std (2)'!$A$1:$V$163</definedName>
    <definedName name="_xlnm.Print_Area" localSheetId="27">'EUF Std 2016'!$A$1:$H$151</definedName>
    <definedName name="_xlnm.Print_Area" localSheetId="22">'KSHD 6.0'!$A$1:$J$151</definedName>
    <definedName name="_xlnm.Print_Area" localSheetId="25">'NIRO 13.5|KSLD 7.0'!$A$1:$J$151</definedName>
    <definedName name="_xlnm.Print_Area" localSheetId="26">'NIRO 15|KSLD 5.5'!$A$1:$J$151</definedName>
    <definedName name="_xlnm.Print_Area" localSheetId="23">'NIRO 21.5'!$A$1:$J$151</definedName>
    <definedName name="_xlnm.Print_Area" localSheetId="24">'NIRO 4.5|KSLD 4.1'!$A$1:$J$151</definedName>
    <definedName name="_xlnm.Print_Titles" localSheetId="18">'18 Std (v1)'!$1:$2</definedName>
    <definedName name="_xlnm.Print_Titles" localSheetId="17">'18 Std (v2) final'!$1:$2</definedName>
    <definedName name="_xlnm.Print_Titles" localSheetId="1">'18 Std v1 (140.1M)'!$1:$2</definedName>
    <definedName name="_xlnm.Print_Titles" localSheetId="3">'19 Std (2)'!$1:$2</definedName>
    <definedName name="_xlnm.Print_Titles" localSheetId="22">'KSHD 6.0'!$1:$2</definedName>
    <definedName name="_xlnm.Print_Titles" localSheetId="25">'NIRO 13.5|KSLD 7.0'!$1:$2</definedName>
    <definedName name="_xlnm.Print_Titles" localSheetId="26">'NIRO 15|KSLD 5.5'!$1:$2</definedName>
    <definedName name="_xlnm.Print_Titles" localSheetId="23">'NIRO 21.5'!$1:$2</definedName>
    <definedName name="_xlnm.Print_Titles" localSheetId="24">'NIRO 4.5|KSLD 4.1'!$1:$2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46" l="1"/>
  <c r="W7" i="41"/>
  <c r="W7" i="40"/>
  <c r="W7" i="48"/>
  <c r="G18" i="36"/>
  <c r="H18" i="36"/>
  <c r="I18" i="36"/>
  <c r="J18" i="36"/>
  <c r="F75" i="38"/>
  <c r="G75" i="38" l="1"/>
  <c r="H75" i="38"/>
  <c r="F18" i="36"/>
  <c r="E18" i="36"/>
  <c r="D18" i="36"/>
  <c r="M4" i="36" l="1"/>
  <c r="M3" i="36" l="1"/>
  <c r="L4" i="36"/>
  <c r="L3" i="36" l="1"/>
  <c r="W7" i="45" l="1"/>
  <c r="W7" i="44"/>
  <c r="W7" i="43"/>
  <c r="W7" i="42"/>
  <c r="W7" i="39"/>
  <c r="W7" i="38"/>
  <c r="W7" i="35"/>
  <c r="B39" i="47"/>
  <c r="B38" i="47"/>
  <c r="B37" i="47"/>
  <c r="B36" i="47"/>
  <c r="B35" i="47"/>
  <c r="B34" i="47"/>
  <c r="B33" i="47"/>
  <c r="B32" i="47"/>
  <c r="B31" i="47"/>
  <c r="B39" i="46"/>
  <c r="B38" i="46"/>
  <c r="B37" i="46"/>
  <c r="B36" i="46"/>
  <c r="B35" i="46"/>
  <c r="B34" i="46"/>
  <c r="B33" i="46"/>
  <c r="B32" i="46"/>
  <c r="B31" i="46"/>
  <c r="B39" i="45"/>
  <c r="B38" i="45"/>
  <c r="B37" i="45"/>
  <c r="B36" i="45"/>
  <c r="B35" i="45"/>
  <c r="B34" i="45"/>
  <c r="B33" i="45"/>
  <c r="B32" i="45"/>
  <c r="B31" i="45"/>
  <c r="B39" i="44"/>
  <c r="B38" i="44"/>
  <c r="B37" i="44"/>
  <c r="B36" i="44"/>
  <c r="B35" i="44"/>
  <c r="B34" i="44"/>
  <c r="B33" i="44"/>
  <c r="B32" i="44"/>
  <c r="B31" i="44"/>
  <c r="B39" i="43"/>
  <c r="B38" i="43"/>
  <c r="B37" i="43"/>
  <c r="B36" i="43"/>
  <c r="B35" i="43"/>
  <c r="B34" i="43"/>
  <c r="B33" i="43"/>
  <c r="B32" i="43"/>
  <c r="B31" i="43"/>
  <c r="B39" i="42"/>
  <c r="B38" i="42"/>
  <c r="B37" i="42"/>
  <c r="B36" i="42"/>
  <c r="B35" i="42"/>
  <c r="B34" i="42"/>
  <c r="B33" i="42"/>
  <c r="B32" i="42"/>
  <c r="B31" i="42"/>
  <c r="B39" i="41"/>
  <c r="B38" i="41"/>
  <c r="B37" i="41"/>
  <c r="B36" i="41"/>
  <c r="B35" i="41"/>
  <c r="B34" i="41"/>
  <c r="B33" i="41"/>
  <c r="B32" i="41"/>
  <c r="B31" i="41"/>
  <c r="B39" i="40"/>
  <c r="B38" i="40"/>
  <c r="B37" i="40"/>
  <c r="B36" i="40"/>
  <c r="B35" i="40"/>
  <c r="B34" i="40"/>
  <c r="B33" i="40"/>
  <c r="B32" i="40"/>
  <c r="B31" i="40"/>
  <c r="B39" i="39"/>
  <c r="B38" i="39"/>
  <c r="B37" i="39"/>
  <c r="B36" i="39"/>
  <c r="B35" i="39"/>
  <c r="B31" i="39"/>
  <c r="B39" i="38"/>
  <c r="B38" i="38"/>
  <c r="B37" i="38"/>
  <c r="B36" i="38"/>
  <c r="B35" i="38"/>
  <c r="B31" i="38"/>
  <c r="B39" i="48"/>
  <c r="B38" i="48"/>
  <c r="B37" i="48"/>
  <c r="B36" i="48"/>
  <c r="B35" i="48"/>
  <c r="B31" i="48"/>
  <c r="B39" i="35" l="1"/>
  <c r="B38" i="35"/>
  <c r="B37" i="35"/>
  <c r="B36" i="35"/>
  <c r="B35" i="35"/>
  <c r="B31" i="35"/>
  <c r="B32" i="35" l="1"/>
  <c r="D34" i="46" l="1"/>
  <c r="D33" i="46"/>
  <c r="D34" i="45"/>
  <c r="D32" i="44"/>
  <c r="H26" i="43"/>
  <c r="BJ10" i="43" s="1"/>
  <c r="E26" i="43"/>
  <c r="D32" i="43"/>
  <c r="E26" i="41"/>
  <c r="B26" i="41"/>
  <c r="D33" i="40"/>
  <c r="B34" i="39"/>
  <c r="H26" i="39" s="1"/>
  <c r="B33" i="39"/>
  <c r="D33" i="39" s="1"/>
  <c r="B32" i="39"/>
  <c r="B26" i="39" s="1"/>
  <c r="BH15" i="39" s="1"/>
  <c r="B34" i="38"/>
  <c r="B33" i="38"/>
  <c r="D33" i="38" s="1"/>
  <c r="B32" i="38"/>
  <c r="D32" i="38" s="1"/>
  <c r="B34" i="48"/>
  <c r="B33" i="48"/>
  <c r="E26" i="48" s="1"/>
  <c r="AO156" i="38"/>
  <c r="AN155" i="38" s="1"/>
  <c r="AH155" i="38" s="1"/>
  <c r="AN154" i="38"/>
  <c r="AH154" i="38"/>
  <c r="AN153" i="38"/>
  <c r="AH153" i="38" s="1"/>
  <c r="AN152" i="38"/>
  <c r="AH152" i="38"/>
  <c r="AN151" i="38"/>
  <c r="AH151" i="38" s="1"/>
  <c r="AN150" i="38"/>
  <c r="AH150" i="38"/>
  <c r="AN149" i="38"/>
  <c r="AH149" i="38" s="1"/>
  <c r="B149" i="38"/>
  <c r="AN148" i="38"/>
  <c r="B148" i="38"/>
  <c r="AO145" i="38"/>
  <c r="AN145" i="38"/>
  <c r="AH144" i="38"/>
  <c r="AH143" i="38"/>
  <c r="AH145" i="38" s="1"/>
  <c r="AO139" i="38"/>
  <c r="AN138" i="38"/>
  <c r="AH138" i="38" s="1"/>
  <c r="AN137" i="38"/>
  <c r="AH137" i="38" s="1"/>
  <c r="AN136" i="38"/>
  <c r="AH136" i="38" s="1"/>
  <c r="AN135" i="38"/>
  <c r="AH135" i="38" s="1"/>
  <c r="B135" i="38"/>
  <c r="AN134" i="38"/>
  <c r="AH134" i="38"/>
  <c r="B134" i="38"/>
  <c r="AN133" i="38"/>
  <c r="AH133" i="38" s="1"/>
  <c r="B133" i="38"/>
  <c r="AN132" i="38"/>
  <c r="AH132" i="38" s="1"/>
  <c r="AN131" i="38"/>
  <c r="AH131" i="38"/>
  <c r="AN130" i="38"/>
  <c r="AH130" i="38" s="1"/>
  <c r="F119" i="38"/>
  <c r="B118" i="38"/>
  <c r="F117" i="38"/>
  <c r="F120" i="38" s="1"/>
  <c r="B117" i="38"/>
  <c r="F115" i="38"/>
  <c r="B115" i="38"/>
  <c r="BJ94" i="38"/>
  <c r="F92" i="38"/>
  <c r="D92" i="38"/>
  <c r="B92" i="38"/>
  <c r="D91" i="38"/>
  <c r="F91" i="38" s="1"/>
  <c r="B91" i="38"/>
  <c r="D89" i="38"/>
  <c r="F89" i="38" s="1"/>
  <c r="F88" i="38"/>
  <c r="D88" i="38"/>
  <c r="AO86" i="38"/>
  <c r="F86" i="38"/>
  <c r="D86" i="38"/>
  <c r="AN85" i="38"/>
  <c r="AH85" i="38"/>
  <c r="F85" i="38"/>
  <c r="D85" i="38"/>
  <c r="AN84" i="38"/>
  <c r="AH84" i="38"/>
  <c r="AN82" i="38"/>
  <c r="AH82" i="38" s="1"/>
  <c r="H82" i="38"/>
  <c r="G82" i="38"/>
  <c r="F82" i="38"/>
  <c r="E82" i="38"/>
  <c r="D82" i="38"/>
  <c r="C82" i="38"/>
  <c r="B82" i="38"/>
  <c r="AN81" i="38"/>
  <c r="AH81" i="38" s="1"/>
  <c r="AN80" i="38"/>
  <c r="AH80" i="38" s="1"/>
  <c r="AN79" i="38"/>
  <c r="AN86" i="38" s="1"/>
  <c r="BJ77" i="38"/>
  <c r="AH76" i="38"/>
  <c r="AH75" i="38"/>
  <c r="BJ73" i="38"/>
  <c r="AH72" i="38"/>
  <c r="AH71" i="38"/>
  <c r="AH73" i="38" s="1"/>
  <c r="BK61" i="38"/>
  <c r="AJ61" i="38"/>
  <c r="R61" i="38"/>
  <c r="BO61" i="38" s="1"/>
  <c r="P61" i="38"/>
  <c r="BN61" i="38" s="1"/>
  <c r="N61" i="38"/>
  <c r="M61" i="38"/>
  <c r="L61" i="38"/>
  <c r="J61" i="38"/>
  <c r="H61" i="38"/>
  <c r="BJ61" i="38" s="1"/>
  <c r="F61" i="38"/>
  <c r="BI61" i="38" s="1"/>
  <c r="D61" i="38"/>
  <c r="BS60" i="38"/>
  <c r="BV60" i="38" s="1"/>
  <c r="BX60" i="38" s="1"/>
  <c r="BK60" i="38"/>
  <c r="AJ60" i="38"/>
  <c r="R60" i="38"/>
  <c r="BO60" i="38" s="1"/>
  <c r="P60" i="38"/>
  <c r="BN60" i="38" s="1"/>
  <c r="N60" i="38"/>
  <c r="M60" i="38"/>
  <c r="L60" i="38"/>
  <c r="J60" i="38"/>
  <c r="H60" i="38"/>
  <c r="BJ60" i="38" s="1"/>
  <c r="F60" i="38"/>
  <c r="BI60" i="38" s="1"/>
  <c r="D60" i="38"/>
  <c r="BS59" i="38"/>
  <c r="BV59" i="38" s="1"/>
  <c r="BX59" i="38" s="1"/>
  <c r="BK59" i="38"/>
  <c r="AJ59" i="38"/>
  <c r="R59" i="38"/>
  <c r="BO59" i="38" s="1"/>
  <c r="P59" i="38"/>
  <c r="BN59" i="38" s="1"/>
  <c r="N59" i="38"/>
  <c r="M59" i="38"/>
  <c r="L59" i="38"/>
  <c r="J59" i="38"/>
  <c r="H59" i="38"/>
  <c r="BJ59" i="38" s="1"/>
  <c r="F59" i="38"/>
  <c r="BI59" i="38" s="1"/>
  <c r="D59" i="38"/>
  <c r="BS58" i="38"/>
  <c r="BV58" i="38" s="1"/>
  <c r="BX58" i="38" s="1"/>
  <c r="BK58" i="38"/>
  <c r="AJ58" i="38"/>
  <c r="Q58" i="38"/>
  <c r="R58" i="38" s="1"/>
  <c r="BO58" i="38" s="1"/>
  <c r="P58" i="38"/>
  <c r="BN58" i="38" s="1"/>
  <c r="O58" i="38"/>
  <c r="M58" i="38"/>
  <c r="N58" i="38" s="1"/>
  <c r="L58" i="38"/>
  <c r="J58" i="38"/>
  <c r="H58" i="38"/>
  <c r="BJ58" i="38" s="1"/>
  <c r="F58" i="38"/>
  <c r="BI58" i="38" s="1"/>
  <c r="D58" i="38"/>
  <c r="BV57" i="38"/>
  <c r="BX57" i="38" s="1"/>
  <c r="BS57" i="38"/>
  <c r="BO57" i="38"/>
  <c r="R57" i="38"/>
  <c r="Q57" i="38"/>
  <c r="O57" i="38"/>
  <c r="N57" i="38"/>
  <c r="M57" i="38"/>
  <c r="H57" i="38"/>
  <c r="B57" i="38"/>
  <c r="BX56" i="38"/>
  <c r="BS56" i="38"/>
  <c r="BV56" i="38" s="1"/>
  <c r="BH56" i="38"/>
  <c r="AJ56" i="38"/>
  <c r="Q56" i="38"/>
  <c r="R56" i="38" s="1"/>
  <c r="BO56" i="38" s="1"/>
  <c r="O56" i="38"/>
  <c r="P56" i="38" s="1"/>
  <c r="N56" i="38"/>
  <c r="N65" i="38" s="1"/>
  <c r="L56" i="38"/>
  <c r="J56" i="38"/>
  <c r="BK56" i="38" s="1"/>
  <c r="H56" i="38"/>
  <c r="F56" i="38"/>
  <c r="D56" i="38"/>
  <c r="BO55" i="38"/>
  <c r="BN55" i="38"/>
  <c r="BK55" i="38"/>
  <c r="BJ55" i="38"/>
  <c r="BI55" i="38"/>
  <c r="BH55" i="38"/>
  <c r="AJ55" i="38"/>
  <c r="R55" i="38"/>
  <c r="P55" i="38"/>
  <c r="N55" i="38"/>
  <c r="L55" i="38"/>
  <c r="J55" i="38"/>
  <c r="H55" i="38"/>
  <c r="F55" i="38"/>
  <c r="D55" i="38"/>
  <c r="BO54" i="38"/>
  <c r="BN54" i="38"/>
  <c r="BK54" i="38"/>
  <c r="BJ54" i="38"/>
  <c r="BI54" i="38"/>
  <c r="BH54" i="38"/>
  <c r="AJ54" i="38"/>
  <c r="R54" i="38"/>
  <c r="P54" i="38"/>
  <c r="N54" i="38"/>
  <c r="L54" i="38"/>
  <c r="J54" i="38"/>
  <c r="H54" i="38"/>
  <c r="F54" i="38"/>
  <c r="D54" i="38"/>
  <c r="BN53" i="38"/>
  <c r="BH53" i="38"/>
  <c r="AJ53" i="38"/>
  <c r="Q53" i="38"/>
  <c r="R53" i="38" s="1"/>
  <c r="BO53" i="38" s="1"/>
  <c r="P53" i="38"/>
  <c r="O53" i="38"/>
  <c r="N53" i="38"/>
  <c r="L53" i="38"/>
  <c r="J53" i="38"/>
  <c r="BK53" i="38" s="1"/>
  <c r="H53" i="38"/>
  <c r="BJ53" i="38" s="1"/>
  <c r="F53" i="38"/>
  <c r="BI53" i="38" s="1"/>
  <c r="D53" i="38"/>
  <c r="BX52" i="38"/>
  <c r="BW52" i="38"/>
  <c r="BV52" i="38"/>
  <c r="BT52" i="38"/>
  <c r="BS52" i="38"/>
  <c r="Q52" i="38"/>
  <c r="O52" i="38"/>
  <c r="N52" i="38"/>
  <c r="N64" i="38" s="1"/>
  <c r="N66" i="38" s="1"/>
  <c r="M52" i="38"/>
  <c r="Q49" i="38"/>
  <c r="O49" i="38"/>
  <c r="M49" i="38"/>
  <c r="K49" i="38"/>
  <c r="I49" i="38"/>
  <c r="G49" i="38"/>
  <c r="E49" i="38"/>
  <c r="C49" i="38"/>
  <c r="B49" i="38"/>
  <c r="B52" i="38" s="1"/>
  <c r="B48" i="38"/>
  <c r="B47" i="38"/>
  <c r="AC43" i="38"/>
  <c r="AD41" i="38"/>
  <c r="D38" i="38"/>
  <c r="D37" i="38"/>
  <c r="D35" i="38"/>
  <c r="D27" i="38"/>
  <c r="C27" i="38"/>
  <c r="W26" i="38"/>
  <c r="W19" i="38" s="1"/>
  <c r="T26" i="38"/>
  <c r="Q26" i="38"/>
  <c r="N26" i="38"/>
  <c r="N15" i="38" s="1"/>
  <c r="K26" i="38"/>
  <c r="BM15" i="38" s="1"/>
  <c r="X22" i="38"/>
  <c r="V22" i="38"/>
  <c r="P22" i="38"/>
  <c r="M22" i="38"/>
  <c r="G22" i="38"/>
  <c r="D22" i="38"/>
  <c r="Y20" i="38"/>
  <c r="X20" i="38"/>
  <c r="U20" i="38"/>
  <c r="S20" i="38"/>
  <c r="R20" i="38"/>
  <c r="P20" i="38"/>
  <c r="O20" i="38"/>
  <c r="L20" i="38"/>
  <c r="J20" i="38"/>
  <c r="I20" i="38"/>
  <c r="F20" i="38"/>
  <c r="C20" i="38"/>
  <c r="W18" i="38"/>
  <c r="BO17" i="38"/>
  <c r="Y12" i="38"/>
  <c r="Y22" i="38" s="1"/>
  <c r="X12" i="38"/>
  <c r="U12" i="38"/>
  <c r="U22" i="38" s="1"/>
  <c r="U24" i="38" s="1"/>
  <c r="S12" i="38"/>
  <c r="S22" i="38" s="1"/>
  <c r="R12" i="38"/>
  <c r="R22" i="38" s="1"/>
  <c r="P12" i="38"/>
  <c r="O12" i="38"/>
  <c r="O22" i="38" s="1"/>
  <c r="L12" i="38"/>
  <c r="L22" i="38" s="1"/>
  <c r="L24" i="38" s="1"/>
  <c r="J12" i="38"/>
  <c r="J22" i="38" s="1"/>
  <c r="I12" i="38"/>
  <c r="I22" i="38" s="1"/>
  <c r="I24" i="38" s="1"/>
  <c r="F12" i="38"/>
  <c r="F22" i="38" s="1"/>
  <c r="F24" i="38" s="1"/>
  <c r="C12" i="38"/>
  <c r="C22" i="38" s="1"/>
  <c r="C24" i="38" s="1"/>
  <c r="BK10" i="38"/>
  <c r="W9" i="38"/>
  <c r="BO8" i="38"/>
  <c r="Y4" i="38"/>
  <c r="W4" i="38"/>
  <c r="V4" i="38"/>
  <c r="U4" i="38"/>
  <c r="T4" i="38"/>
  <c r="S4" i="38"/>
  <c r="Q4" i="38"/>
  <c r="P4" i="38"/>
  <c r="N4" i="38"/>
  <c r="M4" i="38"/>
  <c r="K4" i="38"/>
  <c r="J4" i="38"/>
  <c r="H4" i="38"/>
  <c r="G4" i="38"/>
  <c r="F4" i="38"/>
  <c r="E4" i="38"/>
  <c r="AO156" i="48"/>
  <c r="AN155" i="48" s="1"/>
  <c r="AH155" i="48" s="1"/>
  <c r="AN152" i="48"/>
  <c r="AH152" i="48"/>
  <c r="AN151" i="48"/>
  <c r="AH151" i="48"/>
  <c r="AN150" i="48"/>
  <c r="AH150" i="48"/>
  <c r="AN149" i="48"/>
  <c r="AH149" i="48"/>
  <c r="B149" i="48"/>
  <c r="AN148" i="48"/>
  <c r="B148" i="48"/>
  <c r="AO145" i="48"/>
  <c r="AN145" i="48"/>
  <c r="AH144" i="48"/>
  <c r="AH143" i="48"/>
  <c r="AO139" i="48"/>
  <c r="AN138" i="48"/>
  <c r="AH138" i="48" s="1"/>
  <c r="AN137" i="48"/>
  <c r="AH137" i="48" s="1"/>
  <c r="AN136" i="48"/>
  <c r="AH136" i="48" s="1"/>
  <c r="AN135" i="48"/>
  <c r="AH135" i="48" s="1"/>
  <c r="B135" i="48"/>
  <c r="AN134" i="48"/>
  <c r="AH134" i="48"/>
  <c r="B134" i="48"/>
  <c r="AN133" i="48"/>
  <c r="AH133" i="48" s="1"/>
  <c r="B133" i="48"/>
  <c r="AN132" i="48"/>
  <c r="AH132" i="48"/>
  <c r="AN131" i="48"/>
  <c r="AH131" i="48"/>
  <c r="AN130" i="48"/>
  <c r="AH130" i="48"/>
  <c r="AH139" i="48" s="1"/>
  <c r="F119" i="48"/>
  <c r="B118" i="48"/>
  <c r="F117" i="48"/>
  <c r="B117" i="48"/>
  <c r="B120" i="48" s="1"/>
  <c r="F115" i="48"/>
  <c r="B115" i="48"/>
  <c r="BJ94" i="48"/>
  <c r="F92" i="48"/>
  <c r="D92" i="48"/>
  <c r="B92" i="48"/>
  <c r="D91" i="48"/>
  <c r="F91" i="48" s="1"/>
  <c r="F94" i="48" s="1"/>
  <c r="B91" i="48"/>
  <c r="F89" i="48"/>
  <c r="D89" i="48"/>
  <c r="F88" i="48"/>
  <c r="D88" i="48"/>
  <c r="AO86" i="48"/>
  <c r="AN85" i="48" s="1"/>
  <c r="D86" i="48"/>
  <c r="F86" i="48" s="1"/>
  <c r="AH85" i="48"/>
  <c r="D85" i="48"/>
  <c r="F85" i="48" s="1"/>
  <c r="AN82" i="48"/>
  <c r="AH82" i="48"/>
  <c r="H82" i="48"/>
  <c r="G82" i="48"/>
  <c r="F82" i="48"/>
  <c r="E82" i="48"/>
  <c r="D82" i="48"/>
  <c r="C82" i="48"/>
  <c r="B82" i="48"/>
  <c r="AN81" i="48"/>
  <c r="AH81" i="48" s="1"/>
  <c r="AN80" i="48"/>
  <c r="AH80" i="48" s="1"/>
  <c r="AN79" i="48"/>
  <c r="BJ77" i="48"/>
  <c r="AH76" i="48"/>
  <c r="AH75" i="48"/>
  <c r="BJ73" i="48"/>
  <c r="AH73" i="48"/>
  <c r="AH72" i="48"/>
  <c r="AH71" i="48"/>
  <c r="BK61" i="48"/>
  <c r="BI61" i="48"/>
  <c r="AJ61" i="48"/>
  <c r="R61" i="48"/>
  <c r="BO61" i="48" s="1"/>
  <c r="P61" i="48"/>
  <c r="BN61" i="48" s="1"/>
  <c r="N61" i="48"/>
  <c r="M61" i="48"/>
  <c r="L61" i="48"/>
  <c r="J61" i="48"/>
  <c r="H61" i="48"/>
  <c r="BJ61" i="48" s="1"/>
  <c r="F61" i="48"/>
  <c r="D61" i="48"/>
  <c r="BS60" i="48"/>
  <c r="BV60" i="48" s="1"/>
  <c r="BX60" i="48" s="1"/>
  <c r="BK60" i="48"/>
  <c r="BI60" i="48"/>
  <c r="AJ60" i="48"/>
  <c r="R60" i="48"/>
  <c r="BO60" i="48" s="1"/>
  <c r="P60" i="48"/>
  <c r="BN60" i="48" s="1"/>
  <c r="N60" i="48"/>
  <c r="M60" i="48"/>
  <c r="L60" i="48"/>
  <c r="J60" i="48"/>
  <c r="H60" i="48"/>
  <c r="BJ60" i="48" s="1"/>
  <c r="F60" i="48"/>
  <c r="D60" i="48"/>
  <c r="BS59" i="48"/>
  <c r="BV59" i="48" s="1"/>
  <c r="BX59" i="48" s="1"/>
  <c r="BK59" i="48"/>
  <c r="BI59" i="48"/>
  <c r="AJ59" i="48"/>
  <c r="R59" i="48"/>
  <c r="BO59" i="48" s="1"/>
  <c r="P59" i="48"/>
  <c r="BN59" i="48" s="1"/>
  <c r="N59" i="48"/>
  <c r="M59" i="48"/>
  <c r="L59" i="48"/>
  <c r="J59" i="48"/>
  <c r="H59" i="48"/>
  <c r="BJ59" i="48" s="1"/>
  <c r="F59" i="48"/>
  <c r="D59" i="48"/>
  <c r="BS58" i="48"/>
  <c r="BV58" i="48" s="1"/>
  <c r="BX58" i="48" s="1"/>
  <c r="BK58" i="48"/>
  <c r="BI58" i="48"/>
  <c r="AJ58" i="48"/>
  <c r="R58" i="48"/>
  <c r="BO58" i="48" s="1"/>
  <c r="Q58" i="48"/>
  <c r="P58" i="48"/>
  <c r="BN58" i="48" s="1"/>
  <c r="O58" i="48"/>
  <c r="N58" i="48"/>
  <c r="M58" i="48"/>
  <c r="L58" i="48"/>
  <c r="J58" i="48"/>
  <c r="H58" i="48"/>
  <c r="BJ58" i="48" s="1"/>
  <c r="F58" i="48"/>
  <c r="D58" i="48"/>
  <c r="BS57" i="48"/>
  <c r="BV57" i="48" s="1"/>
  <c r="BX57" i="48" s="1"/>
  <c r="AJ57" i="48"/>
  <c r="R57" i="48"/>
  <c r="BO57" i="48" s="1"/>
  <c r="Q57" i="48"/>
  <c r="P57" i="48"/>
  <c r="O57" i="48"/>
  <c r="N57" i="48"/>
  <c r="M57" i="48"/>
  <c r="L57" i="48"/>
  <c r="H57" i="48"/>
  <c r="D57" i="48"/>
  <c r="B57" i="48"/>
  <c r="BN57" i="48" s="1"/>
  <c r="BS56" i="48"/>
  <c r="BV56" i="48" s="1"/>
  <c r="BX56" i="48" s="1"/>
  <c r="AJ56" i="48"/>
  <c r="Q56" i="48"/>
  <c r="R56" i="48" s="1"/>
  <c r="BO56" i="48" s="1"/>
  <c r="O56" i="48"/>
  <c r="P56" i="48" s="1"/>
  <c r="P65" i="48" s="1"/>
  <c r="N56" i="48"/>
  <c r="L56" i="48"/>
  <c r="L65" i="48" s="1"/>
  <c r="J56" i="48"/>
  <c r="BK56" i="48" s="1"/>
  <c r="H56" i="48"/>
  <c r="F56" i="48"/>
  <c r="D56" i="48"/>
  <c r="BO55" i="48"/>
  <c r="BN55" i="48"/>
  <c r="BK55" i="48"/>
  <c r="BJ55" i="48"/>
  <c r="BI55" i="48"/>
  <c r="BH55" i="48"/>
  <c r="AJ55" i="48"/>
  <c r="R55" i="48"/>
  <c r="P55" i="48"/>
  <c r="N55" i="48"/>
  <c r="L55" i="48"/>
  <c r="J55" i="48"/>
  <c r="H55" i="48"/>
  <c r="F55" i="48"/>
  <c r="D55" i="48"/>
  <c r="BO54" i="48"/>
  <c r="BN54" i="48"/>
  <c r="BK54" i="48"/>
  <c r="BJ54" i="48"/>
  <c r="BI54" i="48"/>
  <c r="BH54" i="48"/>
  <c r="AJ54" i="48"/>
  <c r="R54" i="48"/>
  <c r="P54" i="48"/>
  <c r="N54" i="48"/>
  <c r="L54" i="48"/>
  <c r="J54" i="48"/>
  <c r="H54" i="48"/>
  <c r="F54" i="48"/>
  <c r="D54" i="48"/>
  <c r="BH53" i="48"/>
  <c r="AJ53" i="48"/>
  <c r="Q53" i="48"/>
  <c r="R53" i="48" s="1"/>
  <c r="BO53" i="48" s="1"/>
  <c r="O53" i="48"/>
  <c r="P53" i="48" s="1"/>
  <c r="BN53" i="48" s="1"/>
  <c r="N53" i="48"/>
  <c r="L53" i="48"/>
  <c r="J53" i="48"/>
  <c r="BK53" i="48" s="1"/>
  <c r="H53" i="48"/>
  <c r="BJ53" i="48" s="1"/>
  <c r="F53" i="48"/>
  <c r="BI53" i="48" s="1"/>
  <c r="D53" i="48"/>
  <c r="BX52" i="48"/>
  <c r="BW52" i="48"/>
  <c r="BV52" i="48"/>
  <c r="BT52" i="48"/>
  <c r="BS52" i="48"/>
  <c r="Q52" i="48"/>
  <c r="O52" i="48"/>
  <c r="M52" i="48"/>
  <c r="Q49" i="48"/>
  <c r="O49" i="48"/>
  <c r="M49" i="48"/>
  <c r="K49" i="48"/>
  <c r="I49" i="48"/>
  <c r="G49" i="48"/>
  <c r="E49" i="48"/>
  <c r="C49" i="48"/>
  <c r="B49" i="48"/>
  <c r="B52" i="48" s="1"/>
  <c r="H52" i="48" s="1"/>
  <c r="H64" i="48" s="1"/>
  <c r="B48" i="48"/>
  <c r="B47" i="48"/>
  <c r="AC43" i="48"/>
  <c r="AD41" i="48"/>
  <c r="D38" i="48"/>
  <c r="D37" i="48"/>
  <c r="D35" i="48"/>
  <c r="D27" i="48"/>
  <c r="C27" i="48"/>
  <c r="W26" i="48"/>
  <c r="T26" i="48"/>
  <c r="BN14" i="48" s="1"/>
  <c r="Q26" i="48"/>
  <c r="Q19" i="48" s="1"/>
  <c r="N26" i="48"/>
  <c r="N15" i="48" s="1"/>
  <c r="K26" i="48"/>
  <c r="V22" i="48"/>
  <c r="M22" i="48"/>
  <c r="G22" i="48"/>
  <c r="D22" i="48"/>
  <c r="Y20" i="48"/>
  <c r="X20" i="48"/>
  <c r="U20" i="48"/>
  <c r="S20" i="48"/>
  <c r="R20" i="48"/>
  <c r="P20" i="48"/>
  <c r="O20" i="48"/>
  <c r="L20" i="48"/>
  <c r="J20" i="48"/>
  <c r="I20" i="48"/>
  <c r="F20" i="48"/>
  <c r="C20" i="48"/>
  <c r="BO19" i="48"/>
  <c r="W19" i="48"/>
  <c r="BO18" i="48"/>
  <c r="W18" i="48"/>
  <c r="BO17" i="48"/>
  <c r="BO16" i="48"/>
  <c r="W16" i="48"/>
  <c r="BO15" i="48"/>
  <c r="W15" i="48"/>
  <c r="BO14" i="48"/>
  <c r="W14" i="48"/>
  <c r="Y12" i="48"/>
  <c r="Y22" i="48" s="1"/>
  <c r="X12" i="48"/>
  <c r="X22" i="48" s="1"/>
  <c r="U12" i="48"/>
  <c r="U22" i="48" s="1"/>
  <c r="U24" i="48" s="1"/>
  <c r="S12" i="48"/>
  <c r="S22" i="48" s="1"/>
  <c r="R12" i="48"/>
  <c r="R22" i="48" s="1"/>
  <c r="P12" i="48"/>
  <c r="P22" i="48" s="1"/>
  <c r="O12" i="48"/>
  <c r="O22" i="48" s="1"/>
  <c r="L12" i="48"/>
  <c r="L22" i="48" s="1"/>
  <c r="L24" i="48" s="1"/>
  <c r="J12" i="48"/>
  <c r="J22" i="48" s="1"/>
  <c r="I12" i="48"/>
  <c r="I22" i="48" s="1"/>
  <c r="I24" i="48" s="1"/>
  <c r="F12" i="48"/>
  <c r="F22" i="48" s="1"/>
  <c r="F24" i="48" s="1"/>
  <c r="C12" i="48"/>
  <c r="C22" i="48" s="1"/>
  <c r="C24" i="48" s="1"/>
  <c r="BO11" i="48"/>
  <c r="W11" i="48"/>
  <c r="BO10" i="48"/>
  <c r="W10" i="48"/>
  <c r="BO9" i="48"/>
  <c r="W9" i="48"/>
  <c r="BO8" i="48"/>
  <c r="W8" i="48"/>
  <c r="BO7" i="48"/>
  <c r="W6" i="48"/>
  <c r="Y4" i="48"/>
  <c r="W4" i="48"/>
  <c r="V4" i="48"/>
  <c r="U4" i="48"/>
  <c r="T4" i="48"/>
  <c r="S4" i="48"/>
  <c r="Q4" i="48"/>
  <c r="P4" i="48"/>
  <c r="N4" i="48"/>
  <c r="M4" i="48"/>
  <c r="K4" i="48"/>
  <c r="J4" i="48"/>
  <c r="H4" i="48"/>
  <c r="G4" i="48"/>
  <c r="F4" i="48"/>
  <c r="E4" i="48"/>
  <c r="B34" i="35"/>
  <c r="B33" i="35"/>
  <c r="B26" i="35"/>
  <c r="AO156" i="47"/>
  <c r="AN155" i="47" s="1"/>
  <c r="AH155" i="47" s="1"/>
  <c r="AN154" i="47"/>
  <c r="AH154" i="47" s="1"/>
  <c r="AN152" i="47"/>
  <c r="AH152" i="47"/>
  <c r="AN150" i="47"/>
  <c r="AH150" i="47" s="1"/>
  <c r="B149" i="47"/>
  <c r="AN148" i="47"/>
  <c r="AH148" i="47" s="1"/>
  <c r="B148" i="47"/>
  <c r="AO145" i="47"/>
  <c r="AP143" i="47" s="1"/>
  <c r="AN145" i="47"/>
  <c r="AP144" i="47"/>
  <c r="AP145" i="47" s="1"/>
  <c r="AH144" i="47"/>
  <c r="AH143" i="47"/>
  <c r="AO139" i="47"/>
  <c r="AN137" i="47" s="1"/>
  <c r="AH137" i="47" s="1"/>
  <c r="AN135" i="47"/>
  <c r="AH135" i="47" s="1"/>
  <c r="B135" i="47"/>
  <c r="B134" i="47"/>
  <c r="B133" i="47"/>
  <c r="AN131" i="47"/>
  <c r="AH131" i="47"/>
  <c r="F119" i="47"/>
  <c r="B118" i="47"/>
  <c r="F117" i="47"/>
  <c r="B117" i="47"/>
  <c r="F115" i="47"/>
  <c r="B115" i="47"/>
  <c r="BJ94" i="47"/>
  <c r="F92" i="47"/>
  <c r="D92" i="47"/>
  <c r="B92" i="47"/>
  <c r="D91" i="47"/>
  <c r="F91" i="47" s="1"/>
  <c r="B91" i="47"/>
  <c r="D89" i="47"/>
  <c r="F89" i="47" s="1"/>
  <c r="F88" i="47"/>
  <c r="D88" i="47"/>
  <c r="AO86" i="47"/>
  <c r="F86" i="47"/>
  <c r="D86" i="47"/>
  <c r="AN85" i="47"/>
  <c r="AH85" i="47" s="1"/>
  <c r="F85" i="47"/>
  <c r="D85" i="47"/>
  <c r="AN84" i="47"/>
  <c r="AH84" i="47" s="1"/>
  <c r="AN82" i="47"/>
  <c r="AH82" i="47" s="1"/>
  <c r="H82" i="47"/>
  <c r="G82" i="47"/>
  <c r="F82" i="47"/>
  <c r="E82" i="47"/>
  <c r="D82" i="47"/>
  <c r="C82" i="47"/>
  <c r="B82" i="47"/>
  <c r="AN81" i="47"/>
  <c r="AH81" i="47"/>
  <c r="AN80" i="47"/>
  <c r="AH80" i="47" s="1"/>
  <c r="AN79" i="47"/>
  <c r="AH79" i="47"/>
  <c r="BJ77" i="47"/>
  <c r="AH76" i="47"/>
  <c r="AH75" i="47"/>
  <c r="BJ73" i="47"/>
  <c r="AH72" i="47"/>
  <c r="AH71" i="47"/>
  <c r="AH73" i="47" s="1"/>
  <c r="BH61" i="47"/>
  <c r="AJ61" i="47"/>
  <c r="R61" i="47"/>
  <c r="BO61" i="47" s="1"/>
  <c r="P61" i="47"/>
  <c r="BN61" i="47" s="1"/>
  <c r="N61" i="47"/>
  <c r="M61" i="47"/>
  <c r="L61" i="47"/>
  <c r="J61" i="47"/>
  <c r="BK61" i="47" s="1"/>
  <c r="H61" i="47"/>
  <c r="BJ61" i="47" s="1"/>
  <c r="F61" i="47"/>
  <c r="BI61" i="47" s="1"/>
  <c r="D61" i="47"/>
  <c r="BX60" i="47"/>
  <c r="BS60" i="47"/>
  <c r="BV60" i="47" s="1"/>
  <c r="BH60" i="47"/>
  <c r="AJ60" i="47"/>
  <c r="R60" i="47"/>
  <c r="BO60" i="47" s="1"/>
  <c r="P60" i="47"/>
  <c r="BN60" i="47" s="1"/>
  <c r="N60" i="47"/>
  <c r="M60" i="47"/>
  <c r="L60" i="47"/>
  <c r="J60" i="47"/>
  <c r="BK60" i="47" s="1"/>
  <c r="H60" i="47"/>
  <c r="BJ60" i="47" s="1"/>
  <c r="F60" i="47"/>
  <c r="BI60" i="47" s="1"/>
  <c r="D60" i="47"/>
  <c r="BX59" i="47"/>
  <c r="BS59" i="47"/>
  <c r="BV59" i="47" s="1"/>
  <c r="BN59" i="47"/>
  <c r="BH59" i="47"/>
  <c r="AJ59" i="47"/>
  <c r="R59" i="47"/>
  <c r="BO59" i="47" s="1"/>
  <c r="P59" i="47"/>
  <c r="N59" i="47"/>
  <c r="M59" i="47"/>
  <c r="L59" i="47"/>
  <c r="J59" i="47"/>
  <c r="BK59" i="47" s="1"/>
  <c r="H59" i="47"/>
  <c r="BJ59" i="47" s="1"/>
  <c r="F59" i="47"/>
  <c r="BI59" i="47" s="1"/>
  <c r="D59" i="47"/>
  <c r="BS58" i="47"/>
  <c r="BV58" i="47" s="1"/>
  <c r="BX58" i="47" s="1"/>
  <c r="BN58" i="47"/>
  <c r="BK58" i="47"/>
  <c r="BH58" i="47"/>
  <c r="AJ58" i="47"/>
  <c r="Q58" i="47"/>
  <c r="R58" i="47" s="1"/>
  <c r="BO58" i="47" s="1"/>
  <c r="P58" i="47"/>
  <c r="O58" i="47"/>
  <c r="M58" i="47"/>
  <c r="N58" i="47" s="1"/>
  <c r="L58" i="47"/>
  <c r="J58" i="47"/>
  <c r="H58" i="47"/>
  <c r="BJ58" i="47" s="1"/>
  <c r="F58" i="47"/>
  <c r="BI58" i="47" s="1"/>
  <c r="D58" i="47"/>
  <c r="BV57" i="47"/>
  <c r="BX57" i="47" s="1"/>
  <c r="BS57" i="47"/>
  <c r="Q57" i="47"/>
  <c r="O57" i="47"/>
  <c r="M57" i="47"/>
  <c r="J57" i="47"/>
  <c r="H57" i="47"/>
  <c r="BJ57" i="47" s="1"/>
  <c r="B57" i="47"/>
  <c r="BS56" i="47"/>
  <c r="BV56" i="47" s="1"/>
  <c r="BX56" i="47" s="1"/>
  <c r="BN56" i="47"/>
  <c r="BI56" i="47"/>
  <c r="BH56" i="47"/>
  <c r="AJ56" i="47"/>
  <c r="Q56" i="47"/>
  <c r="R56" i="47" s="1"/>
  <c r="P56" i="47"/>
  <c r="O56" i="47"/>
  <c r="N56" i="47"/>
  <c r="L56" i="47"/>
  <c r="J56" i="47"/>
  <c r="BK56" i="47" s="1"/>
  <c r="H56" i="47"/>
  <c r="F56" i="47"/>
  <c r="D56" i="47"/>
  <c r="BO55" i="47"/>
  <c r="BN55" i="47"/>
  <c r="BK55" i="47"/>
  <c r="BJ55" i="47"/>
  <c r="BI55" i="47"/>
  <c r="BH55" i="47"/>
  <c r="AJ55" i="47"/>
  <c r="R55" i="47"/>
  <c r="P55" i="47"/>
  <c r="N55" i="47"/>
  <c r="L55" i="47"/>
  <c r="J55" i="47"/>
  <c r="H55" i="47"/>
  <c r="F55" i="47"/>
  <c r="D55" i="47"/>
  <c r="BO54" i="47"/>
  <c r="BN54" i="47"/>
  <c r="BK54" i="47"/>
  <c r="BJ54" i="47"/>
  <c r="BI54" i="47"/>
  <c r="BH54" i="47"/>
  <c r="AJ54" i="47"/>
  <c r="R54" i="47"/>
  <c r="P54" i="47"/>
  <c r="N54" i="47"/>
  <c r="L54" i="47"/>
  <c r="J54" i="47"/>
  <c r="H54" i="47"/>
  <c r="F54" i="47"/>
  <c r="D54" i="47"/>
  <c r="BO53" i="47"/>
  <c r="BN53" i="47"/>
  <c r="BH53" i="47"/>
  <c r="AJ53" i="47"/>
  <c r="R53" i="47"/>
  <c r="Q53" i="47"/>
  <c r="P53" i="47"/>
  <c r="O53" i="47"/>
  <c r="N53" i="47"/>
  <c r="L53" i="47"/>
  <c r="J53" i="47"/>
  <c r="BK53" i="47" s="1"/>
  <c r="H53" i="47"/>
  <c r="BJ53" i="47" s="1"/>
  <c r="F53" i="47"/>
  <c r="BI53" i="47" s="1"/>
  <c r="D53" i="47"/>
  <c r="BX52" i="47"/>
  <c r="BW52" i="47"/>
  <c r="BV52" i="47"/>
  <c r="BT52" i="47"/>
  <c r="BS52" i="47"/>
  <c r="Q52" i="47"/>
  <c r="O52" i="47"/>
  <c r="N52" i="47"/>
  <c r="N64" i="47" s="1"/>
  <c r="M52" i="47"/>
  <c r="H52" i="47"/>
  <c r="H64" i="47" s="1"/>
  <c r="B52" i="47"/>
  <c r="Q49" i="47"/>
  <c r="O49" i="47"/>
  <c r="M49" i="47"/>
  <c r="K49" i="47"/>
  <c r="I49" i="47"/>
  <c r="G49" i="47"/>
  <c r="E49" i="47"/>
  <c r="C49" i="47"/>
  <c r="B49" i="47"/>
  <c r="B48" i="47"/>
  <c r="B47" i="47"/>
  <c r="AC43" i="47"/>
  <c r="AD41" i="47"/>
  <c r="B41" i="47"/>
  <c r="C40" i="47" s="1"/>
  <c r="D38" i="47"/>
  <c r="D37" i="47"/>
  <c r="D35" i="47"/>
  <c r="D34" i="47"/>
  <c r="D33" i="47"/>
  <c r="D32" i="47"/>
  <c r="D27" i="47"/>
  <c r="C27" i="47"/>
  <c r="W26" i="47"/>
  <c r="T26" i="47"/>
  <c r="BN19" i="47" s="1"/>
  <c r="Q26" i="47"/>
  <c r="Q16" i="47" s="1"/>
  <c r="N26" i="47"/>
  <c r="N11" i="47" s="1"/>
  <c r="K26" i="47"/>
  <c r="BK19" i="47" s="1"/>
  <c r="H26" i="47"/>
  <c r="BJ19" i="47" s="1"/>
  <c r="E26" i="47"/>
  <c r="BI17" i="47" s="1"/>
  <c r="B26" i="47"/>
  <c r="BH15" i="47" s="1"/>
  <c r="V22" i="47"/>
  <c r="P22" i="47"/>
  <c r="O22" i="47"/>
  <c r="M22" i="47"/>
  <c r="G22" i="47"/>
  <c r="D22" i="47"/>
  <c r="Y20" i="47"/>
  <c r="X20" i="47"/>
  <c r="U20" i="47"/>
  <c r="S20" i="47"/>
  <c r="R20" i="47"/>
  <c r="P20" i="47"/>
  <c r="O20" i="47"/>
  <c r="L20" i="47"/>
  <c r="J20" i="47"/>
  <c r="I20" i="47"/>
  <c r="F20" i="47"/>
  <c r="C20" i="47"/>
  <c r="C22" i="47" s="1"/>
  <c r="C24" i="47" s="1"/>
  <c r="BO19" i="47"/>
  <c r="W19" i="47"/>
  <c r="BO18" i="47"/>
  <c r="W18" i="47"/>
  <c r="BO17" i="47"/>
  <c r="BO16" i="47"/>
  <c r="W16" i="47"/>
  <c r="BO15" i="47"/>
  <c r="W15" i="47"/>
  <c r="BO14" i="47"/>
  <c r="W14" i="47"/>
  <c r="Y12" i="47"/>
  <c r="Y22" i="47" s="1"/>
  <c r="X12" i="47"/>
  <c r="X22" i="47" s="1"/>
  <c r="U12" i="47"/>
  <c r="U22" i="47" s="1"/>
  <c r="U24" i="47" s="1"/>
  <c r="S12" i="47"/>
  <c r="S22" i="47" s="1"/>
  <c r="R12" i="47"/>
  <c r="R22" i="47" s="1"/>
  <c r="P12" i="47"/>
  <c r="O12" i="47"/>
  <c r="L12" i="47"/>
  <c r="L22" i="47" s="1"/>
  <c r="L24" i="47" s="1"/>
  <c r="J12" i="47"/>
  <c r="J22" i="47" s="1"/>
  <c r="I12" i="47"/>
  <c r="I22" i="47" s="1"/>
  <c r="I24" i="47" s="1"/>
  <c r="F12" i="47"/>
  <c r="F22" i="47" s="1"/>
  <c r="F24" i="47" s="1"/>
  <c r="C12" i="47"/>
  <c r="BO11" i="47"/>
  <c r="W11" i="47"/>
  <c r="BO10" i="47"/>
  <c r="W10" i="47"/>
  <c r="BO9" i="47"/>
  <c r="W9" i="47"/>
  <c r="BO8" i="47"/>
  <c r="W8" i="47"/>
  <c r="BO7" i="47"/>
  <c r="W6" i="47"/>
  <c r="Y4" i="47"/>
  <c r="W4" i="47"/>
  <c r="V4" i="47"/>
  <c r="U4" i="47"/>
  <c r="T4" i="47"/>
  <c r="S4" i="47"/>
  <c r="Q4" i="47"/>
  <c r="P4" i="47"/>
  <c r="N4" i="47"/>
  <c r="M4" i="47"/>
  <c r="K4" i="47"/>
  <c r="J4" i="47"/>
  <c r="H4" i="47"/>
  <c r="G4" i="47"/>
  <c r="F4" i="47"/>
  <c r="E4" i="47"/>
  <c r="AO156" i="46"/>
  <c r="AN155" i="46" s="1"/>
  <c r="AH155" i="46" s="1"/>
  <c r="AN154" i="46"/>
  <c r="AH154" i="46" s="1"/>
  <c r="AN152" i="46"/>
  <c r="AH152" i="46"/>
  <c r="AN150" i="46"/>
  <c r="AH150" i="46" s="1"/>
  <c r="AN149" i="46"/>
  <c r="AH149" i="46"/>
  <c r="B149" i="46"/>
  <c r="AN148" i="46"/>
  <c r="AH148" i="46" s="1"/>
  <c r="B148" i="46"/>
  <c r="AO145" i="46"/>
  <c r="AP143" i="46" s="1"/>
  <c r="AN145" i="46"/>
  <c r="AH144" i="46"/>
  <c r="AH143" i="46"/>
  <c r="AH145" i="46" s="1"/>
  <c r="AO139" i="46"/>
  <c r="AN135" i="46" s="1"/>
  <c r="AH135" i="46" s="1"/>
  <c r="AN137" i="46"/>
  <c r="AH137" i="46" s="1"/>
  <c r="B135" i="46"/>
  <c r="AN134" i="46"/>
  <c r="AH134" i="46" s="1"/>
  <c r="B134" i="46"/>
  <c r="B133" i="46"/>
  <c r="AN131" i="46"/>
  <c r="AH131" i="46" s="1"/>
  <c r="F120" i="46"/>
  <c r="F119" i="46"/>
  <c r="B118" i="46"/>
  <c r="F117" i="46"/>
  <c r="B117" i="46"/>
  <c r="B120" i="46" s="1"/>
  <c r="F115" i="46"/>
  <c r="B115" i="46"/>
  <c r="BJ94" i="46"/>
  <c r="F92" i="46"/>
  <c r="D92" i="46"/>
  <c r="B92" i="46"/>
  <c r="F91" i="46"/>
  <c r="F94" i="46" s="1"/>
  <c r="D91" i="46"/>
  <c r="B91" i="46"/>
  <c r="D89" i="46"/>
  <c r="F89" i="46" s="1"/>
  <c r="F88" i="46"/>
  <c r="D88" i="46"/>
  <c r="AO86" i="46"/>
  <c r="F86" i="46"/>
  <c r="D86" i="46"/>
  <c r="AN85" i="46"/>
  <c r="AN86" i="46" s="1"/>
  <c r="AH85" i="46"/>
  <c r="D85" i="46"/>
  <c r="F85" i="46" s="1"/>
  <c r="AN84" i="46"/>
  <c r="AH84" i="46"/>
  <c r="AN82" i="46"/>
  <c r="AH82" i="46" s="1"/>
  <c r="H82" i="46"/>
  <c r="G82" i="46"/>
  <c r="F82" i="46"/>
  <c r="E82" i="46"/>
  <c r="D82" i="46"/>
  <c r="C82" i="46"/>
  <c r="B82" i="46"/>
  <c r="AN81" i="46"/>
  <c r="AH81" i="46"/>
  <c r="AN80" i="46"/>
  <c r="AH80" i="46" s="1"/>
  <c r="AN79" i="46"/>
  <c r="AH79" i="46"/>
  <c r="AH86" i="46" s="1"/>
  <c r="BJ77" i="46"/>
  <c r="AH76" i="46"/>
  <c r="AH75" i="46"/>
  <c r="BJ73" i="46"/>
  <c r="AH72" i="46"/>
  <c r="AH71" i="46"/>
  <c r="AH73" i="46" s="1"/>
  <c r="BH61" i="46"/>
  <c r="AJ61" i="46"/>
  <c r="R61" i="46"/>
  <c r="BO61" i="46" s="1"/>
  <c r="P61" i="46"/>
  <c r="BN61" i="46" s="1"/>
  <c r="N61" i="46"/>
  <c r="M61" i="46"/>
  <c r="L61" i="46"/>
  <c r="J61" i="46"/>
  <c r="J65" i="46" s="1"/>
  <c r="H61" i="46"/>
  <c r="BJ61" i="46" s="1"/>
  <c r="F61" i="46"/>
  <c r="BI61" i="46" s="1"/>
  <c r="D61" i="46"/>
  <c r="BX60" i="46"/>
  <c r="BS60" i="46"/>
  <c r="BV60" i="46" s="1"/>
  <c r="BN60" i="46"/>
  <c r="BH60" i="46"/>
  <c r="AJ60" i="46"/>
  <c r="R60" i="46"/>
  <c r="BO60" i="46" s="1"/>
  <c r="P60" i="46"/>
  <c r="N60" i="46"/>
  <c r="M60" i="46"/>
  <c r="L60" i="46"/>
  <c r="J60" i="46"/>
  <c r="BK60" i="46" s="1"/>
  <c r="H60" i="46"/>
  <c r="BJ60" i="46" s="1"/>
  <c r="F60" i="46"/>
  <c r="BI60" i="46" s="1"/>
  <c r="D60" i="46"/>
  <c r="BS59" i="46"/>
  <c r="BV59" i="46" s="1"/>
  <c r="BX59" i="46" s="1"/>
  <c r="BN59" i="46"/>
  <c r="BH59" i="46"/>
  <c r="AJ59" i="46"/>
  <c r="R59" i="46"/>
  <c r="BO59" i="46" s="1"/>
  <c r="P59" i="46"/>
  <c r="N59" i="46"/>
  <c r="M59" i="46"/>
  <c r="L59" i="46"/>
  <c r="J59" i="46"/>
  <c r="BK59" i="46" s="1"/>
  <c r="H59" i="46"/>
  <c r="BJ59" i="46" s="1"/>
  <c r="F59" i="46"/>
  <c r="BI59" i="46" s="1"/>
  <c r="D59" i="46"/>
  <c r="BS58" i="46"/>
  <c r="BV58" i="46" s="1"/>
  <c r="BX58" i="46" s="1"/>
  <c r="BK58" i="46"/>
  <c r="BH58" i="46"/>
  <c r="AJ58" i="46"/>
  <c r="Q58" i="46"/>
  <c r="R58" i="46" s="1"/>
  <c r="BO58" i="46" s="1"/>
  <c r="P58" i="46"/>
  <c r="BN58" i="46" s="1"/>
  <c r="O58" i="46"/>
  <c r="M58" i="46"/>
  <c r="N58" i="46" s="1"/>
  <c r="L58" i="46"/>
  <c r="J58" i="46"/>
  <c r="H58" i="46"/>
  <c r="BJ58" i="46" s="1"/>
  <c r="F58" i="46"/>
  <c r="BI58" i="46" s="1"/>
  <c r="D58" i="46"/>
  <c r="BV57" i="46"/>
  <c r="BX57" i="46" s="1"/>
  <c r="BS57" i="46"/>
  <c r="BJ57" i="46"/>
  <c r="R57" i="46"/>
  <c r="BO57" i="46" s="1"/>
  <c r="Q57" i="46"/>
  <c r="O57" i="46"/>
  <c r="M57" i="46"/>
  <c r="J57" i="46"/>
  <c r="H57" i="46"/>
  <c r="B57" i="46"/>
  <c r="BX56" i="46"/>
  <c r="BS56" i="46"/>
  <c r="BV56" i="46" s="1"/>
  <c r="BN56" i="46"/>
  <c r="BI56" i="46"/>
  <c r="AJ56" i="46"/>
  <c r="Q56" i="46"/>
  <c r="R56" i="46" s="1"/>
  <c r="P56" i="46"/>
  <c r="O56" i="46"/>
  <c r="N56" i="46"/>
  <c r="L56" i="46"/>
  <c r="J56" i="46"/>
  <c r="BK56" i="46" s="1"/>
  <c r="H56" i="46"/>
  <c r="F56" i="46"/>
  <c r="D56" i="46"/>
  <c r="BO55" i="46"/>
  <c r="BN55" i="46"/>
  <c r="BK55" i="46"/>
  <c r="BJ55" i="46"/>
  <c r="BI55" i="46"/>
  <c r="BH55" i="46"/>
  <c r="AJ55" i="46"/>
  <c r="R55" i="46"/>
  <c r="P55" i="46"/>
  <c r="N55" i="46"/>
  <c r="L55" i="46"/>
  <c r="J55" i="46"/>
  <c r="H55" i="46"/>
  <c r="F55" i="46"/>
  <c r="D55" i="46"/>
  <c r="BO54" i="46"/>
  <c r="BN54" i="46"/>
  <c r="BK54" i="46"/>
  <c r="BJ54" i="46"/>
  <c r="BI54" i="46"/>
  <c r="BH54" i="46"/>
  <c r="AJ54" i="46"/>
  <c r="R54" i="46"/>
  <c r="P54" i="46"/>
  <c r="N54" i="46"/>
  <c r="L54" i="46"/>
  <c r="J54" i="46"/>
  <c r="H54" i="46"/>
  <c r="F54" i="46"/>
  <c r="D54" i="46"/>
  <c r="BN53" i="46"/>
  <c r="BI53" i="46"/>
  <c r="BH53" i="46"/>
  <c r="AJ53" i="46"/>
  <c r="Q53" i="46"/>
  <c r="R53" i="46" s="1"/>
  <c r="BO53" i="46" s="1"/>
  <c r="P53" i="46"/>
  <c r="O53" i="46"/>
  <c r="N53" i="46"/>
  <c r="L53" i="46"/>
  <c r="J53" i="46"/>
  <c r="BK53" i="46" s="1"/>
  <c r="H53" i="46"/>
  <c r="BJ53" i="46" s="1"/>
  <c r="F53" i="46"/>
  <c r="D53" i="46"/>
  <c r="BX52" i="46"/>
  <c r="BW52" i="46"/>
  <c r="BV52" i="46"/>
  <c r="BT52" i="46"/>
  <c r="BS52" i="46"/>
  <c r="Q52" i="46"/>
  <c r="O52" i="46"/>
  <c r="M52" i="46"/>
  <c r="J52" i="46"/>
  <c r="J64" i="46" s="1"/>
  <c r="H52" i="46"/>
  <c r="B52" i="46"/>
  <c r="Q49" i="46"/>
  <c r="O49" i="46"/>
  <c r="M49" i="46"/>
  <c r="K49" i="46"/>
  <c r="I49" i="46"/>
  <c r="G49" i="46"/>
  <c r="E49" i="46"/>
  <c r="C49" i="46"/>
  <c r="B49" i="46"/>
  <c r="B48" i="46"/>
  <c r="B47" i="46"/>
  <c r="AC43" i="46"/>
  <c r="AD41" i="46"/>
  <c r="D38" i="46"/>
  <c r="D37" i="46"/>
  <c r="D35" i="46"/>
  <c r="D32" i="46"/>
  <c r="D27" i="46"/>
  <c r="C27" i="46"/>
  <c r="W26" i="46"/>
  <c r="T26" i="46"/>
  <c r="BN19" i="46" s="1"/>
  <c r="Q26" i="46"/>
  <c r="Q18" i="46" s="1"/>
  <c r="N26" i="46"/>
  <c r="N15" i="46" s="1"/>
  <c r="K26" i="46"/>
  <c r="BL18" i="46" s="1"/>
  <c r="B26" i="46"/>
  <c r="BH18" i="46" s="1"/>
  <c r="Y22" i="46"/>
  <c r="V22" i="46"/>
  <c r="M22" i="46"/>
  <c r="I22" i="46"/>
  <c r="I24" i="46" s="1"/>
  <c r="G22" i="46"/>
  <c r="D22" i="46"/>
  <c r="Y20" i="46"/>
  <c r="X20" i="46"/>
  <c r="U20" i="46"/>
  <c r="S20" i="46"/>
  <c r="R20" i="46"/>
  <c r="P20" i="46"/>
  <c r="O20" i="46"/>
  <c r="L20" i="46"/>
  <c r="J20" i="46"/>
  <c r="I20" i="46"/>
  <c r="F20" i="46"/>
  <c r="F22" i="46" s="1"/>
  <c r="F24" i="46" s="1"/>
  <c r="C20" i="46"/>
  <c r="BO19" i="46"/>
  <c r="W19" i="46"/>
  <c r="BO18" i="46"/>
  <c r="W18" i="46"/>
  <c r="BO17" i="46"/>
  <c r="BO16" i="46"/>
  <c r="W16" i="46"/>
  <c r="BO15" i="46"/>
  <c r="W15" i="46"/>
  <c r="BO14" i="46"/>
  <c r="W14" i="46"/>
  <c r="Y12" i="46"/>
  <c r="X12" i="46"/>
  <c r="U12" i="46"/>
  <c r="U22" i="46" s="1"/>
  <c r="U24" i="46" s="1"/>
  <c r="S12" i="46"/>
  <c r="R12" i="46"/>
  <c r="R22" i="46" s="1"/>
  <c r="P12" i="46"/>
  <c r="P22" i="46" s="1"/>
  <c r="O12" i="46"/>
  <c r="L12" i="46"/>
  <c r="L22" i="46" s="1"/>
  <c r="L24" i="46" s="1"/>
  <c r="J12" i="46"/>
  <c r="I12" i="46"/>
  <c r="F12" i="46"/>
  <c r="C12" i="46"/>
  <c r="C22" i="46" s="1"/>
  <c r="C24" i="46" s="1"/>
  <c r="BO11" i="46"/>
  <c r="W11" i="46"/>
  <c r="BO10" i="46"/>
  <c r="W10" i="46"/>
  <c r="BO9" i="46"/>
  <c r="W9" i="46"/>
  <c r="BO8" i="46"/>
  <c r="W8" i="46"/>
  <c r="BO7" i="46"/>
  <c r="W6" i="46"/>
  <c r="Y4" i="46"/>
  <c r="W4" i="46"/>
  <c r="V4" i="46"/>
  <c r="U4" i="46"/>
  <c r="T4" i="46"/>
  <c r="S4" i="46"/>
  <c r="Q4" i="46"/>
  <c r="P4" i="46"/>
  <c r="N4" i="46"/>
  <c r="M4" i="46"/>
  <c r="K4" i="46"/>
  <c r="J4" i="46"/>
  <c r="H4" i="46"/>
  <c r="G4" i="46"/>
  <c r="F4" i="46"/>
  <c r="E4" i="46"/>
  <c r="AO156" i="45"/>
  <c r="AN155" i="45" s="1"/>
  <c r="AH155" i="45" s="1"/>
  <c r="B149" i="45"/>
  <c r="AN148" i="45"/>
  <c r="B148" i="45"/>
  <c r="AO145" i="45"/>
  <c r="AN145" i="45"/>
  <c r="AH144" i="45"/>
  <c r="AH143" i="45"/>
  <c r="AH145" i="45" s="1"/>
  <c r="AO139" i="45"/>
  <c r="AN138" i="45"/>
  <c r="AH138" i="45" s="1"/>
  <c r="AN137" i="45"/>
  <c r="AH137" i="45" s="1"/>
  <c r="AN136" i="45"/>
  <c r="AH136" i="45" s="1"/>
  <c r="AN135" i="45"/>
  <c r="AH135" i="45" s="1"/>
  <c r="B135" i="45"/>
  <c r="AN134" i="45"/>
  <c r="AH134" i="45"/>
  <c r="B134" i="45"/>
  <c r="AN133" i="45"/>
  <c r="AH133" i="45" s="1"/>
  <c r="B133" i="45"/>
  <c r="AN132" i="45"/>
  <c r="AH132" i="45"/>
  <c r="AN131" i="45"/>
  <c r="AH131" i="45"/>
  <c r="AN130" i="45"/>
  <c r="AH130" i="45"/>
  <c r="F119" i="45"/>
  <c r="B118" i="45"/>
  <c r="F117" i="45"/>
  <c r="B117" i="45"/>
  <c r="F115" i="45"/>
  <c r="B115" i="45"/>
  <c r="BJ94" i="45"/>
  <c r="F92" i="45"/>
  <c r="D92" i="45"/>
  <c r="B92" i="45"/>
  <c r="D91" i="45"/>
  <c r="F91" i="45" s="1"/>
  <c r="F94" i="45" s="1"/>
  <c r="B91" i="45"/>
  <c r="F89" i="45"/>
  <c r="D89" i="45"/>
  <c r="F88" i="45"/>
  <c r="D88" i="45"/>
  <c r="AO86" i="45"/>
  <c r="AN82" i="45" s="1"/>
  <c r="AH82" i="45" s="1"/>
  <c r="D86" i="45"/>
  <c r="F86" i="45" s="1"/>
  <c r="D85" i="45"/>
  <c r="F85" i="45" s="1"/>
  <c r="H82" i="45"/>
  <c r="G82" i="45"/>
  <c r="F82" i="45"/>
  <c r="E82" i="45"/>
  <c r="D82" i="45"/>
  <c r="C82" i="45"/>
  <c r="B82" i="45"/>
  <c r="AN81" i="45"/>
  <c r="AH81" i="45" s="1"/>
  <c r="AN80" i="45"/>
  <c r="AH80" i="45" s="1"/>
  <c r="AN79" i="45"/>
  <c r="BJ77" i="45"/>
  <c r="AH76" i="45"/>
  <c r="AH75" i="45"/>
  <c r="BJ73" i="45"/>
  <c r="AH73" i="45"/>
  <c r="AH72" i="45"/>
  <c r="AH71" i="45"/>
  <c r="R65" i="45"/>
  <c r="BK61" i="45"/>
  <c r="BI61" i="45"/>
  <c r="AJ61" i="45"/>
  <c r="R61" i="45"/>
  <c r="BO61" i="45" s="1"/>
  <c r="P61" i="45"/>
  <c r="BN61" i="45" s="1"/>
  <c r="N61" i="45"/>
  <c r="M61" i="45"/>
  <c r="L61" i="45"/>
  <c r="J61" i="45"/>
  <c r="H61" i="45"/>
  <c r="BJ61" i="45" s="1"/>
  <c r="F61" i="45"/>
  <c r="D61" i="45"/>
  <c r="BS60" i="45"/>
  <c r="BV60" i="45" s="1"/>
  <c r="BX60" i="45" s="1"/>
  <c r="BK60" i="45"/>
  <c r="BI60" i="45"/>
  <c r="AJ60" i="45"/>
  <c r="R60" i="45"/>
  <c r="BO60" i="45" s="1"/>
  <c r="P60" i="45"/>
  <c r="BN60" i="45" s="1"/>
  <c r="N60" i="45"/>
  <c r="M60" i="45"/>
  <c r="L60" i="45"/>
  <c r="J60" i="45"/>
  <c r="H60" i="45"/>
  <c r="BJ60" i="45" s="1"/>
  <c r="F60" i="45"/>
  <c r="D60" i="45"/>
  <c r="BS59" i="45"/>
  <c r="BV59" i="45" s="1"/>
  <c r="BX59" i="45" s="1"/>
  <c r="BK59" i="45"/>
  <c r="BI59" i="45"/>
  <c r="AJ59" i="45"/>
  <c r="R59" i="45"/>
  <c r="BO59" i="45" s="1"/>
  <c r="P59" i="45"/>
  <c r="BN59" i="45" s="1"/>
  <c r="N59" i="45"/>
  <c r="M59" i="45"/>
  <c r="L59" i="45"/>
  <c r="J59" i="45"/>
  <c r="H59" i="45"/>
  <c r="BJ59" i="45" s="1"/>
  <c r="F59" i="45"/>
  <c r="D59" i="45"/>
  <c r="BS58" i="45"/>
  <c r="BV58" i="45" s="1"/>
  <c r="BX58" i="45" s="1"/>
  <c r="BK58" i="45"/>
  <c r="BI58" i="45"/>
  <c r="AJ58" i="45"/>
  <c r="R58" i="45"/>
  <c r="BO58" i="45" s="1"/>
  <c r="Q58" i="45"/>
  <c r="P58" i="45"/>
  <c r="BN58" i="45" s="1"/>
  <c r="O58" i="45"/>
  <c r="N58" i="45"/>
  <c r="M58" i="45"/>
  <c r="L58" i="45"/>
  <c r="J58" i="45"/>
  <c r="H58" i="45"/>
  <c r="BJ58" i="45" s="1"/>
  <c r="F58" i="45"/>
  <c r="D58" i="45"/>
  <c r="BV57" i="45"/>
  <c r="BX57" i="45" s="1"/>
  <c r="BS57" i="45"/>
  <c r="AJ57" i="45"/>
  <c r="R57" i="45"/>
  <c r="BO57" i="45" s="1"/>
  <c r="Q57" i="45"/>
  <c r="P57" i="45"/>
  <c r="O57" i="45"/>
  <c r="N57" i="45"/>
  <c r="M57" i="45"/>
  <c r="L57" i="45"/>
  <c r="H57" i="45"/>
  <c r="D57" i="45"/>
  <c r="B57" i="45"/>
  <c r="BN57" i="45" s="1"/>
  <c r="BX56" i="45"/>
  <c r="BS56" i="45"/>
  <c r="BV56" i="45" s="1"/>
  <c r="AJ56" i="45"/>
  <c r="Q56" i="45"/>
  <c r="R56" i="45" s="1"/>
  <c r="BO56" i="45" s="1"/>
  <c r="O56" i="45"/>
  <c r="P56" i="45" s="1"/>
  <c r="P65" i="45" s="1"/>
  <c r="N56" i="45"/>
  <c r="L56" i="45"/>
  <c r="L65" i="45" s="1"/>
  <c r="J56" i="45"/>
  <c r="BK56" i="45" s="1"/>
  <c r="H56" i="45"/>
  <c r="F56" i="45"/>
  <c r="D56" i="45"/>
  <c r="BO55" i="45"/>
  <c r="BN55" i="45"/>
  <c r="BK55" i="45"/>
  <c r="BJ55" i="45"/>
  <c r="BI55" i="45"/>
  <c r="BH55" i="45"/>
  <c r="AJ55" i="45"/>
  <c r="R55" i="45"/>
  <c r="P55" i="45"/>
  <c r="N55" i="45"/>
  <c r="L55" i="45"/>
  <c r="J55" i="45"/>
  <c r="H55" i="45"/>
  <c r="F55" i="45"/>
  <c r="D55" i="45"/>
  <c r="BO54" i="45"/>
  <c r="BN54" i="45"/>
  <c r="BK54" i="45"/>
  <c r="BJ54" i="45"/>
  <c r="BI54" i="45"/>
  <c r="BH54" i="45"/>
  <c r="AJ54" i="45"/>
  <c r="R54" i="45"/>
  <c r="P54" i="45"/>
  <c r="N54" i="45"/>
  <c r="L54" i="45"/>
  <c r="J54" i="45"/>
  <c r="H54" i="45"/>
  <c r="F54" i="45"/>
  <c r="D54" i="45"/>
  <c r="BH53" i="45"/>
  <c r="AJ53" i="45"/>
  <c r="Q53" i="45"/>
  <c r="R53" i="45" s="1"/>
  <c r="BO53" i="45" s="1"/>
  <c r="O53" i="45"/>
  <c r="P53" i="45" s="1"/>
  <c r="BN53" i="45" s="1"/>
  <c r="N53" i="45"/>
  <c r="L53" i="45"/>
  <c r="J53" i="45"/>
  <c r="BK53" i="45" s="1"/>
  <c r="H53" i="45"/>
  <c r="BJ53" i="45" s="1"/>
  <c r="F53" i="45"/>
  <c r="BI53" i="45" s="1"/>
  <c r="D53" i="45"/>
  <c r="BX52" i="45"/>
  <c r="BW52" i="45"/>
  <c r="BV52" i="45"/>
  <c r="BT52" i="45"/>
  <c r="BS52" i="45"/>
  <c r="Q52" i="45"/>
  <c r="O52" i="45"/>
  <c r="N52" i="45"/>
  <c r="N64" i="45" s="1"/>
  <c r="M52" i="45"/>
  <c r="H52" i="45"/>
  <c r="H64" i="45" s="1"/>
  <c r="Q49" i="45"/>
  <c r="O49" i="45"/>
  <c r="M49" i="45"/>
  <c r="K49" i="45"/>
  <c r="I49" i="45"/>
  <c r="G49" i="45"/>
  <c r="E49" i="45"/>
  <c r="C49" i="45"/>
  <c r="B49" i="45"/>
  <c r="B52" i="45" s="1"/>
  <c r="R52" i="45" s="1"/>
  <c r="R64" i="45" s="1"/>
  <c r="R66" i="45" s="1"/>
  <c r="B48" i="45"/>
  <c r="B47" i="45"/>
  <c r="AC43" i="45"/>
  <c r="AD41" i="45"/>
  <c r="D38" i="45"/>
  <c r="D37" i="45"/>
  <c r="D35" i="45"/>
  <c r="D33" i="45"/>
  <c r="D32" i="45"/>
  <c r="D27" i="45"/>
  <c r="C27" i="45"/>
  <c r="W26" i="45"/>
  <c r="T26" i="45"/>
  <c r="BN10" i="45" s="1"/>
  <c r="Q26" i="45"/>
  <c r="N26" i="45"/>
  <c r="N19" i="45" s="1"/>
  <c r="K26" i="45"/>
  <c r="BK19" i="45" s="1"/>
  <c r="E26" i="45"/>
  <c r="BI7" i="45" s="1"/>
  <c r="B26" i="45"/>
  <c r="BH17" i="45" s="1"/>
  <c r="V22" i="45"/>
  <c r="S22" i="45"/>
  <c r="O22" i="45"/>
  <c r="M22" i="45"/>
  <c r="G22" i="45"/>
  <c r="D22" i="45"/>
  <c r="C22" i="45"/>
  <c r="C24" i="45" s="1"/>
  <c r="Y20" i="45"/>
  <c r="X20" i="45"/>
  <c r="U20" i="45"/>
  <c r="S20" i="45"/>
  <c r="R20" i="45"/>
  <c r="P20" i="45"/>
  <c r="O20" i="45"/>
  <c r="L20" i="45"/>
  <c r="J20" i="45"/>
  <c r="I20" i="45"/>
  <c r="F20" i="45"/>
  <c r="C20" i="45"/>
  <c r="BO19" i="45"/>
  <c r="W19" i="45"/>
  <c r="BO18" i="45"/>
  <c r="W18" i="45"/>
  <c r="BO17" i="45"/>
  <c r="BO16" i="45"/>
  <c r="W16" i="45"/>
  <c r="BO15" i="45"/>
  <c r="W15" i="45"/>
  <c r="BO14" i="45"/>
  <c r="W14" i="45"/>
  <c r="Y12" i="45"/>
  <c r="Y22" i="45" s="1"/>
  <c r="X12" i="45"/>
  <c r="X22" i="45" s="1"/>
  <c r="U12" i="45"/>
  <c r="U22" i="45" s="1"/>
  <c r="U24" i="45" s="1"/>
  <c r="S12" i="45"/>
  <c r="R12" i="45"/>
  <c r="R22" i="45" s="1"/>
  <c r="P12" i="45"/>
  <c r="P22" i="45" s="1"/>
  <c r="O12" i="45"/>
  <c r="L12" i="45"/>
  <c r="L22" i="45" s="1"/>
  <c r="L24" i="45" s="1"/>
  <c r="J12" i="45"/>
  <c r="J22" i="45" s="1"/>
  <c r="I12" i="45"/>
  <c r="I22" i="45" s="1"/>
  <c r="I24" i="45" s="1"/>
  <c r="F12" i="45"/>
  <c r="F22" i="45" s="1"/>
  <c r="F24" i="45" s="1"/>
  <c r="C12" i="45"/>
  <c r="BO11" i="45"/>
  <c r="W11" i="45"/>
  <c r="BO10" i="45"/>
  <c r="W10" i="45"/>
  <c r="BO9" i="45"/>
  <c r="W9" i="45"/>
  <c r="BO8" i="45"/>
  <c r="W8" i="45"/>
  <c r="BO7" i="45"/>
  <c r="W6" i="45"/>
  <c r="Y4" i="45"/>
  <c r="W4" i="45"/>
  <c r="V4" i="45"/>
  <c r="U4" i="45"/>
  <c r="T4" i="45"/>
  <c r="S4" i="45"/>
  <c r="Q4" i="45"/>
  <c r="P4" i="45"/>
  <c r="N4" i="45"/>
  <c r="M4" i="45"/>
  <c r="K4" i="45"/>
  <c r="J4" i="45"/>
  <c r="H4" i="45"/>
  <c r="G4" i="45"/>
  <c r="F4" i="45"/>
  <c r="E4" i="45"/>
  <c r="AO156" i="44"/>
  <c r="AN155" i="44" s="1"/>
  <c r="AH155" i="44" s="1"/>
  <c r="AN152" i="44"/>
  <c r="AH152" i="44"/>
  <c r="AN150" i="44"/>
  <c r="AH150" i="44"/>
  <c r="AN149" i="44"/>
  <c r="AH149" i="44"/>
  <c r="B149" i="44"/>
  <c r="AN148" i="44"/>
  <c r="B148" i="44"/>
  <c r="AO145" i="44"/>
  <c r="AN145" i="44"/>
  <c r="AH144" i="44"/>
  <c r="AH143" i="44"/>
  <c r="AH145" i="44" s="1"/>
  <c r="AO139" i="44"/>
  <c r="AN138" i="44"/>
  <c r="AH138" i="44" s="1"/>
  <c r="AN137" i="44"/>
  <c r="AH137" i="44" s="1"/>
  <c r="AN136" i="44"/>
  <c r="AH136" i="44" s="1"/>
  <c r="AN135" i="44"/>
  <c r="AH135" i="44" s="1"/>
  <c r="B135" i="44"/>
  <c r="AN134" i="44"/>
  <c r="AH134" i="44"/>
  <c r="B134" i="44"/>
  <c r="AN133" i="44"/>
  <c r="AH133" i="44" s="1"/>
  <c r="B133" i="44"/>
  <c r="AN132" i="44"/>
  <c r="AH132" i="44"/>
  <c r="AN131" i="44"/>
  <c r="AH131" i="44"/>
  <c r="AN130" i="44"/>
  <c r="AH130" i="44"/>
  <c r="F119" i="44"/>
  <c r="B118" i="44"/>
  <c r="F117" i="44"/>
  <c r="B117" i="44"/>
  <c r="F115" i="44"/>
  <c r="B115" i="44"/>
  <c r="BJ94" i="44"/>
  <c r="F92" i="44"/>
  <c r="D92" i="44"/>
  <c r="B92" i="44"/>
  <c r="D91" i="44"/>
  <c r="F91" i="44" s="1"/>
  <c r="F94" i="44" s="1"/>
  <c r="B91" i="44"/>
  <c r="F89" i="44"/>
  <c r="D89" i="44"/>
  <c r="F88" i="44"/>
  <c r="D88" i="44"/>
  <c r="AO86" i="44"/>
  <c r="AN82" i="44" s="1"/>
  <c r="AH82" i="44" s="1"/>
  <c r="D86" i="44"/>
  <c r="F86" i="44" s="1"/>
  <c r="D85" i="44"/>
  <c r="F85" i="44" s="1"/>
  <c r="H82" i="44"/>
  <c r="G82" i="44"/>
  <c r="F82" i="44"/>
  <c r="E82" i="44"/>
  <c r="D82" i="44"/>
  <c r="C82" i="44"/>
  <c r="B82" i="44"/>
  <c r="AN81" i="44"/>
  <c r="AH81" i="44" s="1"/>
  <c r="AN80" i="44"/>
  <c r="AH80" i="44" s="1"/>
  <c r="AN79" i="44"/>
  <c r="BJ77" i="44"/>
  <c r="AH76" i="44"/>
  <c r="AH75" i="44"/>
  <c r="BJ73" i="44"/>
  <c r="AH73" i="44"/>
  <c r="AH72" i="44"/>
  <c r="AH71" i="44"/>
  <c r="BK61" i="44"/>
  <c r="BI61" i="44"/>
  <c r="AJ61" i="44"/>
  <c r="R61" i="44"/>
  <c r="BO61" i="44" s="1"/>
  <c r="P61" i="44"/>
  <c r="BN61" i="44" s="1"/>
  <c r="N61" i="44"/>
  <c r="M61" i="44"/>
  <c r="L61" i="44"/>
  <c r="J61" i="44"/>
  <c r="H61" i="44"/>
  <c r="BJ61" i="44" s="1"/>
  <c r="F61" i="44"/>
  <c r="D61" i="44"/>
  <c r="BS60" i="44"/>
  <c r="BV60" i="44" s="1"/>
  <c r="BX60" i="44" s="1"/>
  <c r="BK60" i="44"/>
  <c r="BI60" i="44"/>
  <c r="AJ60" i="44"/>
  <c r="R60" i="44"/>
  <c r="BO60" i="44" s="1"/>
  <c r="P60" i="44"/>
  <c r="BN60" i="44" s="1"/>
  <c r="N60" i="44"/>
  <c r="M60" i="44"/>
  <c r="L60" i="44"/>
  <c r="J60" i="44"/>
  <c r="H60" i="44"/>
  <c r="BJ60" i="44" s="1"/>
  <c r="F60" i="44"/>
  <c r="D60" i="44"/>
  <c r="BS59" i="44"/>
  <c r="BV59" i="44" s="1"/>
  <c r="BX59" i="44" s="1"/>
  <c r="BK59" i="44"/>
  <c r="BI59" i="44"/>
  <c r="AJ59" i="44"/>
  <c r="R59" i="44"/>
  <c r="BO59" i="44" s="1"/>
  <c r="P59" i="44"/>
  <c r="BN59" i="44" s="1"/>
  <c r="N59" i="44"/>
  <c r="M59" i="44"/>
  <c r="L59" i="44"/>
  <c r="J59" i="44"/>
  <c r="H59" i="44"/>
  <c r="BJ59" i="44" s="1"/>
  <c r="F59" i="44"/>
  <c r="D59" i="44"/>
  <c r="BS58" i="44"/>
  <c r="BV58" i="44" s="1"/>
  <c r="BX58" i="44" s="1"/>
  <c r="BK58" i="44"/>
  <c r="BI58" i="44"/>
  <c r="AJ58" i="44"/>
  <c r="R58" i="44"/>
  <c r="BO58" i="44" s="1"/>
  <c r="Q58" i="44"/>
  <c r="P58" i="44"/>
  <c r="BN58" i="44" s="1"/>
  <c r="O58" i="44"/>
  <c r="N58" i="44"/>
  <c r="M58" i="44"/>
  <c r="L58" i="44"/>
  <c r="J58" i="44"/>
  <c r="H58" i="44"/>
  <c r="BJ58" i="44" s="1"/>
  <c r="F58" i="44"/>
  <c r="D58" i="44"/>
  <c r="BS57" i="44"/>
  <c r="BV57" i="44" s="1"/>
  <c r="BX57" i="44" s="1"/>
  <c r="BO57" i="44"/>
  <c r="AJ57" i="44"/>
  <c r="R57" i="44"/>
  <c r="Q57" i="44"/>
  <c r="P57" i="44"/>
  <c r="O57" i="44"/>
  <c r="N57" i="44"/>
  <c r="M57" i="44"/>
  <c r="L57" i="44"/>
  <c r="H57" i="44"/>
  <c r="D57" i="44"/>
  <c r="B57" i="44"/>
  <c r="BN57" i="44" s="1"/>
  <c r="BS56" i="44"/>
  <c r="BV56" i="44" s="1"/>
  <c r="BX56" i="44" s="1"/>
  <c r="BH56" i="44"/>
  <c r="AJ56" i="44"/>
  <c r="Q56" i="44"/>
  <c r="R56" i="44" s="1"/>
  <c r="BO56" i="44" s="1"/>
  <c r="O56" i="44"/>
  <c r="P56" i="44" s="1"/>
  <c r="P65" i="44" s="1"/>
  <c r="N56" i="44"/>
  <c r="N65" i="44" s="1"/>
  <c r="L56" i="44"/>
  <c r="L65" i="44" s="1"/>
  <c r="J56" i="44"/>
  <c r="BK56" i="44" s="1"/>
  <c r="H56" i="44"/>
  <c r="F56" i="44"/>
  <c r="D56" i="44"/>
  <c r="BO55" i="44"/>
  <c r="BN55" i="44"/>
  <c r="BK55" i="44"/>
  <c r="BJ55" i="44"/>
  <c r="BI55" i="44"/>
  <c r="BH55" i="44"/>
  <c r="AJ55" i="44"/>
  <c r="R55" i="44"/>
  <c r="P55" i="44"/>
  <c r="N55" i="44"/>
  <c r="L55" i="44"/>
  <c r="J55" i="44"/>
  <c r="H55" i="44"/>
  <c r="F55" i="44"/>
  <c r="D55" i="44"/>
  <c r="BO54" i="44"/>
  <c r="BN54" i="44"/>
  <c r="BK54" i="44"/>
  <c r="BJ54" i="44"/>
  <c r="BI54" i="44"/>
  <c r="BH54" i="44"/>
  <c r="AJ54" i="44"/>
  <c r="R54" i="44"/>
  <c r="P54" i="44"/>
  <c r="N54" i="44"/>
  <c r="L54" i="44"/>
  <c r="J54" i="44"/>
  <c r="H54" i="44"/>
  <c r="F54" i="44"/>
  <c r="D54" i="44"/>
  <c r="AJ53" i="44"/>
  <c r="Q53" i="44"/>
  <c r="R53" i="44" s="1"/>
  <c r="BO53" i="44" s="1"/>
  <c r="O53" i="44"/>
  <c r="P53" i="44" s="1"/>
  <c r="BN53" i="44" s="1"/>
  <c r="N53" i="44"/>
  <c r="L53" i="44"/>
  <c r="J53" i="44"/>
  <c r="BK53" i="44" s="1"/>
  <c r="H53" i="44"/>
  <c r="BJ53" i="44" s="1"/>
  <c r="F53" i="44"/>
  <c r="BI53" i="44" s="1"/>
  <c r="D53" i="44"/>
  <c r="BX52" i="44"/>
  <c r="BW52" i="44"/>
  <c r="BV52" i="44"/>
  <c r="BT52" i="44"/>
  <c r="BS52" i="44"/>
  <c r="Q52" i="44"/>
  <c r="O52" i="44"/>
  <c r="M52" i="44"/>
  <c r="Q49" i="44"/>
  <c r="O49" i="44"/>
  <c r="M49" i="44"/>
  <c r="K49" i="44"/>
  <c r="I49" i="44"/>
  <c r="G49" i="44"/>
  <c r="E49" i="44"/>
  <c r="C49" i="44"/>
  <c r="B49" i="44"/>
  <c r="B52" i="44" s="1"/>
  <c r="B48" i="44"/>
  <c r="B47" i="44"/>
  <c r="AC43" i="44"/>
  <c r="AD41" i="44"/>
  <c r="B41" i="44"/>
  <c r="C40" i="44" s="1"/>
  <c r="D38" i="44"/>
  <c r="D37" i="44"/>
  <c r="D35" i="44"/>
  <c r="D34" i="44"/>
  <c r="D33" i="44"/>
  <c r="D27" i="44"/>
  <c r="C27" i="44"/>
  <c r="W26" i="44"/>
  <c r="T26" i="44"/>
  <c r="Q26" i="44"/>
  <c r="Q10" i="44" s="1"/>
  <c r="N26" i="44"/>
  <c r="N18" i="44" s="1"/>
  <c r="K26" i="44"/>
  <c r="H26" i="44"/>
  <c r="BJ15" i="44" s="1"/>
  <c r="E26" i="44"/>
  <c r="BI17" i="44" s="1"/>
  <c r="B26" i="44"/>
  <c r="BH19" i="44" s="1"/>
  <c r="V22" i="44"/>
  <c r="M22" i="44"/>
  <c r="G22" i="44"/>
  <c r="D22" i="44"/>
  <c r="Y20" i="44"/>
  <c r="Y22" i="44" s="1"/>
  <c r="X20" i="44"/>
  <c r="U20" i="44"/>
  <c r="S20" i="44"/>
  <c r="R20" i="44"/>
  <c r="R22" i="44" s="1"/>
  <c r="P20" i="44"/>
  <c r="P22" i="44" s="1"/>
  <c r="O20" i="44"/>
  <c r="L20" i="44"/>
  <c r="J20" i="44"/>
  <c r="I20" i="44"/>
  <c r="F20" i="44"/>
  <c r="F22" i="44" s="1"/>
  <c r="F24" i="44" s="1"/>
  <c r="C20" i="44"/>
  <c r="BO19" i="44"/>
  <c r="BN19" i="44"/>
  <c r="W19" i="44"/>
  <c r="BO18" i="44"/>
  <c r="W18" i="44"/>
  <c r="BO17" i="44"/>
  <c r="BO16" i="44"/>
  <c r="W16" i="44"/>
  <c r="BO15" i="44"/>
  <c r="W15" i="44"/>
  <c r="BO14" i="44"/>
  <c r="W14" i="44"/>
  <c r="Y12" i="44"/>
  <c r="X12" i="44"/>
  <c r="X22" i="44" s="1"/>
  <c r="U12" i="44"/>
  <c r="U22" i="44" s="1"/>
  <c r="U24" i="44" s="1"/>
  <c r="S12" i="44"/>
  <c r="S22" i="44" s="1"/>
  <c r="R12" i="44"/>
  <c r="P12" i="44"/>
  <c r="O12" i="44"/>
  <c r="O22" i="44" s="1"/>
  <c r="L12" i="44"/>
  <c r="L22" i="44" s="1"/>
  <c r="L24" i="44" s="1"/>
  <c r="J12" i="44"/>
  <c r="J22" i="44" s="1"/>
  <c r="I12" i="44"/>
  <c r="I22" i="44" s="1"/>
  <c r="I24" i="44" s="1"/>
  <c r="F12" i="44"/>
  <c r="C12" i="44"/>
  <c r="C22" i="44" s="1"/>
  <c r="C24" i="44" s="1"/>
  <c r="BO11" i="44"/>
  <c r="W11" i="44"/>
  <c r="BO10" i="44"/>
  <c r="W10" i="44"/>
  <c r="BO9" i="44"/>
  <c r="W9" i="44"/>
  <c r="BO8" i="44"/>
  <c r="W8" i="44"/>
  <c r="BO7" i="44"/>
  <c r="W6" i="44"/>
  <c r="Y4" i="44"/>
  <c r="W4" i="44"/>
  <c r="V4" i="44"/>
  <c r="U4" i="44"/>
  <c r="T4" i="44"/>
  <c r="S4" i="44"/>
  <c r="Q4" i="44"/>
  <c r="P4" i="44"/>
  <c r="N4" i="44"/>
  <c r="M4" i="44"/>
  <c r="K4" i="44"/>
  <c r="J4" i="44"/>
  <c r="H4" i="44"/>
  <c r="G4" i="44"/>
  <c r="F4" i="44"/>
  <c r="E4" i="44"/>
  <c r="AO156" i="43"/>
  <c r="AN155" i="43" s="1"/>
  <c r="AH155" i="43" s="1"/>
  <c r="AN152" i="43"/>
  <c r="AH152" i="43"/>
  <c r="AN150" i="43"/>
  <c r="AH150" i="43"/>
  <c r="AN149" i="43"/>
  <c r="AH149" i="43"/>
  <c r="B149" i="43"/>
  <c r="AN148" i="43"/>
  <c r="B148" i="43"/>
  <c r="AO145" i="43"/>
  <c r="AN145" i="43"/>
  <c r="AH144" i="43"/>
  <c r="AH143" i="43"/>
  <c r="AH145" i="43" s="1"/>
  <c r="AO139" i="43"/>
  <c r="AN132" i="43" s="1"/>
  <c r="AH132" i="43" s="1"/>
  <c r="AN138" i="43"/>
  <c r="AH138" i="43" s="1"/>
  <c r="AN137" i="43"/>
  <c r="AH137" i="43" s="1"/>
  <c r="AN136" i="43"/>
  <c r="AH136" i="43" s="1"/>
  <c r="AN135" i="43"/>
  <c r="AH135" i="43" s="1"/>
  <c r="B135" i="43"/>
  <c r="AN134" i="43"/>
  <c r="AH134" i="43"/>
  <c r="B134" i="43"/>
  <c r="AN133" i="43"/>
  <c r="AH133" i="43" s="1"/>
  <c r="B133" i="43"/>
  <c r="AN131" i="43"/>
  <c r="AH131" i="43"/>
  <c r="AN130" i="43"/>
  <c r="AH130" i="43"/>
  <c r="AH139" i="43" s="1"/>
  <c r="F119" i="43"/>
  <c r="B118" i="43"/>
  <c r="F117" i="43"/>
  <c r="B117" i="43"/>
  <c r="B120" i="43" s="1"/>
  <c r="F115" i="43"/>
  <c r="B115" i="43"/>
  <c r="BJ94" i="43"/>
  <c r="F92" i="43"/>
  <c r="D92" i="43"/>
  <c r="B92" i="43"/>
  <c r="D91" i="43"/>
  <c r="F91" i="43" s="1"/>
  <c r="F94" i="43" s="1"/>
  <c r="B91" i="43"/>
  <c r="F89" i="43"/>
  <c r="D89" i="43"/>
  <c r="F88" i="43"/>
  <c r="D88" i="43"/>
  <c r="AO86" i="43"/>
  <c r="AN82" i="43" s="1"/>
  <c r="AH82" i="43" s="1"/>
  <c r="D86" i="43"/>
  <c r="F86" i="43" s="1"/>
  <c r="D85" i="43"/>
  <c r="F85" i="43" s="1"/>
  <c r="H82" i="43"/>
  <c r="G82" i="43"/>
  <c r="F82" i="43"/>
  <c r="E82" i="43"/>
  <c r="D82" i="43"/>
  <c r="C82" i="43"/>
  <c r="B82" i="43"/>
  <c r="AN81" i="43"/>
  <c r="AH81" i="43" s="1"/>
  <c r="AN80" i="43"/>
  <c r="AH80" i="43" s="1"/>
  <c r="AN79" i="43"/>
  <c r="BJ77" i="43"/>
  <c r="AH76" i="43"/>
  <c r="AH75" i="43"/>
  <c r="BJ73" i="43"/>
  <c r="AH73" i="43"/>
  <c r="AH72" i="43"/>
  <c r="AH71" i="43"/>
  <c r="BK61" i="43"/>
  <c r="BI61" i="43"/>
  <c r="AJ61" i="43"/>
  <c r="R61" i="43"/>
  <c r="BO61" i="43" s="1"/>
  <c r="P61" i="43"/>
  <c r="BN61" i="43" s="1"/>
  <c r="N61" i="43"/>
  <c r="M61" i="43"/>
  <c r="L61" i="43"/>
  <c r="J61" i="43"/>
  <c r="H61" i="43"/>
  <c r="BJ61" i="43" s="1"/>
  <c r="F61" i="43"/>
  <c r="D61" i="43"/>
  <c r="BS60" i="43"/>
  <c r="BV60" i="43" s="1"/>
  <c r="BX60" i="43" s="1"/>
  <c r="BK60" i="43"/>
  <c r="BI60" i="43"/>
  <c r="AJ60" i="43"/>
  <c r="R60" i="43"/>
  <c r="BO60" i="43" s="1"/>
  <c r="P60" i="43"/>
  <c r="BN60" i="43" s="1"/>
  <c r="N60" i="43"/>
  <c r="M60" i="43"/>
  <c r="L60" i="43"/>
  <c r="J60" i="43"/>
  <c r="H60" i="43"/>
  <c r="BJ60" i="43" s="1"/>
  <c r="F60" i="43"/>
  <c r="D60" i="43"/>
  <c r="BS59" i="43"/>
  <c r="BV59" i="43" s="1"/>
  <c r="BX59" i="43" s="1"/>
  <c r="BK59" i="43"/>
  <c r="BI59" i="43"/>
  <c r="AJ59" i="43"/>
  <c r="R59" i="43"/>
  <c r="BO59" i="43" s="1"/>
  <c r="P59" i="43"/>
  <c r="BN59" i="43" s="1"/>
  <c r="N59" i="43"/>
  <c r="M59" i="43"/>
  <c r="L59" i="43"/>
  <c r="J59" i="43"/>
  <c r="H59" i="43"/>
  <c r="BJ59" i="43" s="1"/>
  <c r="F59" i="43"/>
  <c r="D59" i="43"/>
  <c r="BS58" i="43"/>
  <c r="BV58" i="43" s="1"/>
  <c r="BX58" i="43" s="1"/>
  <c r="BK58" i="43"/>
  <c r="BI58" i="43"/>
  <c r="AJ58" i="43"/>
  <c r="R58" i="43"/>
  <c r="BO58" i="43" s="1"/>
  <c r="Q58" i="43"/>
  <c r="P58" i="43"/>
  <c r="BN58" i="43" s="1"/>
  <c r="O58" i="43"/>
  <c r="N58" i="43"/>
  <c r="M58" i="43"/>
  <c r="L58" i="43"/>
  <c r="J58" i="43"/>
  <c r="H58" i="43"/>
  <c r="BJ58" i="43" s="1"/>
  <c r="F58" i="43"/>
  <c r="D58" i="43"/>
  <c r="BS57" i="43"/>
  <c r="BV57" i="43" s="1"/>
  <c r="BX57" i="43" s="1"/>
  <c r="BO57" i="43"/>
  <c r="AJ57" i="43"/>
  <c r="R57" i="43"/>
  <c r="Q57" i="43"/>
  <c r="P57" i="43"/>
  <c r="O57" i="43"/>
  <c r="N57" i="43"/>
  <c r="M57" i="43"/>
  <c r="L57" i="43"/>
  <c r="H57" i="43"/>
  <c r="D57" i="43"/>
  <c r="B57" i="43"/>
  <c r="BN57" i="43" s="1"/>
  <c r="BS56" i="43"/>
  <c r="BV56" i="43" s="1"/>
  <c r="BX56" i="43" s="1"/>
  <c r="BH56" i="43"/>
  <c r="AJ56" i="43"/>
  <c r="Q56" i="43"/>
  <c r="R56" i="43" s="1"/>
  <c r="BO56" i="43" s="1"/>
  <c r="O56" i="43"/>
  <c r="P56" i="43" s="1"/>
  <c r="P65" i="43" s="1"/>
  <c r="N56" i="43"/>
  <c r="N65" i="43" s="1"/>
  <c r="L56" i="43"/>
  <c r="L65" i="43" s="1"/>
  <c r="J56" i="43"/>
  <c r="BK56" i="43" s="1"/>
  <c r="H56" i="43"/>
  <c r="F56" i="43"/>
  <c r="D56" i="43"/>
  <c r="BO55" i="43"/>
  <c r="BN55" i="43"/>
  <c r="BK55" i="43"/>
  <c r="BJ55" i="43"/>
  <c r="BI55" i="43"/>
  <c r="BH55" i="43"/>
  <c r="AJ55" i="43"/>
  <c r="R55" i="43"/>
  <c r="P55" i="43"/>
  <c r="N55" i="43"/>
  <c r="L55" i="43"/>
  <c r="J55" i="43"/>
  <c r="H55" i="43"/>
  <c r="F55" i="43"/>
  <c r="D55" i="43"/>
  <c r="BO54" i="43"/>
  <c r="BN54" i="43"/>
  <c r="BK54" i="43"/>
  <c r="BJ54" i="43"/>
  <c r="BI54" i="43"/>
  <c r="BH54" i="43"/>
  <c r="AJ54" i="43"/>
  <c r="R54" i="43"/>
  <c r="P54" i="43"/>
  <c r="N54" i="43"/>
  <c r="L54" i="43"/>
  <c r="J54" i="43"/>
  <c r="H54" i="43"/>
  <c r="F54" i="43"/>
  <c r="D54" i="43"/>
  <c r="AJ53" i="43"/>
  <c r="Q53" i="43"/>
  <c r="R53" i="43" s="1"/>
  <c r="BO53" i="43" s="1"/>
  <c r="O53" i="43"/>
  <c r="P53" i="43" s="1"/>
  <c r="BN53" i="43" s="1"/>
  <c r="N53" i="43"/>
  <c r="L53" i="43"/>
  <c r="J53" i="43"/>
  <c r="BK53" i="43" s="1"/>
  <c r="H53" i="43"/>
  <c r="BJ53" i="43" s="1"/>
  <c r="F53" i="43"/>
  <c r="BI53" i="43" s="1"/>
  <c r="D53" i="43"/>
  <c r="BX52" i="43"/>
  <c r="BW52" i="43"/>
  <c r="BV52" i="43"/>
  <c r="BT52" i="43"/>
  <c r="BS52" i="43"/>
  <c r="R52" i="43"/>
  <c r="R64" i="43" s="1"/>
  <c r="Q52" i="43"/>
  <c r="O52" i="43"/>
  <c r="M52" i="43"/>
  <c r="Q49" i="43"/>
  <c r="O49" i="43"/>
  <c r="M49" i="43"/>
  <c r="K49" i="43"/>
  <c r="I49" i="43"/>
  <c r="G49" i="43"/>
  <c r="E49" i="43"/>
  <c r="C49" i="43"/>
  <c r="B49" i="43"/>
  <c r="B52" i="43" s="1"/>
  <c r="B48" i="43"/>
  <c r="B47" i="43"/>
  <c r="AC43" i="43"/>
  <c r="AD41" i="43"/>
  <c r="D38" i="43"/>
  <c r="D37" i="43"/>
  <c r="D35" i="43"/>
  <c r="D33" i="43"/>
  <c r="D27" i="43"/>
  <c r="C27" i="43"/>
  <c r="W26" i="43"/>
  <c r="T26" i="43"/>
  <c r="T19" i="43" s="1"/>
  <c r="Q26" i="43"/>
  <c r="Q8" i="43" s="1"/>
  <c r="N26" i="43"/>
  <c r="N19" i="43" s="1"/>
  <c r="K26" i="43"/>
  <c r="K7" i="43" s="1"/>
  <c r="V22" i="43"/>
  <c r="S22" i="43"/>
  <c r="O22" i="43"/>
  <c r="M22" i="43"/>
  <c r="G22" i="43"/>
  <c r="D22" i="43"/>
  <c r="C22" i="43"/>
  <c r="C24" i="43" s="1"/>
  <c r="Y20" i="43"/>
  <c r="X20" i="43"/>
  <c r="U20" i="43"/>
  <c r="S20" i="43"/>
  <c r="R20" i="43"/>
  <c r="P20" i="43"/>
  <c r="O20" i="43"/>
  <c r="L20" i="43"/>
  <c r="J20" i="43"/>
  <c r="I20" i="43"/>
  <c r="F20" i="43"/>
  <c r="C20" i="43"/>
  <c r="BO19" i="43"/>
  <c r="W19" i="43"/>
  <c r="BO18" i="43"/>
  <c r="W18" i="43"/>
  <c r="BO17" i="43"/>
  <c r="BO16" i="43"/>
  <c r="W16" i="43"/>
  <c r="BO15" i="43"/>
  <c r="W15" i="43"/>
  <c r="BO14" i="43"/>
  <c r="W14" i="43"/>
  <c r="Y12" i="43"/>
  <c r="Y22" i="43" s="1"/>
  <c r="X12" i="43"/>
  <c r="X22" i="43" s="1"/>
  <c r="U12" i="43"/>
  <c r="U22" i="43" s="1"/>
  <c r="U24" i="43" s="1"/>
  <c r="S12" i="43"/>
  <c r="R12" i="43"/>
  <c r="R22" i="43" s="1"/>
  <c r="P12" i="43"/>
  <c r="P22" i="43" s="1"/>
  <c r="O12" i="43"/>
  <c r="L12" i="43"/>
  <c r="L22" i="43" s="1"/>
  <c r="L24" i="43" s="1"/>
  <c r="J12" i="43"/>
  <c r="J22" i="43" s="1"/>
  <c r="I12" i="43"/>
  <c r="I22" i="43" s="1"/>
  <c r="I24" i="43" s="1"/>
  <c r="F12" i="43"/>
  <c r="F22" i="43" s="1"/>
  <c r="F24" i="43" s="1"/>
  <c r="C12" i="43"/>
  <c r="BO11" i="43"/>
  <c r="W11" i="43"/>
  <c r="BO10" i="43"/>
  <c r="W10" i="43"/>
  <c r="BO9" i="43"/>
  <c r="W9" i="43"/>
  <c r="BO8" i="43"/>
  <c r="W8" i="43"/>
  <c r="BO7" i="43"/>
  <c r="W6" i="43"/>
  <c r="Y4" i="43"/>
  <c r="W4" i="43"/>
  <c r="V4" i="43"/>
  <c r="U4" i="43"/>
  <c r="T4" i="43"/>
  <c r="S4" i="43"/>
  <c r="Q4" i="43"/>
  <c r="P4" i="43"/>
  <c r="N4" i="43"/>
  <c r="M4" i="43"/>
  <c r="K4" i="43"/>
  <c r="J4" i="43"/>
  <c r="H4" i="43"/>
  <c r="G4" i="43"/>
  <c r="F4" i="43"/>
  <c r="E4" i="43"/>
  <c r="AO156" i="42"/>
  <c r="AN155" i="42" s="1"/>
  <c r="AH155" i="42" s="1"/>
  <c r="AN154" i="42"/>
  <c r="AH154" i="42" s="1"/>
  <c r="AN152" i="42"/>
  <c r="AH152" i="42"/>
  <c r="AN150" i="42"/>
  <c r="AH150" i="42" s="1"/>
  <c r="AN149" i="42"/>
  <c r="AH149" i="42"/>
  <c r="B149" i="42"/>
  <c r="AN148" i="42"/>
  <c r="AH148" i="42" s="1"/>
  <c r="B148" i="42"/>
  <c r="AO145" i="42"/>
  <c r="AN145" i="42"/>
  <c r="AH144" i="42"/>
  <c r="AH143" i="42"/>
  <c r="AH145" i="42" s="1"/>
  <c r="AO139" i="42"/>
  <c r="AN135" i="42" s="1"/>
  <c r="AH135" i="42" s="1"/>
  <c r="AN137" i="42"/>
  <c r="AH137" i="42" s="1"/>
  <c r="B135" i="42"/>
  <c r="AN134" i="42"/>
  <c r="AH134" i="42" s="1"/>
  <c r="B134" i="42"/>
  <c r="B133" i="42"/>
  <c r="AN131" i="42"/>
  <c r="AH131" i="42" s="1"/>
  <c r="F120" i="42"/>
  <c r="F119" i="42"/>
  <c r="B118" i="42"/>
  <c r="F117" i="42"/>
  <c r="B117" i="42"/>
  <c r="B120" i="42" s="1"/>
  <c r="F115" i="42"/>
  <c r="B115" i="42"/>
  <c r="BJ94" i="42"/>
  <c r="F92" i="42"/>
  <c r="D92" i="42"/>
  <c r="B92" i="42"/>
  <c r="F91" i="42"/>
  <c r="D91" i="42"/>
  <c r="B91" i="42"/>
  <c r="D89" i="42"/>
  <c r="F89" i="42" s="1"/>
  <c r="F88" i="42"/>
  <c r="D88" i="42"/>
  <c r="AO86" i="42"/>
  <c r="AN86" i="42"/>
  <c r="AH86" i="42"/>
  <c r="D86" i="42"/>
  <c r="F86" i="42" s="1"/>
  <c r="AN85" i="42"/>
  <c r="AH85" i="42"/>
  <c r="D85" i="42"/>
  <c r="F85" i="42" s="1"/>
  <c r="AN84" i="42"/>
  <c r="AH84" i="42" s="1"/>
  <c r="AN82" i="42"/>
  <c r="AH82" i="42"/>
  <c r="H82" i="42"/>
  <c r="G82" i="42"/>
  <c r="F82" i="42"/>
  <c r="E82" i="42"/>
  <c r="D82" i="42"/>
  <c r="C82" i="42"/>
  <c r="B82" i="42"/>
  <c r="AN81" i="42"/>
  <c r="AH81" i="42"/>
  <c r="AN80" i="42"/>
  <c r="AH80" i="42" s="1"/>
  <c r="AN79" i="42"/>
  <c r="AH79" i="42"/>
  <c r="BJ77" i="42"/>
  <c r="AH76" i="42"/>
  <c r="AH75" i="42"/>
  <c r="BJ73" i="42"/>
  <c r="AH73" i="42"/>
  <c r="AH72" i="42"/>
  <c r="AH71" i="42"/>
  <c r="BN61" i="42"/>
  <c r="BH61" i="42"/>
  <c r="AJ61" i="42"/>
  <c r="R61" i="42"/>
  <c r="BO61" i="42" s="1"/>
  <c r="P61" i="42"/>
  <c r="N61" i="42"/>
  <c r="M61" i="42"/>
  <c r="L61" i="42"/>
  <c r="J61" i="42"/>
  <c r="BK61" i="42" s="1"/>
  <c r="H61" i="42"/>
  <c r="BJ61" i="42" s="1"/>
  <c r="F61" i="42"/>
  <c r="BI61" i="42" s="1"/>
  <c r="D61" i="42"/>
  <c r="BS60" i="42"/>
  <c r="BV60" i="42" s="1"/>
  <c r="BX60" i="42" s="1"/>
  <c r="BI60" i="42"/>
  <c r="BH60" i="42"/>
  <c r="AJ60" i="42"/>
  <c r="R60" i="42"/>
  <c r="BO60" i="42" s="1"/>
  <c r="P60" i="42"/>
  <c r="BN60" i="42" s="1"/>
  <c r="N60" i="42"/>
  <c r="M60" i="42"/>
  <c r="L60" i="42"/>
  <c r="J60" i="42"/>
  <c r="BK60" i="42" s="1"/>
  <c r="H60" i="42"/>
  <c r="BJ60" i="42" s="1"/>
  <c r="F60" i="42"/>
  <c r="D60" i="42"/>
  <c r="BX59" i="42"/>
  <c r="BS59" i="42"/>
  <c r="BV59" i="42" s="1"/>
  <c r="BN59" i="42"/>
  <c r="BK59" i="42"/>
  <c r="BI59" i="42"/>
  <c r="BH59" i="42"/>
  <c r="AJ59" i="42"/>
  <c r="R59" i="42"/>
  <c r="BO59" i="42" s="1"/>
  <c r="P59" i="42"/>
  <c r="N59" i="42"/>
  <c r="M59" i="42"/>
  <c r="L59" i="42"/>
  <c r="J59" i="42"/>
  <c r="H59" i="42"/>
  <c r="BJ59" i="42" s="1"/>
  <c r="F59" i="42"/>
  <c r="D59" i="42"/>
  <c r="BS58" i="42"/>
  <c r="BV58" i="42" s="1"/>
  <c r="BX58" i="42" s="1"/>
  <c r="BK58" i="42"/>
  <c r="BH58" i="42"/>
  <c r="AJ58" i="42"/>
  <c r="Q58" i="42"/>
  <c r="R58" i="42" s="1"/>
  <c r="BO58" i="42" s="1"/>
  <c r="P58" i="42"/>
  <c r="BN58" i="42" s="1"/>
  <c r="O58" i="42"/>
  <c r="M58" i="42"/>
  <c r="N58" i="42" s="1"/>
  <c r="L58" i="42"/>
  <c r="J58" i="42"/>
  <c r="H58" i="42"/>
  <c r="BJ58" i="42" s="1"/>
  <c r="F58" i="42"/>
  <c r="BI58" i="42" s="1"/>
  <c r="D58" i="42"/>
  <c r="BV57" i="42"/>
  <c r="BX57" i="42" s="1"/>
  <c r="BS57" i="42"/>
  <c r="Q57" i="42"/>
  <c r="O57" i="42"/>
  <c r="M57" i="42"/>
  <c r="J57" i="42"/>
  <c r="H57" i="42"/>
  <c r="BJ57" i="42" s="1"/>
  <c r="B57" i="42"/>
  <c r="BS56" i="42"/>
  <c r="BV56" i="42" s="1"/>
  <c r="BX56" i="42" s="1"/>
  <c r="BI56" i="42"/>
  <c r="BH56" i="42"/>
  <c r="AJ56" i="42"/>
  <c r="Q56" i="42"/>
  <c r="R56" i="42" s="1"/>
  <c r="BO56" i="42" s="1"/>
  <c r="O56" i="42"/>
  <c r="P56" i="42" s="1"/>
  <c r="N56" i="42"/>
  <c r="L56" i="42"/>
  <c r="J56" i="42"/>
  <c r="BK56" i="42" s="1"/>
  <c r="H56" i="42"/>
  <c r="F56" i="42"/>
  <c r="D56" i="42"/>
  <c r="BO55" i="42"/>
  <c r="BN55" i="42"/>
  <c r="BK55" i="42"/>
  <c r="BJ55" i="42"/>
  <c r="BI55" i="42"/>
  <c r="BH55" i="42"/>
  <c r="AJ55" i="42"/>
  <c r="R55" i="42"/>
  <c r="P55" i="42"/>
  <c r="N55" i="42"/>
  <c r="L55" i="42"/>
  <c r="J55" i="42"/>
  <c r="H55" i="42"/>
  <c r="F55" i="42"/>
  <c r="D55" i="42"/>
  <c r="BO54" i="42"/>
  <c r="BN54" i="42"/>
  <c r="BK54" i="42"/>
  <c r="BJ54" i="42"/>
  <c r="BI54" i="42"/>
  <c r="BH54" i="42"/>
  <c r="AJ54" i="42"/>
  <c r="R54" i="42"/>
  <c r="P54" i="42"/>
  <c r="N54" i="42"/>
  <c r="L54" i="42"/>
  <c r="J54" i="42"/>
  <c r="H54" i="42"/>
  <c r="F54" i="42"/>
  <c r="D54" i="42"/>
  <c r="BO53" i="42"/>
  <c r="BN53" i="42"/>
  <c r="AJ53" i="42"/>
  <c r="R53" i="42"/>
  <c r="Q53" i="42"/>
  <c r="O53" i="42"/>
  <c r="P53" i="42" s="1"/>
  <c r="N53" i="42"/>
  <c r="L53" i="42"/>
  <c r="J53" i="42"/>
  <c r="BK53" i="42" s="1"/>
  <c r="H53" i="42"/>
  <c r="BJ53" i="42" s="1"/>
  <c r="F53" i="42"/>
  <c r="BI53" i="42" s="1"/>
  <c r="D53" i="42"/>
  <c r="BX52" i="42"/>
  <c r="BW52" i="42"/>
  <c r="BV52" i="42"/>
  <c r="BT52" i="42"/>
  <c r="BS52" i="42"/>
  <c r="Q52" i="42"/>
  <c r="O52" i="42"/>
  <c r="M52" i="42"/>
  <c r="Q49" i="42"/>
  <c r="O49" i="42"/>
  <c r="M49" i="42"/>
  <c r="K49" i="42"/>
  <c r="I49" i="42"/>
  <c r="G49" i="42"/>
  <c r="E49" i="42"/>
  <c r="C49" i="42"/>
  <c r="B49" i="42"/>
  <c r="B52" i="42" s="1"/>
  <c r="B48" i="42"/>
  <c r="B47" i="42"/>
  <c r="AC43" i="42"/>
  <c r="AD41" i="42"/>
  <c r="B41" i="42"/>
  <c r="C39" i="42" s="1"/>
  <c r="D38" i="42"/>
  <c r="D37" i="42"/>
  <c r="D35" i="42"/>
  <c r="D34" i="42"/>
  <c r="D33" i="42"/>
  <c r="D32" i="42"/>
  <c r="D27" i="42"/>
  <c r="C27" i="42"/>
  <c r="W26" i="42"/>
  <c r="T26" i="42"/>
  <c r="BN15" i="42" s="1"/>
  <c r="Q26" i="42"/>
  <c r="Q16" i="42" s="1"/>
  <c r="N26" i="42"/>
  <c r="K26" i="42"/>
  <c r="BK16" i="42" s="1"/>
  <c r="H26" i="42"/>
  <c r="E26" i="42"/>
  <c r="BI19" i="42" s="1"/>
  <c r="B26" i="42"/>
  <c r="BH19" i="42" s="1"/>
  <c r="L24" i="42"/>
  <c r="V22" i="42"/>
  <c r="S22" i="42"/>
  <c r="R22" i="42"/>
  <c r="M22" i="42"/>
  <c r="G22" i="42"/>
  <c r="F22" i="42"/>
  <c r="F24" i="42" s="1"/>
  <c r="D22" i="42"/>
  <c r="C22" i="42"/>
  <c r="C24" i="42" s="1"/>
  <c r="Y20" i="42"/>
  <c r="X20" i="42"/>
  <c r="U20" i="42"/>
  <c r="S20" i="42"/>
  <c r="R20" i="42"/>
  <c r="P20" i="42"/>
  <c r="O20" i="42"/>
  <c r="L20" i="42"/>
  <c r="J20" i="42"/>
  <c r="I20" i="42"/>
  <c r="F20" i="42"/>
  <c r="C20" i="42"/>
  <c r="BO19" i="42"/>
  <c r="W19" i="42"/>
  <c r="BO18" i="42"/>
  <c r="W18" i="42"/>
  <c r="BO17" i="42"/>
  <c r="BO16" i="42"/>
  <c r="W16" i="42"/>
  <c r="BO15" i="42"/>
  <c r="W15" i="42"/>
  <c r="BO14" i="42"/>
  <c r="W14" i="42"/>
  <c r="Y12" i="42"/>
  <c r="X12" i="42"/>
  <c r="X22" i="42" s="1"/>
  <c r="U12" i="42"/>
  <c r="U22" i="42" s="1"/>
  <c r="U24" i="42" s="1"/>
  <c r="S12" i="42"/>
  <c r="R12" i="42"/>
  <c r="P12" i="42"/>
  <c r="P22" i="42" s="1"/>
  <c r="O12" i="42"/>
  <c r="O22" i="42" s="1"/>
  <c r="L12" i="42"/>
  <c r="L22" i="42" s="1"/>
  <c r="J12" i="42"/>
  <c r="J22" i="42" s="1"/>
  <c r="I12" i="42"/>
  <c r="I22" i="42" s="1"/>
  <c r="I24" i="42" s="1"/>
  <c r="F12" i="42"/>
  <c r="C12" i="42"/>
  <c r="BO11" i="42"/>
  <c r="W11" i="42"/>
  <c r="BO10" i="42"/>
  <c r="W10" i="42"/>
  <c r="BO9" i="42"/>
  <c r="W9" i="42"/>
  <c r="BO8" i="42"/>
  <c r="W8" i="42"/>
  <c r="BO7" i="42"/>
  <c r="W6" i="42"/>
  <c r="Q6" i="42"/>
  <c r="Y4" i="42"/>
  <c r="W4" i="42"/>
  <c r="V4" i="42"/>
  <c r="U4" i="42"/>
  <c r="T4" i="42"/>
  <c r="S4" i="42"/>
  <c r="Q4" i="42"/>
  <c r="P4" i="42"/>
  <c r="N4" i="42"/>
  <c r="M4" i="42"/>
  <c r="K4" i="42"/>
  <c r="J4" i="42"/>
  <c r="H4" i="42"/>
  <c r="G4" i="42"/>
  <c r="F4" i="42"/>
  <c r="E4" i="42"/>
  <c r="AO156" i="41"/>
  <c r="AN155" i="41" s="1"/>
  <c r="AH155" i="41" s="1"/>
  <c r="AN154" i="41"/>
  <c r="AH154" i="41"/>
  <c r="AN152" i="41"/>
  <c r="AH152" i="41"/>
  <c r="AN151" i="41"/>
  <c r="AH151" i="41"/>
  <c r="AN150" i="41"/>
  <c r="AH150" i="41"/>
  <c r="AN149" i="41"/>
  <c r="AH149" i="41"/>
  <c r="B149" i="41"/>
  <c r="AN148" i="41"/>
  <c r="B148" i="41"/>
  <c r="AO145" i="41"/>
  <c r="AN145" i="41"/>
  <c r="AH144" i="41"/>
  <c r="AH143" i="41"/>
  <c r="AO139" i="41"/>
  <c r="AN138" i="41"/>
  <c r="AH138" i="41" s="1"/>
  <c r="AN137" i="41"/>
  <c r="AH137" i="41" s="1"/>
  <c r="AN136" i="41"/>
  <c r="AH136" i="41" s="1"/>
  <c r="AN135" i="41"/>
  <c r="AH135" i="41" s="1"/>
  <c r="B135" i="41"/>
  <c r="AN134" i="41"/>
  <c r="AH134" i="41"/>
  <c r="B134" i="41"/>
  <c r="AN133" i="41"/>
  <c r="AH133" i="41" s="1"/>
  <c r="B133" i="41"/>
  <c r="AN132" i="41"/>
  <c r="AH132" i="41"/>
  <c r="AN131" i="41"/>
  <c r="AH131" i="41"/>
  <c r="AN130" i="41"/>
  <c r="AH130" i="41"/>
  <c r="F119" i="41"/>
  <c r="B118" i="41"/>
  <c r="F117" i="41"/>
  <c r="B117" i="41"/>
  <c r="F115" i="41"/>
  <c r="B115" i="41"/>
  <c r="BJ94" i="41"/>
  <c r="F92" i="41"/>
  <c r="D92" i="41"/>
  <c r="B92" i="41"/>
  <c r="D91" i="41"/>
  <c r="F91" i="41" s="1"/>
  <c r="F94" i="41" s="1"/>
  <c r="B91" i="41"/>
  <c r="F89" i="41"/>
  <c r="D89" i="41"/>
  <c r="F88" i="41"/>
  <c r="D88" i="41"/>
  <c r="AO86" i="41"/>
  <c r="AN85" i="41" s="1"/>
  <c r="F86" i="41"/>
  <c r="D86" i="41"/>
  <c r="AH85" i="41"/>
  <c r="D85" i="41"/>
  <c r="F85" i="41" s="1"/>
  <c r="AN84" i="41"/>
  <c r="AH84" i="41"/>
  <c r="AN82" i="41"/>
  <c r="AH82" i="41"/>
  <c r="H82" i="41"/>
  <c r="G82" i="41"/>
  <c r="F82" i="41"/>
  <c r="E82" i="41"/>
  <c r="D82" i="41"/>
  <c r="C82" i="41"/>
  <c r="B82" i="41"/>
  <c r="AN81" i="41"/>
  <c r="AH81" i="41" s="1"/>
  <c r="AN80" i="41"/>
  <c r="AH80" i="41" s="1"/>
  <c r="AN79" i="41"/>
  <c r="BJ77" i="41"/>
  <c r="AH76" i="41"/>
  <c r="AH75" i="41"/>
  <c r="AH77" i="41" s="1"/>
  <c r="BJ73" i="41"/>
  <c r="AH72" i="41"/>
  <c r="AH71" i="41"/>
  <c r="AH73" i="41" s="1"/>
  <c r="BK61" i="41"/>
  <c r="AJ61" i="41"/>
  <c r="R61" i="41"/>
  <c r="BO61" i="41" s="1"/>
  <c r="P61" i="41"/>
  <c r="BN61" i="41" s="1"/>
  <c r="N61" i="41"/>
  <c r="M61" i="41"/>
  <c r="L61" i="41"/>
  <c r="J61" i="41"/>
  <c r="H61" i="41"/>
  <c r="BJ61" i="41" s="1"/>
  <c r="F61" i="41"/>
  <c r="BI61" i="41" s="1"/>
  <c r="D61" i="41"/>
  <c r="BV60" i="41"/>
  <c r="BX60" i="41" s="1"/>
  <c r="BS60" i="41"/>
  <c r="BK60" i="41"/>
  <c r="AJ60" i="41"/>
  <c r="R60" i="41"/>
  <c r="BO60" i="41" s="1"/>
  <c r="P60" i="41"/>
  <c r="BN60" i="41" s="1"/>
  <c r="N60" i="41"/>
  <c r="M60" i="41"/>
  <c r="L60" i="41"/>
  <c r="J60" i="41"/>
  <c r="H60" i="41"/>
  <c r="BJ60" i="41" s="1"/>
  <c r="F60" i="41"/>
  <c r="BI60" i="41" s="1"/>
  <c r="D60" i="41"/>
  <c r="BV59" i="41"/>
  <c r="BX59" i="41" s="1"/>
  <c r="BS59" i="41"/>
  <c r="BK59" i="41"/>
  <c r="AJ59" i="41"/>
  <c r="R59" i="41"/>
  <c r="BO59" i="41" s="1"/>
  <c r="P59" i="41"/>
  <c r="BN59" i="41" s="1"/>
  <c r="N59" i="41"/>
  <c r="M59" i="41"/>
  <c r="L59" i="41"/>
  <c r="J59" i="41"/>
  <c r="H59" i="41"/>
  <c r="BJ59" i="41" s="1"/>
  <c r="F59" i="41"/>
  <c r="BI59" i="41" s="1"/>
  <c r="D59" i="41"/>
  <c r="BV58" i="41"/>
  <c r="BX58" i="41" s="1"/>
  <c r="BS58" i="41"/>
  <c r="BK58" i="41"/>
  <c r="AJ58" i="41"/>
  <c r="Q58" i="41"/>
  <c r="R58" i="41" s="1"/>
  <c r="BO58" i="41" s="1"/>
  <c r="P58" i="41"/>
  <c r="BN58" i="41" s="1"/>
  <c r="O58" i="41"/>
  <c r="M58" i="41"/>
  <c r="N58" i="41" s="1"/>
  <c r="L58" i="41"/>
  <c r="J58" i="41"/>
  <c r="H58" i="41"/>
  <c r="BJ58" i="41" s="1"/>
  <c r="F58" i="41"/>
  <c r="BI58" i="41" s="1"/>
  <c r="D58" i="41"/>
  <c r="BS57" i="41"/>
  <c r="BV57" i="41" s="1"/>
  <c r="BX57" i="41" s="1"/>
  <c r="BI57" i="41"/>
  <c r="R57" i="41"/>
  <c r="BO57" i="41" s="1"/>
  <c r="Q57" i="41"/>
  <c r="O57" i="41"/>
  <c r="N57" i="41"/>
  <c r="M57" i="41"/>
  <c r="H57" i="41"/>
  <c r="F57" i="41"/>
  <c r="B57" i="41"/>
  <c r="BS56" i="41"/>
  <c r="BV56" i="41" s="1"/>
  <c r="BX56" i="41" s="1"/>
  <c r="BN56" i="41"/>
  <c r="AJ56" i="41"/>
  <c r="Q56" i="41"/>
  <c r="R56" i="41" s="1"/>
  <c r="BO56" i="41" s="1"/>
  <c r="P56" i="41"/>
  <c r="O56" i="41"/>
  <c r="N56" i="41"/>
  <c r="N65" i="41" s="1"/>
  <c r="L56" i="41"/>
  <c r="J56" i="41"/>
  <c r="BK56" i="41" s="1"/>
  <c r="H56" i="41"/>
  <c r="F56" i="41"/>
  <c r="F65" i="41" s="1"/>
  <c r="D56" i="41"/>
  <c r="BO55" i="41"/>
  <c r="BN55" i="41"/>
  <c r="BK55" i="41"/>
  <c r="BJ55" i="41"/>
  <c r="BI55" i="41"/>
  <c r="BH55" i="41"/>
  <c r="AJ55" i="41"/>
  <c r="R55" i="41"/>
  <c r="P55" i="41"/>
  <c r="N55" i="41"/>
  <c r="L55" i="41"/>
  <c r="J55" i="41"/>
  <c r="H55" i="41"/>
  <c r="F55" i="41"/>
  <c r="D55" i="41"/>
  <c r="BO54" i="41"/>
  <c r="BN54" i="41"/>
  <c r="BK54" i="41"/>
  <c r="BJ54" i="41"/>
  <c r="BI54" i="41"/>
  <c r="BH54" i="41"/>
  <c r="AJ54" i="41"/>
  <c r="R54" i="41"/>
  <c r="P54" i="41"/>
  <c r="N54" i="41"/>
  <c r="L54" i="41"/>
  <c r="J54" i="41"/>
  <c r="H54" i="41"/>
  <c r="F54" i="41"/>
  <c r="D54" i="41"/>
  <c r="BN53" i="41"/>
  <c r="AJ53" i="41"/>
  <c r="Q53" i="41"/>
  <c r="R53" i="41" s="1"/>
  <c r="BO53" i="41" s="1"/>
  <c r="P53" i="41"/>
  <c r="O53" i="41"/>
  <c r="N53" i="41"/>
  <c r="L53" i="41"/>
  <c r="J53" i="41"/>
  <c r="BK53" i="41" s="1"/>
  <c r="H53" i="41"/>
  <c r="BJ53" i="41" s="1"/>
  <c r="F53" i="41"/>
  <c r="BI53" i="41" s="1"/>
  <c r="D53" i="41"/>
  <c r="BX52" i="41"/>
  <c r="BW52" i="41"/>
  <c r="BV52" i="41"/>
  <c r="BT52" i="41"/>
  <c r="BS52" i="41"/>
  <c r="R52" i="41"/>
  <c r="R64" i="41" s="1"/>
  <c r="Q52" i="41"/>
  <c r="O52" i="41"/>
  <c r="M52" i="41"/>
  <c r="Q49" i="41"/>
  <c r="O49" i="41"/>
  <c r="M49" i="41"/>
  <c r="K49" i="41"/>
  <c r="I49" i="41"/>
  <c r="G49" i="41"/>
  <c r="E49" i="41"/>
  <c r="C49" i="41"/>
  <c r="B49" i="41"/>
  <c r="B52" i="41" s="1"/>
  <c r="B48" i="41"/>
  <c r="B47" i="41"/>
  <c r="AC43" i="41"/>
  <c r="AD41" i="41"/>
  <c r="D38" i="41"/>
  <c r="D37" i="41"/>
  <c r="D35" i="41"/>
  <c r="D34" i="41"/>
  <c r="D33" i="41"/>
  <c r="D27" i="41"/>
  <c r="C27" i="41"/>
  <c r="W26" i="41"/>
  <c r="T26" i="41"/>
  <c r="BN15" i="41" s="1"/>
  <c r="Q26" i="41"/>
  <c r="Q6" i="41" s="1"/>
  <c r="N26" i="41"/>
  <c r="K26" i="41"/>
  <c r="BK16" i="41" s="1"/>
  <c r="H26" i="41"/>
  <c r="BJ9" i="41" s="1"/>
  <c r="V22" i="41"/>
  <c r="M22" i="41"/>
  <c r="G22" i="41"/>
  <c r="F22" i="41"/>
  <c r="F24" i="41" s="1"/>
  <c r="D22" i="41"/>
  <c r="Y20" i="41"/>
  <c r="X20" i="41"/>
  <c r="U20" i="41"/>
  <c r="S20" i="41"/>
  <c r="R20" i="41"/>
  <c r="P20" i="41"/>
  <c r="O20" i="41"/>
  <c r="L20" i="41"/>
  <c r="J20" i="41"/>
  <c r="I20" i="41"/>
  <c r="F20" i="41"/>
  <c r="C20" i="41"/>
  <c r="BO19" i="41"/>
  <c r="W19" i="41"/>
  <c r="T19" i="41"/>
  <c r="BO18" i="41"/>
  <c r="W18" i="41"/>
  <c r="BO17" i="41"/>
  <c r="BO16" i="41"/>
  <c r="W16" i="41"/>
  <c r="BO15" i="41"/>
  <c r="W15" i="41"/>
  <c r="BO14" i="41"/>
  <c r="W14" i="41"/>
  <c r="Y12" i="41"/>
  <c r="Y22" i="41" s="1"/>
  <c r="X12" i="41"/>
  <c r="U12" i="41"/>
  <c r="U22" i="41" s="1"/>
  <c r="U24" i="41" s="1"/>
  <c r="S12" i="41"/>
  <c r="R12" i="41"/>
  <c r="R22" i="41" s="1"/>
  <c r="P12" i="41"/>
  <c r="P22" i="41" s="1"/>
  <c r="O12" i="41"/>
  <c r="L12" i="41"/>
  <c r="L22" i="41" s="1"/>
  <c r="L24" i="41" s="1"/>
  <c r="J12" i="41"/>
  <c r="I12" i="41"/>
  <c r="I22" i="41" s="1"/>
  <c r="I24" i="41" s="1"/>
  <c r="F12" i="41"/>
  <c r="C12" i="41"/>
  <c r="C22" i="41" s="1"/>
  <c r="C24" i="41" s="1"/>
  <c r="BO11" i="41"/>
  <c r="W11" i="41"/>
  <c r="Q11" i="41"/>
  <c r="BO10" i="41"/>
  <c r="W10" i="41"/>
  <c r="BO9" i="41"/>
  <c r="W9" i="41"/>
  <c r="BO8" i="41"/>
  <c r="W8" i="41"/>
  <c r="BO7" i="41"/>
  <c r="W6" i="41"/>
  <c r="Y4" i="41"/>
  <c r="W4" i="41"/>
  <c r="V4" i="41"/>
  <c r="U4" i="41"/>
  <c r="T4" i="41"/>
  <c r="S4" i="41"/>
  <c r="Q4" i="41"/>
  <c r="P4" i="41"/>
  <c r="N4" i="41"/>
  <c r="M4" i="41"/>
  <c r="K4" i="41"/>
  <c r="J4" i="41"/>
  <c r="H4" i="41"/>
  <c r="G4" i="41"/>
  <c r="F4" i="41"/>
  <c r="E4" i="41"/>
  <c r="AO156" i="40"/>
  <c r="AN155" i="40" s="1"/>
  <c r="AH155" i="40" s="1"/>
  <c r="AN154" i="40"/>
  <c r="AH154" i="40" s="1"/>
  <c r="AN152" i="40"/>
  <c r="AH152" i="40"/>
  <c r="AN150" i="40"/>
  <c r="AH150" i="40" s="1"/>
  <c r="AN149" i="40"/>
  <c r="AH149" i="40"/>
  <c r="B149" i="40"/>
  <c r="AN148" i="40"/>
  <c r="AH148" i="40" s="1"/>
  <c r="B148" i="40"/>
  <c r="AO145" i="40"/>
  <c r="AN145" i="40"/>
  <c r="AH144" i="40"/>
  <c r="AH143" i="40"/>
  <c r="AH145" i="40" s="1"/>
  <c r="AO139" i="40"/>
  <c r="AN135" i="40" s="1"/>
  <c r="AH135" i="40" s="1"/>
  <c r="AN137" i="40"/>
  <c r="AH137" i="40" s="1"/>
  <c r="B135" i="40"/>
  <c r="AN134" i="40"/>
  <c r="AH134" i="40" s="1"/>
  <c r="B134" i="40"/>
  <c r="B133" i="40"/>
  <c r="AN131" i="40"/>
  <c r="AH131" i="40" s="1"/>
  <c r="F120" i="40"/>
  <c r="F119" i="40"/>
  <c r="B118" i="40"/>
  <c r="F117" i="40"/>
  <c r="B117" i="40"/>
  <c r="B120" i="40" s="1"/>
  <c r="F115" i="40"/>
  <c r="B115" i="40"/>
  <c r="BJ94" i="40"/>
  <c r="F92" i="40"/>
  <c r="D92" i="40"/>
  <c r="B92" i="40"/>
  <c r="F91" i="40"/>
  <c r="D91" i="40"/>
  <c r="B91" i="40"/>
  <c r="D89" i="40"/>
  <c r="F89" i="40" s="1"/>
  <c r="F88" i="40"/>
  <c r="D88" i="40"/>
  <c r="AO86" i="40"/>
  <c r="AN86" i="40"/>
  <c r="D86" i="40"/>
  <c r="F86" i="40" s="1"/>
  <c r="AN85" i="40"/>
  <c r="AH85" i="40"/>
  <c r="D85" i="40"/>
  <c r="F85" i="40" s="1"/>
  <c r="AN84" i="40"/>
  <c r="AH84" i="40" s="1"/>
  <c r="AN82" i="40"/>
  <c r="AH82" i="40"/>
  <c r="H82" i="40"/>
  <c r="G82" i="40"/>
  <c r="F82" i="40"/>
  <c r="E82" i="40"/>
  <c r="D82" i="40"/>
  <c r="C82" i="40"/>
  <c r="B82" i="40"/>
  <c r="AN81" i="40"/>
  <c r="AH81" i="40"/>
  <c r="AN80" i="40"/>
  <c r="AH80" i="40" s="1"/>
  <c r="AN79" i="40"/>
  <c r="AH79" i="40"/>
  <c r="AH86" i="40" s="1"/>
  <c r="BJ77" i="40"/>
  <c r="AH76" i="40"/>
  <c r="AH75" i="40"/>
  <c r="BJ73" i="40"/>
  <c r="AH73" i="40"/>
  <c r="AH72" i="40"/>
  <c r="AH71" i="40"/>
  <c r="BN61" i="40"/>
  <c r="BH61" i="40"/>
  <c r="AJ61" i="40"/>
  <c r="R61" i="40"/>
  <c r="BO61" i="40" s="1"/>
  <c r="P61" i="40"/>
  <c r="N61" i="40"/>
  <c r="M61" i="40"/>
  <c r="L61" i="40"/>
  <c r="J61" i="40"/>
  <c r="BK61" i="40" s="1"/>
  <c r="H61" i="40"/>
  <c r="BJ61" i="40" s="1"/>
  <c r="F61" i="40"/>
  <c r="BI61" i="40" s="1"/>
  <c r="D61" i="40"/>
  <c r="BS60" i="40"/>
  <c r="BV60" i="40" s="1"/>
  <c r="BX60" i="40" s="1"/>
  <c r="BN60" i="40"/>
  <c r="BH60" i="40"/>
  <c r="AJ60" i="40"/>
  <c r="R60" i="40"/>
  <c r="BO60" i="40" s="1"/>
  <c r="P60" i="40"/>
  <c r="N60" i="40"/>
  <c r="M60" i="40"/>
  <c r="L60" i="40"/>
  <c r="J60" i="40"/>
  <c r="BK60" i="40" s="1"/>
  <c r="H60" i="40"/>
  <c r="BJ60" i="40" s="1"/>
  <c r="F60" i="40"/>
  <c r="BI60" i="40" s="1"/>
  <c r="D60" i="40"/>
  <c r="BS59" i="40"/>
  <c r="BV59" i="40" s="1"/>
  <c r="BX59" i="40" s="1"/>
  <c r="BH59" i="40"/>
  <c r="AJ59" i="40"/>
  <c r="R59" i="40"/>
  <c r="BO59" i="40" s="1"/>
  <c r="P59" i="40"/>
  <c r="BN59" i="40" s="1"/>
  <c r="N59" i="40"/>
  <c r="M59" i="40"/>
  <c r="L59" i="40"/>
  <c r="J59" i="40"/>
  <c r="BK59" i="40" s="1"/>
  <c r="H59" i="40"/>
  <c r="BJ59" i="40" s="1"/>
  <c r="F59" i="40"/>
  <c r="BI59" i="40" s="1"/>
  <c r="D59" i="40"/>
  <c r="BX58" i="40"/>
  <c r="BS58" i="40"/>
  <c r="BV58" i="40" s="1"/>
  <c r="BK58" i="40"/>
  <c r="AJ58" i="40"/>
  <c r="Q58" i="40"/>
  <c r="R58" i="40" s="1"/>
  <c r="BO58" i="40" s="1"/>
  <c r="P58" i="40"/>
  <c r="BN58" i="40" s="1"/>
  <c r="O58" i="40"/>
  <c r="M58" i="40"/>
  <c r="N58" i="40" s="1"/>
  <c r="L58" i="40"/>
  <c r="J58" i="40"/>
  <c r="H58" i="40"/>
  <c r="BJ58" i="40" s="1"/>
  <c r="F58" i="40"/>
  <c r="BI58" i="40" s="1"/>
  <c r="D58" i="40"/>
  <c r="BV57" i="40"/>
  <c r="BX57" i="40" s="1"/>
  <c r="BS57" i="40"/>
  <c r="R57" i="40"/>
  <c r="BO57" i="40" s="1"/>
  <c r="Q57" i="40"/>
  <c r="O57" i="40"/>
  <c r="M57" i="40"/>
  <c r="B57" i="40"/>
  <c r="BX56" i="40"/>
  <c r="BS56" i="40"/>
  <c r="BV56" i="40" s="1"/>
  <c r="BN56" i="40"/>
  <c r="AJ56" i="40"/>
  <c r="R56" i="40"/>
  <c r="Q56" i="40"/>
  <c r="O56" i="40"/>
  <c r="P56" i="40" s="1"/>
  <c r="N56" i="40"/>
  <c r="L56" i="40"/>
  <c r="J56" i="40"/>
  <c r="BK56" i="40" s="1"/>
  <c r="H56" i="40"/>
  <c r="F56" i="40"/>
  <c r="D56" i="40"/>
  <c r="BO55" i="40"/>
  <c r="BN55" i="40"/>
  <c r="BK55" i="40"/>
  <c r="BJ55" i="40"/>
  <c r="BI55" i="40"/>
  <c r="BH55" i="40"/>
  <c r="AJ55" i="40"/>
  <c r="R55" i="40"/>
  <c r="P55" i="40"/>
  <c r="N55" i="40"/>
  <c r="L55" i="40"/>
  <c r="J55" i="40"/>
  <c r="H55" i="40"/>
  <c r="F55" i="40"/>
  <c r="D55" i="40"/>
  <c r="BO54" i="40"/>
  <c r="BN54" i="40"/>
  <c r="BK54" i="40"/>
  <c r="BJ54" i="40"/>
  <c r="BI54" i="40"/>
  <c r="BH54" i="40"/>
  <c r="AJ54" i="40"/>
  <c r="R54" i="40"/>
  <c r="P54" i="40"/>
  <c r="N54" i="40"/>
  <c r="L54" i="40"/>
  <c r="J54" i="40"/>
  <c r="H54" i="40"/>
  <c r="F54" i="40"/>
  <c r="D54" i="40"/>
  <c r="BN53" i="40"/>
  <c r="BI53" i="40"/>
  <c r="BH53" i="40"/>
  <c r="AJ53" i="40"/>
  <c r="Q53" i="40"/>
  <c r="R53" i="40" s="1"/>
  <c r="BO53" i="40" s="1"/>
  <c r="P53" i="40"/>
  <c r="O53" i="40"/>
  <c r="N53" i="40"/>
  <c r="L53" i="40"/>
  <c r="J53" i="40"/>
  <c r="BK53" i="40" s="1"/>
  <c r="H53" i="40"/>
  <c r="BJ53" i="40" s="1"/>
  <c r="F53" i="40"/>
  <c r="D53" i="40"/>
  <c r="BX52" i="40"/>
  <c r="BW52" i="40"/>
  <c r="BV52" i="40"/>
  <c r="BT52" i="40"/>
  <c r="BS52" i="40"/>
  <c r="Q52" i="40"/>
  <c r="O52" i="40"/>
  <c r="M52" i="40"/>
  <c r="J52" i="40"/>
  <c r="J64" i="40" s="1"/>
  <c r="H52" i="40"/>
  <c r="B52" i="40"/>
  <c r="Q49" i="40"/>
  <c r="O49" i="40"/>
  <c r="M49" i="40"/>
  <c r="K49" i="40"/>
  <c r="I49" i="40"/>
  <c r="G49" i="40"/>
  <c r="E49" i="40"/>
  <c r="C49" i="40"/>
  <c r="B49" i="40"/>
  <c r="B48" i="40"/>
  <c r="B47" i="40"/>
  <c r="AC43" i="40"/>
  <c r="AD41" i="40"/>
  <c r="D38" i="40"/>
  <c r="D37" i="40"/>
  <c r="D35" i="40"/>
  <c r="D34" i="40"/>
  <c r="D32" i="40"/>
  <c r="D27" i="40"/>
  <c r="C27" i="40"/>
  <c r="W26" i="40"/>
  <c r="T26" i="40"/>
  <c r="BN19" i="40" s="1"/>
  <c r="Q26" i="40"/>
  <c r="Q19" i="40" s="1"/>
  <c r="N26" i="40"/>
  <c r="K26" i="40"/>
  <c r="BK17" i="40" s="1"/>
  <c r="H26" i="40"/>
  <c r="B26" i="40"/>
  <c r="BH15" i="40" s="1"/>
  <c r="Y22" i="40"/>
  <c r="V22" i="40"/>
  <c r="R22" i="40"/>
  <c r="M22" i="40"/>
  <c r="G22" i="40"/>
  <c r="D22" i="40"/>
  <c r="Y20" i="40"/>
  <c r="X20" i="40"/>
  <c r="U20" i="40"/>
  <c r="S20" i="40"/>
  <c r="R20" i="40"/>
  <c r="P20" i="40"/>
  <c r="O20" i="40"/>
  <c r="L20" i="40"/>
  <c r="J20" i="40"/>
  <c r="I20" i="40"/>
  <c r="F20" i="40"/>
  <c r="F22" i="40" s="1"/>
  <c r="F24" i="40" s="1"/>
  <c r="C20" i="40"/>
  <c r="BO19" i="40"/>
  <c r="W19" i="40"/>
  <c r="BO18" i="40"/>
  <c r="W18" i="40"/>
  <c r="BO17" i="40"/>
  <c r="BO16" i="40"/>
  <c r="W16" i="40"/>
  <c r="BO15" i="40"/>
  <c r="W15" i="40"/>
  <c r="BO14" i="40"/>
  <c r="W14" i="40"/>
  <c r="K14" i="40"/>
  <c r="Y12" i="40"/>
  <c r="X12" i="40"/>
  <c r="U12" i="40"/>
  <c r="U22" i="40" s="1"/>
  <c r="U24" i="40" s="1"/>
  <c r="S12" i="40"/>
  <c r="S22" i="40" s="1"/>
  <c r="R12" i="40"/>
  <c r="P12" i="40"/>
  <c r="P22" i="40" s="1"/>
  <c r="O12" i="40"/>
  <c r="O22" i="40" s="1"/>
  <c r="L12" i="40"/>
  <c r="L22" i="40" s="1"/>
  <c r="L24" i="40" s="1"/>
  <c r="J12" i="40"/>
  <c r="J22" i="40" s="1"/>
  <c r="I12" i="40"/>
  <c r="I22" i="40" s="1"/>
  <c r="I24" i="40" s="1"/>
  <c r="F12" i="40"/>
  <c r="C12" i="40"/>
  <c r="C22" i="40" s="1"/>
  <c r="C24" i="40" s="1"/>
  <c r="BO11" i="40"/>
  <c r="W11" i="40"/>
  <c r="BO10" i="40"/>
  <c r="W10" i="40"/>
  <c r="BO9" i="40"/>
  <c r="W9" i="40"/>
  <c r="BO8" i="40"/>
  <c r="W8" i="40"/>
  <c r="BO7" i="40"/>
  <c r="W6" i="40"/>
  <c r="Y4" i="40"/>
  <c r="W4" i="40"/>
  <c r="V4" i="40"/>
  <c r="U4" i="40"/>
  <c r="T4" i="40"/>
  <c r="S4" i="40"/>
  <c r="Q4" i="40"/>
  <c r="P4" i="40"/>
  <c r="N4" i="40"/>
  <c r="M4" i="40"/>
  <c r="K4" i="40"/>
  <c r="J4" i="40"/>
  <c r="H4" i="40"/>
  <c r="G4" i="40"/>
  <c r="F4" i="40"/>
  <c r="E4" i="40"/>
  <c r="AO156" i="39"/>
  <c r="AN155" i="39" s="1"/>
  <c r="AH155" i="39" s="1"/>
  <c r="AN154" i="39"/>
  <c r="AH154" i="39" s="1"/>
  <c r="AN152" i="39"/>
  <c r="AH152" i="39"/>
  <c r="AN150" i="39"/>
  <c r="AH150" i="39" s="1"/>
  <c r="B149" i="39"/>
  <c r="AN148" i="39"/>
  <c r="AH148" i="39" s="1"/>
  <c r="B148" i="39"/>
  <c r="AO145" i="39"/>
  <c r="AP143" i="39" s="1"/>
  <c r="AN145" i="39"/>
  <c r="AP144" i="39"/>
  <c r="AH144" i="39"/>
  <c r="AH143" i="39"/>
  <c r="AH145" i="39" s="1"/>
  <c r="AO139" i="39"/>
  <c r="AN137" i="39" s="1"/>
  <c r="AH137" i="39" s="1"/>
  <c r="AN135" i="39"/>
  <c r="AH135" i="39" s="1"/>
  <c r="B135" i="39"/>
  <c r="B134" i="39"/>
  <c r="B133" i="39"/>
  <c r="AN131" i="39"/>
  <c r="AH131" i="39"/>
  <c r="F119" i="39"/>
  <c r="B118" i="39"/>
  <c r="F117" i="39"/>
  <c r="B117" i="39"/>
  <c r="F115" i="39"/>
  <c r="B115" i="39"/>
  <c r="BJ94" i="39"/>
  <c r="F92" i="39"/>
  <c r="D92" i="39"/>
  <c r="B92" i="39"/>
  <c r="D91" i="39"/>
  <c r="F91" i="39" s="1"/>
  <c r="B91" i="39"/>
  <c r="D89" i="39"/>
  <c r="F89" i="39" s="1"/>
  <c r="F88" i="39"/>
  <c r="D88" i="39"/>
  <c r="AO86" i="39"/>
  <c r="D86" i="39"/>
  <c r="F86" i="39" s="1"/>
  <c r="AN85" i="39"/>
  <c r="AH85" i="39" s="1"/>
  <c r="D85" i="39"/>
  <c r="F85" i="39" s="1"/>
  <c r="AN84" i="39"/>
  <c r="AH84" i="39"/>
  <c r="AN82" i="39"/>
  <c r="AH82" i="39"/>
  <c r="H82" i="39"/>
  <c r="G82" i="39"/>
  <c r="F82" i="39"/>
  <c r="E82" i="39"/>
  <c r="D82" i="39"/>
  <c r="C82" i="39"/>
  <c r="B82" i="39"/>
  <c r="AN81" i="39"/>
  <c r="AH81" i="39"/>
  <c r="AN80" i="39"/>
  <c r="AN79" i="39"/>
  <c r="AH79" i="39"/>
  <c r="BJ77" i="39"/>
  <c r="AH76" i="39"/>
  <c r="AH75" i="39"/>
  <c r="AH77" i="39" s="1"/>
  <c r="BJ73" i="39"/>
  <c r="AH73" i="39"/>
  <c r="AH72" i="39"/>
  <c r="AH71" i="39"/>
  <c r="BI61" i="39"/>
  <c r="BH61" i="39"/>
  <c r="AJ61" i="39"/>
  <c r="R61" i="39"/>
  <c r="BO61" i="39" s="1"/>
  <c r="P61" i="39"/>
  <c r="BN61" i="39" s="1"/>
  <c r="N61" i="39"/>
  <c r="M61" i="39"/>
  <c r="L61" i="39"/>
  <c r="J61" i="39"/>
  <c r="BK61" i="39" s="1"/>
  <c r="H61" i="39"/>
  <c r="BJ61" i="39" s="1"/>
  <c r="F61" i="39"/>
  <c r="D61" i="39"/>
  <c r="BX60" i="39"/>
  <c r="BS60" i="39"/>
  <c r="BV60" i="39" s="1"/>
  <c r="BN60" i="39"/>
  <c r="BI60" i="39"/>
  <c r="BH60" i="39"/>
  <c r="AJ60" i="39"/>
  <c r="R60" i="39"/>
  <c r="BO60" i="39" s="1"/>
  <c r="P60" i="39"/>
  <c r="N60" i="39"/>
  <c r="M60" i="39"/>
  <c r="L60" i="39"/>
  <c r="J60" i="39"/>
  <c r="BK60" i="39" s="1"/>
  <c r="H60" i="39"/>
  <c r="BJ60" i="39" s="1"/>
  <c r="F60" i="39"/>
  <c r="D60" i="39"/>
  <c r="BS59" i="39"/>
  <c r="BV59" i="39" s="1"/>
  <c r="BX59" i="39" s="1"/>
  <c r="BI59" i="39"/>
  <c r="BH59" i="39"/>
  <c r="AJ59" i="39"/>
  <c r="R59" i="39"/>
  <c r="BO59" i="39" s="1"/>
  <c r="P59" i="39"/>
  <c r="BN59" i="39" s="1"/>
  <c r="N59" i="39"/>
  <c r="M59" i="39"/>
  <c r="L59" i="39"/>
  <c r="J59" i="39"/>
  <c r="BK59" i="39" s="1"/>
  <c r="H59" i="39"/>
  <c r="BJ59" i="39" s="1"/>
  <c r="F59" i="39"/>
  <c r="D59" i="39"/>
  <c r="BX58" i="39"/>
  <c r="BS58" i="39"/>
  <c r="BV58" i="39" s="1"/>
  <c r="BN58" i="39"/>
  <c r="BK58" i="39"/>
  <c r="AJ58" i="39"/>
  <c r="Q58" i="39"/>
  <c r="R58" i="39" s="1"/>
  <c r="BO58" i="39" s="1"/>
  <c r="P58" i="39"/>
  <c r="O58" i="39"/>
  <c r="M58" i="39"/>
  <c r="N58" i="39" s="1"/>
  <c r="L58" i="39"/>
  <c r="J58" i="39"/>
  <c r="H58" i="39"/>
  <c r="BJ58" i="39" s="1"/>
  <c r="F58" i="39"/>
  <c r="BI58" i="39" s="1"/>
  <c r="D58" i="39"/>
  <c r="BV57" i="39"/>
  <c r="BX57" i="39" s="1"/>
  <c r="BS57" i="39"/>
  <c r="Q57" i="39"/>
  <c r="O57" i="39"/>
  <c r="M57" i="39"/>
  <c r="B57" i="39"/>
  <c r="BS56" i="39"/>
  <c r="BV56" i="39" s="1"/>
  <c r="BX56" i="39" s="1"/>
  <c r="BO56" i="39"/>
  <c r="BH56" i="39"/>
  <c r="AJ56" i="39"/>
  <c r="R56" i="39"/>
  <c r="Q56" i="39"/>
  <c r="O56" i="39"/>
  <c r="P56" i="39" s="1"/>
  <c r="N56" i="39"/>
  <c r="L56" i="39"/>
  <c r="J56" i="39"/>
  <c r="BK56" i="39" s="1"/>
  <c r="H56" i="39"/>
  <c r="F56" i="39"/>
  <c r="D56" i="39"/>
  <c r="BO55" i="39"/>
  <c r="BN55" i="39"/>
  <c r="BK55" i="39"/>
  <c r="BJ55" i="39"/>
  <c r="BI55" i="39"/>
  <c r="BH55" i="39"/>
  <c r="AJ55" i="39"/>
  <c r="R55" i="39"/>
  <c r="P55" i="39"/>
  <c r="N55" i="39"/>
  <c r="L55" i="39"/>
  <c r="J55" i="39"/>
  <c r="H55" i="39"/>
  <c r="F55" i="39"/>
  <c r="D55" i="39"/>
  <c r="BO54" i="39"/>
  <c r="BN54" i="39"/>
  <c r="BK54" i="39"/>
  <c r="BJ54" i="39"/>
  <c r="BI54" i="39"/>
  <c r="BH54" i="39"/>
  <c r="AJ54" i="39"/>
  <c r="R54" i="39"/>
  <c r="P54" i="39"/>
  <c r="N54" i="39"/>
  <c r="L54" i="39"/>
  <c r="J54" i="39"/>
  <c r="H54" i="39"/>
  <c r="F54" i="39"/>
  <c r="D54" i="39"/>
  <c r="BN53" i="39"/>
  <c r="BI53" i="39"/>
  <c r="AJ53" i="39"/>
  <c r="Q53" i="39"/>
  <c r="R53" i="39" s="1"/>
  <c r="BO53" i="39" s="1"/>
  <c r="O53" i="39"/>
  <c r="P53" i="39" s="1"/>
  <c r="N53" i="39"/>
  <c r="L53" i="39"/>
  <c r="J53" i="39"/>
  <c r="BK53" i="39" s="1"/>
  <c r="H53" i="39"/>
  <c r="BJ53" i="39" s="1"/>
  <c r="F53" i="39"/>
  <c r="D53" i="39"/>
  <c r="BX52" i="39"/>
  <c r="BW52" i="39"/>
  <c r="BV52" i="39"/>
  <c r="BT52" i="39"/>
  <c r="BS52" i="39"/>
  <c r="Q52" i="39"/>
  <c r="O52" i="39"/>
  <c r="M52" i="39"/>
  <c r="J52" i="39"/>
  <c r="J64" i="39" s="1"/>
  <c r="H52" i="39"/>
  <c r="B52" i="39"/>
  <c r="Q49" i="39"/>
  <c r="O49" i="39"/>
  <c r="M49" i="39"/>
  <c r="K49" i="39"/>
  <c r="I49" i="39"/>
  <c r="G49" i="39"/>
  <c r="E49" i="39"/>
  <c r="C49" i="39"/>
  <c r="B49" i="39"/>
  <c r="B48" i="39"/>
  <c r="B47" i="39"/>
  <c r="AC43" i="39"/>
  <c r="AD41" i="39"/>
  <c r="D38" i="39"/>
  <c r="D37" i="39"/>
  <c r="D35" i="39"/>
  <c r="D27" i="39"/>
  <c r="C27" i="39"/>
  <c r="W26" i="39"/>
  <c r="T26" i="39"/>
  <c r="BN17" i="39" s="1"/>
  <c r="Q26" i="39"/>
  <c r="Q6" i="39" s="1"/>
  <c r="N26" i="39"/>
  <c r="N8" i="39" s="1"/>
  <c r="K26" i="39"/>
  <c r="BK19" i="39" s="1"/>
  <c r="Y22" i="39"/>
  <c r="X22" i="39"/>
  <c r="V22" i="39"/>
  <c r="P22" i="39"/>
  <c r="M22" i="39"/>
  <c r="L22" i="39"/>
  <c r="L24" i="39" s="1"/>
  <c r="G22" i="39"/>
  <c r="D22" i="39"/>
  <c r="Y20" i="39"/>
  <c r="X20" i="39"/>
  <c r="U20" i="39"/>
  <c r="S20" i="39"/>
  <c r="R20" i="39"/>
  <c r="P20" i="39"/>
  <c r="O20" i="39"/>
  <c r="L20" i="39"/>
  <c r="J20" i="39"/>
  <c r="I20" i="39"/>
  <c r="F20" i="39"/>
  <c r="C20" i="39"/>
  <c r="BO19" i="39"/>
  <c r="W19" i="39"/>
  <c r="BO18" i="39"/>
  <c r="W18" i="39"/>
  <c r="BO17" i="39"/>
  <c r="BO16" i="39"/>
  <c r="W16" i="39"/>
  <c r="BO15" i="39"/>
  <c r="W15" i="39"/>
  <c r="BO14" i="39"/>
  <c r="W14" i="39"/>
  <c r="Y12" i="39"/>
  <c r="X12" i="39"/>
  <c r="U12" i="39"/>
  <c r="U22" i="39" s="1"/>
  <c r="U24" i="39" s="1"/>
  <c r="S12" i="39"/>
  <c r="S22" i="39" s="1"/>
  <c r="R12" i="39"/>
  <c r="R22" i="39" s="1"/>
  <c r="P12" i="39"/>
  <c r="O12" i="39"/>
  <c r="L12" i="39"/>
  <c r="J12" i="39"/>
  <c r="J22" i="39" s="1"/>
  <c r="I12" i="39"/>
  <c r="F12" i="39"/>
  <c r="F22" i="39" s="1"/>
  <c r="F24" i="39" s="1"/>
  <c r="C12" i="39"/>
  <c r="C22" i="39" s="1"/>
  <c r="C24" i="39" s="1"/>
  <c r="BO11" i="39"/>
  <c r="W11" i="39"/>
  <c r="BO10" i="39"/>
  <c r="W10" i="39"/>
  <c r="BO9" i="39"/>
  <c r="W9" i="39"/>
  <c r="BO8" i="39"/>
  <c r="W8" i="39"/>
  <c r="BO7" i="39"/>
  <c r="W6" i="39"/>
  <c r="Y4" i="39"/>
  <c r="W4" i="39"/>
  <c r="V4" i="39"/>
  <c r="U4" i="39"/>
  <c r="T4" i="39"/>
  <c r="S4" i="39"/>
  <c r="Q4" i="39"/>
  <c r="P4" i="39"/>
  <c r="N4" i="39"/>
  <c r="M4" i="39"/>
  <c r="K4" i="39"/>
  <c r="J4" i="39"/>
  <c r="H4" i="39"/>
  <c r="G4" i="39"/>
  <c r="F4" i="39"/>
  <c r="E4" i="39"/>
  <c r="D37" i="35"/>
  <c r="D38" i="35"/>
  <c r="W6" i="35"/>
  <c r="W19" i="35"/>
  <c r="W18" i="35"/>
  <c r="W16" i="35"/>
  <c r="W15" i="35"/>
  <c r="W14" i="35"/>
  <c r="W11" i="35"/>
  <c r="W10" i="35"/>
  <c r="W9" i="35"/>
  <c r="W8" i="35"/>
  <c r="B149" i="35"/>
  <c r="B148" i="35"/>
  <c r="B134" i="35"/>
  <c r="B135" i="35"/>
  <c r="B133" i="35"/>
  <c r="D91" i="35"/>
  <c r="D88" i="35"/>
  <c r="F88" i="35" s="1"/>
  <c r="D92" i="35"/>
  <c r="D89" i="35"/>
  <c r="D86" i="35"/>
  <c r="F86" i="35" s="1"/>
  <c r="F89" i="35"/>
  <c r="F85" i="35"/>
  <c r="D85" i="35"/>
  <c r="B92" i="35"/>
  <c r="F92" i="35" s="1"/>
  <c r="B91" i="35"/>
  <c r="F91" i="35" s="1"/>
  <c r="BM18" i="39" l="1"/>
  <c r="Q18" i="44"/>
  <c r="N7" i="39"/>
  <c r="N19" i="44"/>
  <c r="K8" i="40"/>
  <c r="K10" i="40"/>
  <c r="BK8" i="46"/>
  <c r="BL15" i="43"/>
  <c r="K11" i="40"/>
  <c r="K7" i="45"/>
  <c r="BN7" i="42"/>
  <c r="T16" i="42"/>
  <c r="BK14" i="46"/>
  <c r="Q9" i="40"/>
  <c r="BK14" i="41"/>
  <c r="BI8" i="44"/>
  <c r="Q8" i="40"/>
  <c r="BN11" i="42"/>
  <c r="Q7" i="44"/>
  <c r="N15" i="44"/>
  <c r="N10" i="46"/>
  <c r="N6" i="39"/>
  <c r="K7" i="40"/>
  <c r="Q10" i="41"/>
  <c r="BK14" i="43"/>
  <c r="N9" i="46"/>
  <c r="N10" i="44"/>
  <c r="N7" i="46"/>
  <c r="N19" i="46"/>
  <c r="BK8" i="40"/>
  <c r="BK9" i="40"/>
  <c r="BK10" i="40"/>
  <c r="N6" i="44"/>
  <c r="N8" i="44"/>
  <c r="BI15" i="44"/>
  <c r="T9" i="48"/>
  <c r="BN10" i="39"/>
  <c r="T6" i="42"/>
  <c r="T15" i="42"/>
  <c r="BN9" i="42"/>
  <c r="T14" i="42"/>
  <c r="T18" i="42"/>
  <c r="BN8" i="45"/>
  <c r="BN11" i="45"/>
  <c r="Q7" i="46"/>
  <c r="BH10" i="40"/>
  <c r="Q11" i="40"/>
  <c r="Q14" i="40"/>
  <c r="BN8" i="41"/>
  <c r="T14" i="41"/>
  <c r="T6" i="45"/>
  <c r="BN7" i="45"/>
  <c r="Q15" i="46"/>
  <c r="N10" i="47"/>
  <c r="BM15" i="47"/>
  <c r="BN18" i="48"/>
  <c r="BN14" i="41"/>
  <c r="T18" i="41"/>
  <c r="Q16" i="48"/>
  <c r="BN7" i="41"/>
  <c r="T10" i="41"/>
  <c r="T11" i="41"/>
  <c r="Q7" i="42"/>
  <c r="Q8" i="42"/>
  <c r="Q9" i="42"/>
  <c r="Q10" i="42"/>
  <c r="Q11" i="42"/>
  <c r="Q14" i="42"/>
  <c r="Q15" i="42"/>
  <c r="BN17" i="42"/>
  <c r="BH14" i="46"/>
  <c r="Q10" i="48"/>
  <c r="BN11" i="48"/>
  <c r="Q19" i="41"/>
  <c r="N10" i="43"/>
  <c r="BK7" i="47"/>
  <c r="BK11" i="47"/>
  <c r="Q7" i="48"/>
  <c r="Q15" i="48"/>
  <c r="BK16" i="39"/>
  <c r="Q7" i="40"/>
  <c r="Q10" i="40"/>
  <c r="Q16" i="40"/>
  <c r="N9" i="43"/>
  <c r="Q8" i="46"/>
  <c r="K10" i="45"/>
  <c r="BK16" i="45"/>
  <c r="BK8" i="47"/>
  <c r="BM15" i="39"/>
  <c r="BK18" i="39"/>
  <c r="Q6" i="40"/>
  <c r="Q15" i="40"/>
  <c r="T6" i="41"/>
  <c r="BN11" i="41"/>
  <c r="Q9" i="46"/>
  <c r="Q10" i="46"/>
  <c r="Q16" i="46"/>
  <c r="N8" i="47"/>
  <c r="N14" i="47"/>
  <c r="BL15" i="47"/>
  <c r="BK16" i="47"/>
  <c r="BL18" i="47"/>
  <c r="BN19" i="39"/>
  <c r="BN14" i="39"/>
  <c r="T11" i="39"/>
  <c r="BM19" i="43"/>
  <c r="K16" i="43"/>
  <c r="K14" i="43"/>
  <c r="BK7" i="43"/>
  <c r="BL15" i="45"/>
  <c r="K14" i="45"/>
  <c r="BK10" i="45"/>
  <c r="K8" i="45"/>
  <c r="K6" i="45"/>
  <c r="BM19" i="45"/>
  <c r="BM18" i="45"/>
  <c r="BK17" i="45"/>
  <c r="K16" i="45"/>
  <c r="BK15" i="45"/>
  <c r="K11" i="45"/>
  <c r="BK9" i="45"/>
  <c r="BN18" i="46"/>
  <c r="T16" i="46"/>
  <c r="T14" i="46"/>
  <c r="Q6" i="38"/>
  <c r="T7" i="39"/>
  <c r="T8" i="39"/>
  <c r="T9" i="39"/>
  <c r="T10" i="39"/>
  <c r="T14" i="39"/>
  <c r="T15" i="39"/>
  <c r="BN15" i="39"/>
  <c r="BL18" i="39"/>
  <c r="BK15" i="39"/>
  <c r="BK8" i="39"/>
  <c r="K6" i="39"/>
  <c r="Q18" i="41"/>
  <c r="Q15" i="41"/>
  <c r="BK11" i="43"/>
  <c r="N18" i="43"/>
  <c r="N11" i="43"/>
  <c r="BJ14" i="44"/>
  <c r="K9" i="45"/>
  <c r="BK11" i="45"/>
  <c r="BK14" i="45"/>
  <c r="BM15" i="45"/>
  <c r="K19" i="45"/>
  <c r="BL19" i="45"/>
  <c r="BN7" i="46"/>
  <c r="T10" i="46"/>
  <c r="BN11" i="46"/>
  <c r="BK18" i="46"/>
  <c r="BK19" i="46"/>
  <c r="BL15" i="46"/>
  <c r="BK7" i="46"/>
  <c r="K6" i="46"/>
  <c r="BM18" i="46"/>
  <c r="K18" i="46"/>
  <c r="BK15" i="46"/>
  <c r="BN7" i="48"/>
  <c r="T6" i="48"/>
  <c r="T18" i="48"/>
  <c r="BN16" i="48"/>
  <c r="T6" i="39"/>
  <c r="BK7" i="39"/>
  <c r="T18" i="39"/>
  <c r="BN18" i="39"/>
  <c r="BL19" i="39"/>
  <c r="N18" i="39"/>
  <c r="N14" i="39"/>
  <c r="BL19" i="40"/>
  <c r="K18" i="40"/>
  <c r="BK16" i="40"/>
  <c r="BM15" i="40"/>
  <c r="K15" i="40"/>
  <c r="K9" i="40"/>
  <c r="K6" i="40"/>
  <c r="Q8" i="41"/>
  <c r="BN19" i="41"/>
  <c r="BN16" i="41"/>
  <c r="BN10" i="41"/>
  <c r="T9" i="41"/>
  <c r="T8" i="41"/>
  <c r="T7" i="41"/>
  <c r="Q19" i="42"/>
  <c r="Q18" i="42"/>
  <c r="N6" i="43"/>
  <c r="BK18" i="43"/>
  <c r="BJ11" i="44"/>
  <c r="BK7" i="45"/>
  <c r="BK8" i="45"/>
  <c r="BK18" i="45"/>
  <c r="T8" i="48"/>
  <c r="BN10" i="48"/>
  <c r="BN17" i="48"/>
  <c r="K19" i="48"/>
  <c r="BK11" i="48"/>
  <c r="BK10" i="48"/>
  <c r="BK9" i="48"/>
  <c r="BK8" i="48"/>
  <c r="K15" i="48"/>
  <c r="K14" i="48"/>
  <c r="BK7" i="48"/>
  <c r="K6" i="48"/>
  <c r="BN8" i="39"/>
  <c r="BK9" i="39"/>
  <c r="BK10" i="39"/>
  <c r="BK11" i="39"/>
  <c r="BK14" i="39"/>
  <c r="BL15" i="39"/>
  <c r="T16" i="39"/>
  <c r="BK17" i="39"/>
  <c r="BM19" i="39"/>
  <c r="BK7" i="40"/>
  <c r="BK14" i="40"/>
  <c r="BL15" i="40"/>
  <c r="BN9" i="41"/>
  <c r="T15" i="41"/>
  <c r="T16" i="41"/>
  <c r="BN17" i="41"/>
  <c r="BN18" i="41"/>
  <c r="BL19" i="41"/>
  <c r="K10" i="41"/>
  <c r="BK8" i="43"/>
  <c r="BK9" i="43"/>
  <c r="BK15" i="43"/>
  <c r="BM18" i="43"/>
  <c r="BK19" i="43"/>
  <c r="BJ9" i="44"/>
  <c r="Q16" i="44"/>
  <c r="Q14" i="44"/>
  <c r="Q11" i="44"/>
  <c r="Q9" i="44"/>
  <c r="Q6" i="44"/>
  <c r="K15" i="45"/>
  <c r="K18" i="45"/>
  <c r="BL18" i="45"/>
  <c r="BN18" i="45"/>
  <c r="BN17" i="45"/>
  <c r="BN9" i="45"/>
  <c r="BN14" i="45"/>
  <c r="T15" i="48"/>
  <c r="T16" i="48"/>
  <c r="BK9" i="47"/>
  <c r="BK10" i="47"/>
  <c r="E26" i="39"/>
  <c r="E6" i="39" s="1"/>
  <c r="BH8" i="40"/>
  <c r="BL19" i="44"/>
  <c r="BL18" i="44"/>
  <c r="K18" i="44"/>
  <c r="K16" i="44"/>
  <c r="BL15" i="44"/>
  <c r="BK14" i="44"/>
  <c r="K14" i="44"/>
  <c r="BK10" i="44"/>
  <c r="K10" i="44"/>
  <c r="K6" i="44"/>
  <c r="N19" i="39"/>
  <c r="N16" i="39"/>
  <c r="N15" i="39"/>
  <c r="N11" i="39"/>
  <c r="N9" i="39"/>
  <c r="N16" i="42"/>
  <c r="N10" i="42"/>
  <c r="BK9" i="44"/>
  <c r="K15" i="44"/>
  <c r="BK19" i="44"/>
  <c r="N9" i="45"/>
  <c r="N10" i="45"/>
  <c r="N14" i="45"/>
  <c r="N15" i="45"/>
  <c r="N18" i="46"/>
  <c r="N8" i="46"/>
  <c r="BM19" i="47"/>
  <c r="K19" i="47"/>
  <c r="BK18" i="47"/>
  <c r="BK17" i="47"/>
  <c r="K16" i="47"/>
  <c r="BK15" i="47"/>
  <c r="BK14" i="47"/>
  <c r="K10" i="47"/>
  <c r="K9" i="47"/>
  <c r="K7" i="47"/>
  <c r="K9" i="41"/>
  <c r="N19" i="40"/>
  <c r="N6" i="40"/>
  <c r="BM19" i="42"/>
  <c r="BN9" i="38"/>
  <c r="BN15" i="38"/>
  <c r="BN7" i="38"/>
  <c r="N9" i="40"/>
  <c r="BK7" i="44"/>
  <c r="K9" i="44"/>
  <c r="BK15" i="44"/>
  <c r="K19" i="44"/>
  <c r="N8" i="45"/>
  <c r="N11" i="45"/>
  <c r="Q18" i="48"/>
  <c r="Q8" i="48"/>
  <c r="Q6" i="48"/>
  <c r="BN10" i="38"/>
  <c r="BN18" i="38"/>
  <c r="BL19" i="38"/>
  <c r="BL18" i="38"/>
  <c r="BM19" i="38"/>
  <c r="BK7" i="41"/>
  <c r="K19" i="41"/>
  <c r="N19" i="41"/>
  <c r="N18" i="41"/>
  <c r="N11" i="42"/>
  <c r="BK14" i="42"/>
  <c r="K19" i="43"/>
  <c r="BL19" i="43"/>
  <c r="BK16" i="43"/>
  <c r="BM15" i="43"/>
  <c r="K15" i="43"/>
  <c r="BK10" i="43"/>
  <c r="K9" i="43"/>
  <c r="K6" i="43"/>
  <c r="BM15" i="44"/>
  <c r="BK17" i="44"/>
  <c r="BK18" i="44"/>
  <c r="BM19" i="44"/>
  <c r="BI11" i="44"/>
  <c r="BI9" i="44"/>
  <c r="Q15" i="44"/>
  <c r="Q8" i="44"/>
  <c r="N6" i="45"/>
  <c r="N16" i="45"/>
  <c r="T19" i="45"/>
  <c r="T18" i="45"/>
  <c r="BN16" i="45"/>
  <c r="BN15" i="45"/>
  <c r="T7" i="45"/>
  <c r="N6" i="46"/>
  <c r="N11" i="46"/>
  <c r="Q19" i="46"/>
  <c r="Q14" i="46"/>
  <c r="Q6" i="46"/>
  <c r="K6" i="47"/>
  <c r="K8" i="47"/>
  <c r="K11" i="47"/>
  <c r="K14" i="47"/>
  <c r="K15" i="47"/>
  <c r="BM18" i="47"/>
  <c r="BL19" i="47"/>
  <c r="Q11" i="48"/>
  <c r="BN19" i="48"/>
  <c r="BN15" i="48"/>
  <c r="T14" i="48"/>
  <c r="T10" i="48"/>
  <c r="BN8" i="48"/>
  <c r="T7" i="48"/>
  <c r="BN16" i="38"/>
  <c r="N10" i="39"/>
  <c r="T19" i="39"/>
  <c r="BN16" i="39"/>
  <c r="BN11" i="39"/>
  <c r="BN9" i="39"/>
  <c r="BN7" i="39"/>
  <c r="K19" i="40"/>
  <c r="BM19" i="40"/>
  <c r="BK11" i="40"/>
  <c r="N9" i="41"/>
  <c r="BL15" i="41"/>
  <c r="Q16" i="41"/>
  <c r="Q14" i="41"/>
  <c r="Q9" i="41"/>
  <c r="Q7" i="41"/>
  <c r="N7" i="42"/>
  <c r="BL15" i="42"/>
  <c r="T19" i="42"/>
  <c r="BN19" i="42"/>
  <c r="BN18" i="42"/>
  <c r="BN16" i="42"/>
  <c r="BN14" i="42"/>
  <c r="T11" i="42"/>
  <c r="BN10" i="42"/>
  <c r="BN8" i="42"/>
  <c r="K8" i="43"/>
  <c r="K10" i="43"/>
  <c r="K11" i="43"/>
  <c r="BL18" i="43"/>
  <c r="N16" i="43"/>
  <c r="N14" i="43"/>
  <c r="N8" i="43"/>
  <c r="N7" i="43"/>
  <c r="K7" i="44"/>
  <c r="K8" i="44"/>
  <c r="BK8" i="44"/>
  <c r="K11" i="44"/>
  <c r="BK11" i="44"/>
  <c r="BK16" i="44"/>
  <c r="BM18" i="44"/>
  <c r="Q19" i="44"/>
  <c r="T10" i="44"/>
  <c r="BN7" i="44"/>
  <c r="Q6" i="45"/>
  <c r="N7" i="45"/>
  <c r="T8" i="45"/>
  <c r="T9" i="45"/>
  <c r="T10" i="45"/>
  <c r="T11" i="45"/>
  <c r="T14" i="45"/>
  <c r="T15" i="45"/>
  <c r="T16" i="45"/>
  <c r="N18" i="45"/>
  <c r="Q11" i="46"/>
  <c r="N14" i="46"/>
  <c r="N16" i="46"/>
  <c r="T11" i="46"/>
  <c r="T15" i="46"/>
  <c r="T7" i="46"/>
  <c r="K18" i="47"/>
  <c r="BN9" i="48"/>
  <c r="T11" i="48"/>
  <c r="BN8" i="38"/>
  <c r="T10" i="38"/>
  <c r="N7" i="47"/>
  <c r="BN14" i="47"/>
  <c r="N18" i="47"/>
  <c r="N19" i="47"/>
  <c r="BN7" i="47"/>
  <c r="N9" i="47"/>
  <c r="N16" i="47"/>
  <c r="T18" i="47"/>
  <c r="N15" i="47"/>
  <c r="N6" i="47"/>
  <c r="T6" i="47"/>
  <c r="Q10" i="47"/>
  <c r="T11" i="47"/>
  <c r="BN15" i="47"/>
  <c r="BN16" i="47"/>
  <c r="T19" i="47"/>
  <c r="T9" i="47"/>
  <c r="T10" i="47"/>
  <c r="T8" i="47"/>
  <c r="Q7" i="47"/>
  <c r="BN11" i="47"/>
  <c r="Q14" i="47"/>
  <c r="T15" i="47"/>
  <c r="BN17" i="47"/>
  <c r="T7" i="47"/>
  <c r="BN9" i="47"/>
  <c r="BN10" i="47"/>
  <c r="T14" i="47"/>
  <c r="BN18" i="47"/>
  <c r="BN8" i="47"/>
  <c r="T16" i="47"/>
  <c r="T6" i="46"/>
  <c r="T18" i="46"/>
  <c r="T19" i="46"/>
  <c r="T9" i="46"/>
  <c r="BN10" i="46"/>
  <c r="BN16" i="46"/>
  <c r="T8" i="46"/>
  <c r="BH19" i="46"/>
  <c r="BN9" i="46"/>
  <c r="BN14" i="46"/>
  <c r="BN15" i="46"/>
  <c r="BN17" i="46"/>
  <c r="BN8" i="46"/>
  <c r="BK9" i="46"/>
  <c r="BH10" i="46"/>
  <c r="K14" i="46"/>
  <c r="BM15" i="46"/>
  <c r="BL19" i="46"/>
  <c r="BK10" i="46"/>
  <c r="BK11" i="46"/>
  <c r="K15" i="46"/>
  <c r="BK16" i="46"/>
  <c r="K19" i="46"/>
  <c r="BM19" i="46"/>
  <c r="K8" i="46"/>
  <c r="K7" i="46"/>
  <c r="K9" i="46"/>
  <c r="K10" i="46"/>
  <c r="K11" i="46"/>
  <c r="K16" i="46"/>
  <c r="BK17" i="46"/>
  <c r="BN19" i="45"/>
  <c r="BI9" i="45"/>
  <c r="BH10" i="45"/>
  <c r="BH19" i="45"/>
  <c r="BN15" i="44"/>
  <c r="BN16" i="44"/>
  <c r="T18" i="44"/>
  <c r="T6" i="44"/>
  <c r="BN9" i="44"/>
  <c r="BN10" i="44"/>
  <c r="BN11" i="44"/>
  <c r="T14" i="44"/>
  <c r="T15" i="44"/>
  <c r="T19" i="44"/>
  <c r="T8" i="44"/>
  <c r="T9" i="44"/>
  <c r="BN17" i="44"/>
  <c r="BN8" i="44"/>
  <c r="T7" i="44"/>
  <c r="T11" i="44"/>
  <c r="BN14" i="44"/>
  <c r="T16" i="44"/>
  <c r="BN18" i="44"/>
  <c r="BK17" i="43"/>
  <c r="BN17" i="43"/>
  <c r="Q7" i="43"/>
  <c r="BN8" i="43"/>
  <c r="N15" i="43"/>
  <c r="K18" i="43"/>
  <c r="Q11" i="43"/>
  <c r="Q15" i="43"/>
  <c r="Q16" i="43"/>
  <c r="Q10" i="43"/>
  <c r="Q14" i="43"/>
  <c r="T18" i="43"/>
  <c r="Q19" i="43"/>
  <c r="Q18" i="43"/>
  <c r="Q6" i="43"/>
  <c r="Q9" i="43"/>
  <c r="T9" i="43"/>
  <c r="BI14" i="42"/>
  <c r="BK15" i="42"/>
  <c r="BM15" i="42"/>
  <c r="BK18" i="42"/>
  <c r="BK17" i="42"/>
  <c r="BL18" i="42"/>
  <c r="BK19" i="42"/>
  <c r="BK9" i="42"/>
  <c r="BK10" i="42"/>
  <c r="BK11" i="42"/>
  <c r="BM18" i="42"/>
  <c r="BL19" i="42"/>
  <c r="K6" i="42"/>
  <c r="BK7" i="42"/>
  <c r="BK8" i="42"/>
  <c r="BB76" i="42"/>
  <c r="BI76" i="42" s="1"/>
  <c r="BI7" i="42"/>
  <c r="N14" i="42"/>
  <c r="K6" i="41"/>
  <c r="K11" i="41"/>
  <c r="BM15" i="41"/>
  <c r="K8" i="41"/>
  <c r="K15" i="41"/>
  <c r="BK17" i="41"/>
  <c r="BK18" i="41"/>
  <c r="K14" i="41"/>
  <c r="K16" i="41"/>
  <c r="BL18" i="41"/>
  <c r="BJ19" i="41"/>
  <c r="K7" i="41"/>
  <c r="BK11" i="41"/>
  <c r="BM18" i="41"/>
  <c r="BK19" i="41"/>
  <c r="BK10" i="41"/>
  <c r="K18" i="41"/>
  <c r="BM19" i="41"/>
  <c r="BK8" i="41"/>
  <c r="BK9" i="41"/>
  <c r="BK15" i="41"/>
  <c r="Q18" i="40"/>
  <c r="N8" i="40"/>
  <c r="N16" i="40"/>
  <c r="N18" i="40"/>
  <c r="N7" i="40"/>
  <c r="N11" i="40"/>
  <c r="N15" i="40"/>
  <c r="N10" i="40"/>
  <c r="N14" i="40"/>
  <c r="BK18" i="40"/>
  <c r="BK15" i="40"/>
  <c r="BL18" i="40"/>
  <c r="BM18" i="40"/>
  <c r="K16" i="40"/>
  <c r="BN14" i="40"/>
  <c r="BN7" i="40"/>
  <c r="BN15" i="40"/>
  <c r="BN16" i="40"/>
  <c r="T6" i="40"/>
  <c r="BN10" i="40"/>
  <c r="BN11" i="40"/>
  <c r="BN8" i="40"/>
  <c r="BN17" i="40"/>
  <c r="BN18" i="40"/>
  <c r="BN9" i="40"/>
  <c r="BK19" i="40"/>
  <c r="T8" i="38"/>
  <c r="T16" i="38"/>
  <c r="T19" i="38"/>
  <c r="T14" i="38"/>
  <c r="BN17" i="38"/>
  <c r="T11" i="38"/>
  <c r="BN14" i="38"/>
  <c r="BN19" i="38"/>
  <c r="T6" i="38"/>
  <c r="T9" i="38"/>
  <c r="BN11" i="38"/>
  <c r="T18" i="38"/>
  <c r="T15" i="38"/>
  <c r="T7" i="38"/>
  <c r="N11" i="38"/>
  <c r="N14" i="38"/>
  <c r="N8" i="38"/>
  <c r="N16" i="38"/>
  <c r="N6" i="38"/>
  <c r="N7" i="38"/>
  <c r="N19" i="38"/>
  <c r="N18" i="38"/>
  <c r="N10" i="38"/>
  <c r="N9" i="38"/>
  <c r="T19" i="48"/>
  <c r="Q14" i="48"/>
  <c r="Q9" i="48"/>
  <c r="N19" i="48"/>
  <c r="N6" i="48"/>
  <c r="N10" i="48"/>
  <c r="N16" i="48"/>
  <c r="N18" i="48"/>
  <c r="N14" i="48"/>
  <c r="N7" i="48"/>
  <c r="N11" i="48"/>
  <c r="N9" i="48"/>
  <c r="N8" i="48"/>
  <c r="K16" i="48"/>
  <c r="BK17" i="48"/>
  <c r="BK18" i="48"/>
  <c r="BL18" i="48"/>
  <c r="K7" i="48"/>
  <c r="BK14" i="48"/>
  <c r="BK15" i="48"/>
  <c r="K18" i="48"/>
  <c r="BL19" i="48"/>
  <c r="K8" i="48"/>
  <c r="K10" i="48"/>
  <c r="BK19" i="48"/>
  <c r="BL15" i="48"/>
  <c r="BM19" i="48"/>
  <c r="K9" i="48"/>
  <c r="K11" i="48"/>
  <c r="BM18" i="48"/>
  <c r="BM15" i="48"/>
  <c r="BK16" i="48"/>
  <c r="BJ7" i="47"/>
  <c r="D32" i="41"/>
  <c r="D41" i="41" s="1"/>
  <c r="D161" i="41" s="1"/>
  <c r="BH9" i="44"/>
  <c r="B41" i="40"/>
  <c r="C39" i="40" s="1"/>
  <c r="E26" i="40"/>
  <c r="AE56" i="40" s="1"/>
  <c r="B26" i="43"/>
  <c r="B6" i="43" s="1"/>
  <c r="B26" i="38"/>
  <c r="BH10" i="38" s="1"/>
  <c r="BH10" i="41"/>
  <c r="BJ18" i="41"/>
  <c r="D34" i="43"/>
  <c r="D41" i="43" s="1"/>
  <c r="D161" i="43" s="1"/>
  <c r="B6" i="46"/>
  <c r="BH9" i="46"/>
  <c r="BH16" i="46"/>
  <c r="BH8" i="47"/>
  <c r="BJ15" i="41"/>
  <c r="BJ16" i="41"/>
  <c r="C31" i="42"/>
  <c r="BH7" i="46"/>
  <c r="BH11" i="46"/>
  <c r="BH15" i="46"/>
  <c r="BH17" i="46"/>
  <c r="E26" i="38"/>
  <c r="BI19" i="38" s="1"/>
  <c r="BI10" i="42"/>
  <c r="BJ11" i="41"/>
  <c r="BH8" i="46"/>
  <c r="B41" i="46"/>
  <c r="C39" i="46" s="1"/>
  <c r="BH16" i="47"/>
  <c r="BJ7" i="41"/>
  <c r="BJ17" i="41"/>
  <c r="BH7" i="47"/>
  <c r="BJ17" i="42"/>
  <c r="BI18" i="42"/>
  <c r="BJ16" i="47"/>
  <c r="BI9" i="42"/>
  <c r="BI19" i="44"/>
  <c r="BJ8" i="47"/>
  <c r="BJ9" i="47"/>
  <c r="BJ14" i="47"/>
  <c r="E6" i="44"/>
  <c r="BJ10" i="47"/>
  <c r="BI11" i="47"/>
  <c r="BJ15" i="47"/>
  <c r="BI16" i="42"/>
  <c r="BJ11" i="47"/>
  <c r="BJ17" i="47"/>
  <c r="BJ18" i="47"/>
  <c r="G107" i="47"/>
  <c r="BB76" i="41"/>
  <c r="BI76" i="41" s="1"/>
  <c r="BI15" i="41"/>
  <c r="BI17" i="41"/>
  <c r="BI11" i="41"/>
  <c r="BI7" i="41"/>
  <c r="BI19" i="41"/>
  <c r="BI10" i="41"/>
  <c r="BI14" i="41"/>
  <c r="E6" i="41"/>
  <c r="BI18" i="41"/>
  <c r="BI9" i="41"/>
  <c r="BI16" i="41"/>
  <c r="BI8" i="41"/>
  <c r="BI11" i="43"/>
  <c r="BI14" i="43"/>
  <c r="BI16" i="43"/>
  <c r="BI10" i="43"/>
  <c r="BI19" i="43"/>
  <c r="BI9" i="43"/>
  <c r="BI15" i="43"/>
  <c r="BI18" i="43"/>
  <c r="BI8" i="43"/>
  <c r="BI7" i="43"/>
  <c r="BI17" i="43"/>
  <c r="E6" i="43"/>
  <c r="BJ7" i="40"/>
  <c r="BJ9" i="40"/>
  <c r="BJ11" i="40"/>
  <c r="BJ14" i="40"/>
  <c r="BJ19" i="40"/>
  <c r="BH17" i="42"/>
  <c r="BH11" i="44"/>
  <c r="E26" i="46"/>
  <c r="BJ16" i="40"/>
  <c r="BH18" i="40"/>
  <c r="E6" i="42"/>
  <c r="BI17" i="42"/>
  <c r="B6" i="44"/>
  <c r="BJ8" i="44"/>
  <c r="BI15" i="45"/>
  <c r="H26" i="45"/>
  <c r="BB76" i="45" s="1"/>
  <c r="BI76" i="45" s="1"/>
  <c r="H26" i="46"/>
  <c r="H19" i="46" s="1"/>
  <c r="BH11" i="47"/>
  <c r="BH14" i="47"/>
  <c r="BJ18" i="40"/>
  <c r="BH7" i="42"/>
  <c r="BH14" i="42"/>
  <c r="BH16" i="42"/>
  <c r="BB76" i="44"/>
  <c r="BI76" i="44" s="1"/>
  <c r="BJ17" i="44"/>
  <c r="BJ19" i="44"/>
  <c r="BI10" i="45"/>
  <c r="BH9" i="47"/>
  <c r="BI17" i="45"/>
  <c r="BH17" i="40"/>
  <c r="B41" i="41"/>
  <c r="C40" i="41" s="1"/>
  <c r="BH8" i="42"/>
  <c r="BI11" i="42"/>
  <c r="BH15" i="42"/>
  <c r="B41" i="43"/>
  <c r="C34" i="43" s="1"/>
  <c r="BI7" i="44"/>
  <c r="BH16" i="44"/>
  <c r="BH18" i="44"/>
  <c r="BI8" i="45"/>
  <c r="BI19" i="45"/>
  <c r="B6" i="47"/>
  <c r="BH17" i="47"/>
  <c r="C31" i="47"/>
  <c r="BJ8" i="40"/>
  <c r="BJ10" i="40"/>
  <c r="BJ15" i="40"/>
  <c r="BH11" i="42"/>
  <c r="D32" i="39"/>
  <c r="BH7" i="40"/>
  <c r="BH9" i="40"/>
  <c r="BH11" i="40"/>
  <c r="BH14" i="40"/>
  <c r="BI8" i="42"/>
  <c r="BI15" i="42"/>
  <c r="BJ7" i="44"/>
  <c r="BI10" i="44"/>
  <c r="BI16" i="44"/>
  <c r="BI18" i="44"/>
  <c r="BI14" i="45"/>
  <c r="BI16" i="45"/>
  <c r="BH7" i="44"/>
  <c r="BJ17" i="40"/>
  <c r="BJ8" i="42"/>
  <c r="BJ15" i="42"/>
  <c r="BJ10" i="44"/>
  <c r="BI14" i="44"/>
  <c r="BJ16" i="44"/>
  <c r="BJ18" i="44"/>
  <c r="E6" i="45"/>
  <c r="BI11" i="45"/>
  <c r="BI18" i="45"/>
  <c r="BH10" i="47"/>
  <c r="BH18" i="47"/>
  <c r="C38" i="47"/>
  <c r="BP53" i="47"/>
  <c r="BR53" i="47" s="1"/>
  <c r="BI19" i="47"/>
  <c r="B27" i="47"/>
  <c r="H18" i="47" s="1"/>
  <c r="C32" i="47"/>
  <c r="C34" i="47"/>
  <c r="C36" i="47"/>
  <c r="D41" i="47"/>
  <c r="D161" i="47" s="1"/>
  <c r="AE59" i="47"/>
  <c r="W20" i="47"/>
  <c r="C37" i="47"/>
  <c r="C39" i="47"/>
  <c r="BH19" i="47"/>
  <c r="C33" i="47"/>
  <c r="C35" i="47"/>
  <c r="AE54" i="47"/>
  <c r="D41" i="46"/>
  <c r="D161" i="46" s="1"/>
  <c r="W20" i="46"/>
  <c r="D41" i="45"/>
  <c r="D161" i="45" s="1"/>
  <c r="B41" i="45"/>
  <c r="C36" i="45" s="1"/>
  <c r="BH7" i="45"/>
  <c r="BH11" i="45"/>
  <c r="W20" i="45"/>
  <c r="BH18" i="45"/>
  <c r="BH8" i="45"/>
  <c r="BH14" i="45"/>
  <c r="BH16" i="45"/>
  <c r="B6" i="45"/>
  <c r="BH9" i="45"/>
  <c r="BH15" i="45"/>
  <c r="C31" i="44"/>
  <c r="D41" i="44"/>
  <c r="D161" i="44" s="1"/>
  <c r="AE54" i="44"/>
  <c r="BB72" i="44"/>
  <c r="BI72" i="44" s="1"/>
  <c r="BB93" i="44"/>
  <c r="BI93" i="44" s="1"/>
  <c r="C32" i="44"/>
  <c r="C34" i="44"/>
  <c r="C36" i="44"/>
  <c r="C37" i="44"/>
  <c r="C39" i="44"/>
  <c r="C38" i="44"/>
  <c r="BH14" i="44"/>
  <c r="C33" i="44"/>
  <c r="C35" i="44"/>
  <c r="AE55" i="44"/>
  <c r="W20" i="43"/>
  <c r="BJ7" i="42"/>
  <c r="BJ11" i="42"/>
  <c r="BJ9" i="42"/>
  <c r="BJ16" i="42"/>
  <c r="BJ18" i="42"/>
  <c r="BJ10" i="42"/>
  <c r="BJ14" i="42"/>
  <c r="BJ19" i="42"/>
  <c r="BB72" i="42"/>
  <c r="BI72" i="42" s="1"/>
  <c r="D41" i="42"/>
  <c r="D161" i="42" s="1"/>
  <c r="C35" i="42"/>
  <c r="C33" i="42"/>
  <c r="C40" i="42"/>
  <c r="G107" i="42"/>
  <c r="C32" i="42"/>
  <c r="C38" i="42"/>
  <c r="BB93" i="42"/>
  <c r="BI93" i="42" s="1"/>
  <c r="W20" i="42"/>
  <c r="C34" i="42"/>
  <c r="C36" i="42"/>
  <c r="AE55" i="42"/>
  <c r="AE59" i="42"/>
  <c r="C37" i="42"/>
  <c r="AE54" i="42"/>
  <c r="AE61" i="42"/>
  <c r="C107" i="42"/>
  <c r="C108" i="42" s="1"/>
  <c r="AC33" i="42" s="1"/>
  <c r="BJ10" i="41"/>
  <c r="BJ14" i="41"/>
  <c r="BJ8" i="41"/>
  <c r="BB72" i="41"/>
  <c r="BI72" i="41" s="1"/>
  <c r="BB93" i="41"/>
  <c r="BI93" i="41" s="1"/>
  <c r="W20" i="41"/>
  <c r="AE55" i="41"/>
  <c r="AE54" i="41"/>
  <c r="BJ10" i="39"/>
  <c r="BJ7" i="39"/>
  <c r="D34" i="39"/>
  <c r="B41" i="39"/>
  <c r="C36" i="39" s="1"/>
  <c r="BH11" i="39"/>
  <c r="BH19" i="39"/>
  <c r="BH7" i="39"/>
  <c r="BH17" i="39"/>
  <c r="BI19" i="48"/>
  <c r="BI10" i="48"/>
  <c r="BI18" i="48"/>
  <c r="BI14" i="48"/>
  <c r="BI15" i="48"/>
  <c r="BI9" i="48"/>
  <c r="BI17" i="48"/>
  <c r="BI11" i="48"/>
  <c r="BI7" i="48"/>
  <c r="BI16" i="48"/>
  <c r="BI8" i="48"/>
  <c r="D41" i="40"/>
  <c r="E41" i="40" s="1"/>
  <c r="BH16" i="40"/>
  <c r="BH19" i="40"/>
  <c r="BJ9" i="39"/>
  <c r="BJ19" i="39"/>
  <c r="BJ8" i="39"/>
  <c r="W20" i="48"/>
  <c r="D34" i="38"/>
  <c r="D41" i="38" s="1"/>
  <c r="BK7" i="38"/>
  <c r="BO9" i="38"/>
  <c r="W10" i="38"/>
  <c r="BK11" i="38"/>
  <c r="BK14" i="38"/>
  <c r="BK16" i="38"/>
  <c r="BM18" i="38"/>
  <c r="F52" i="38"/>
  <c r="BK52" i="38"/>
  <c r="AJ52" i="38"/>
  <c r="P52" i="38"/>
  <c r="P64" i="38" s="1"/>
  <c r="L52" i="38"/>
  <c r="L64" i="38" s="1"/>
  <c r="D52" i="38"/>
  <c r="BH52" i="38" s="1"/>
  <c r="J52" i="38"/>
  <c r="J64" i="38" s="1"/>
  <c r="H65" i="38"/>
  <c r="BN56" i="38"/>
  <c r="R65" i="38"/>
  <c r="B120" i="38"/>
  <c r="AP143" i="38"/>
  <c r="AP145" i="38" s="1"/>
  <c r="AP144" i="38"/>
  <c r="BH58" i="38"/>
  <c r="BK8" i="38"/>
  <c r="BO10" i="38"/>
  <c r="W11" i="38"/>
  <c r="W14" i="38"/>
  <c r="BK15" i="38"/>
  <c r="BO15" i="38"/>
  <c r="W16" i="38"/>
  <c r="BK17" i="38"/>
  <c r="BK19" i="38"/>
  <c r="BO19" i="38"/>
  <c r="H52" i="38"/>
  <c r="H64" i="38" s="1"/>
  <c r="H66" i="38" s="1"/>
  <c r="F94" i="38"/>
  <c r="AH139" i="38"/>
  <c r="BN57" i="38"/>
  <c r="AN139" i="38"/>
  <c r="K6" i="38"/>
  <c r="W6" i="38"/>
  <c r="BO7" i="38"/>
  <c r="W8" i="38"/>
  <c r="BK9" i="38"/>
  <c r="BO11" i="38"/>
  <c r="BO14" i="38"/>
  <c r="W15" i="38"/>
  <c r="BL15" i="38"/>
  <c r="BO16" i="38"/>
  <c r="BK18" i="38"/>
  <c r="BO18" i="38"/>
  <c r="K19" i="38"/>
  <c r="H26" i="38"/>
  <c r="B41" i="38"/>
  <c r="C32" i="38" s="1"/>
  <c r="R52" i="38"/>
  <c r="R64" i="38" s="1"/>
  <c r="R66" i="38" s="1"/>
  <c r="L65" i="38"/>
  <c r="AH77" i="38"/>
  <c r="AH148" i="38"/>
  <c r="AH156" i="38" s="1"/>
  <c r="AN156" i="38"/>
  <c r="BI56" i="38"/>
  <c r="J57" i="38"/>
  <c r="J65" i="38" s="1"/>
  <c r="BJ57" i="38"/>
  <c r="BH59" i="38"/>
  <c r="BH60" i="38"/>
  <c r="BH61" i="38"/>
  <c r="AH79" i="38"/>
  <c r="AH86" i="38" s="1"/>
  <c r="BJ56" i="38"/>
  <c r="D57" i="38"/>
  <c r="D65" i="38" s="1"/>
  <c r="L57" i="38"/>
  <c r="P57" i="38"/>
  <c r="P65" i="38" s="1"/>
  <c r="AJ57" i="38"/>
  <c r="F57" i="38"/>
  <c r="BI57" i="38" s="1"/>
  <c r="BH57" i="38"/>
  <c r="R65" i="48"/>
  <c r="AN139" i="48"/>
  <c r="D65" i="48"/>
  <c r="BH58" i="48"/>
  <c r="AP143" i="48"/>
  <c r="AP145" i="48" s="1"/>
  <c r="AP144" i="48"/>
  <c r="F52" i="48"/>
  <c r="F64" i="48" s="1"/>
  <c r="AJ52" i="48"/>
  <c r="P52" i="48"/>
  <c r="P64" i="48" s="1"/>
  <c r="P66" i="48" s="1"/>
  <c r="L52" i="48"/>
  <c r="L64" i="48" s="1"/>
  <c r="L66" i="48" s="1"/>
  <c r="D52" i="48"/>
  <c r="BH52" i="48" s="1"/>
  <c r="BJ52" i="48"/>
  <c r="J52" i="48"/>
  <c r="J64" i="48" s="1"/>
  <c r="BO52" i="48"/>
  <c r="R52" i="48"/>
  <c r="R64" i="48" s="1"/>
  <c r="R66" i="48" s="1"/>
  <c r="N65" i="48"/>
  <c r="BH56" i="48"/>
  <c r="AH145" i="48"/>
  <c r="H26" i="48"/>
  <c r="BB76" i="48" s="1"/>
  <c r="BI76" i="48" s="1"/>
  <c r="D34" i="48"/>
  <c r="N52" i="48"/>
  <c r="N64" i="48" s="1"/>
  <c r="N66" i="48" s="1"/>
  <c r="H65" i="48"/>
  <c r="H66" i="48" s="1"/>
  <c r="BN56" i="48"/>
  <c r="AH77" i="48"/>
  <c r="AH148" i="48"/>
  <c r="D33" i="48"/>
  <c r="BI56" i="48"/>
  <c r="J57" i="48"/>
  <c r="BJ57" i="48"/>
  <c r="BH59" i="48"/>
  <c r="BH60" i="48"/>
  <c r="BH61" i="48"/>
  <c r="AH79" i="48"/>
  <c r="AN84" i="48"/>
  <c r="AH84" i="48" s="1"/>
  <c r="F120" i="48"/>
  <c r="AN154" i="48"/>
  <c r="AH154" i="48" s="1"/>
  <c r="BJ56" i="48"/>
  <c r="F57" i="48"/>
  <c r="BI57" i="48" s="1"/>
  <c r="BH57" i="48"/>
  <c r="AN153" i="48"/>
  <c r="AH153" i="48" s="1"/>
  <c r="H66" i="47"/>
  <c r="H6" i="47" s="1"/>
  <c r="Q18" i="47"/>
  <c r="Q9" i="47"/>
  <c r="Q19" i="47"/>
  <c r="Q15" i="47"/>
  <c r="Q8" i="47"/>
  <c r="Q6" i="47"/>
  <c r="BI14" i="47"/>
  <c r="BI15" i="47"/>
  <c r="BO56" i="47"/>
  <c r="J65" i="47"/>
  <c r="AH86" i="47"/>
  <c r="F94" i="47"/>
  <c r="H14" i="47"/>
  <c r="F120" i="47"/>
  <c r="BB93" i="47"/>
  <c r="BI93" i="47" s="1"/>
  <c r="BI10" i="47"/>
  <c r="BB72" i="47"/>
  <c r="BI72" i="47" s="1"/>
  <c r="BB76" i="47"/>
  <c r="BI76" i="47" s="1"/>
  <c r="BI18" i="47"/>
  <c r="BI9" i="47"/>
  <c r="E6" i="47"/>
  <c r="H15" i="47"/>
  <c r="BI7" i="47"/>
  <c r="BI8" i="47"/>
  <c r="Q11" i="47"/>
  <c r="BI16" i="47"/>
  <c r="BH52" i="47"/>
  <c r="F52" i="47"/>
  <c r="AJ52" i="47"/>
  <c r="P52" i="47"/>
  <c r="P64" i="47" s="1"/>
  <c r="L52" i="47"/>
  <c r="L64" i="47" s="1"/>
  <c r="D52" i="47"/>
  <c r="R52" i="47"/>
  <c r="R64" i="47" s="1"/>
  <c r="BJ52" i="47"/>
  <c r="J52" i="47"/>
  <c r="J64" i="47" s="1"/>
  <c r="J66" i="47" s="1"/>
  <c r="AE55" i="47"/>
  <c r="BP61" i="47"/>
  <c r="AE60" i="47"/>
  <c r="AE53" i="47"/>
  <c r="R57" i="47"/>
  <c r="R65" i="47" s="1"/>
  <c r="BP59" i="47"/>
  <c r="BR59" i="47" s="1"/>
  <c r="BT59" i="47" s="1"/>
  <c r="BW59" i="47" s="1"/>
  <c r="AE61" i="47"/>
  <c r="B120" i="47"/>
  <c r="C107" i="47" s="1"/>
  <c r="AN134" i="47"/>
  <c r="AH134" i="47" s="1"/>
  <c r="AH145" i="47"/>
  <c r="AE56" i="47"/>
  <c r="BP58" i="47"/>
  <c r="BR58" i="47" s="1"/>
  <c r="BT58" i="47" s="1"/>
  <c r="BW58" i="47" s="1"/>
  <c r="AN132" i="47"/>
  <c r="AH132" i="47" s="1"/>
  <c r="AN130" i="47"/>
  <c r="AN138" i="47"/>
  <c r="AH138" i="47" s="1"/>
  <c r="AN136" i="47"/>
  <c r="AH136" i="47" s="1"/>
  <c r="AN133" i="47"/>
  <c r="AH133" i="47" s="1"/>
  <c r="G108" i="47"/>
  <c r="H65" i="47"/>
  <c r="BN57" i="47"/>
  <c r="F57" i="47"/>
  <c r="BI57" i="47" s="1"/>
  <c r="BK57" i="47"/>
  <c r="AJ57" i="47"/>
  <c r="P57" i="47"/>
  <c r="P65" i="47" s="1"/>
  <c r="L57" i="47"/>
  <c r="L65" i="47" s="1"/>
  <c r="D57" i="47"/>
  <c r="N57" i="47"/>
  <c r="N65" i="47" s="1"/>
  <c r="N66" i="47" s="1"/>
  <c r="AE58" i="47"/>
  <c r="BP60" i="47"/>
  <c r="BR60" i="47" s="1"/>
  <c r="BT60" i="47" s="1"/>
  <c r="BW60" i="47" s="1"/>
  <c r="AH77" i="47"/>
  <c r="AN86" i="47"/>
  <c r="BJ56" i="47"/>
  <c r="BP56" i="47" s="1"/>
  <c r="BR56" i="47" s="1"/>
  <c r="BT56" i="47" s="1"/>
  <c r="BW56" i="47" s="1"/>
  <c r="AN149" i="47"/>
  <c r="AH149" i="47" s="1"/>
  <c r="AN151" i="47"/>
  <c r="AH151" i="47" s="1"/>
  <c r="AH156" i="47" s="1"/>
  <c r="AN153" i="47"/>
  <c r="AH153" i="47" s="1"/>
  <c r="BK61" i="46"/>
  <c r="H64" i="46"/>
  <c r="BJ52" i="46"/>
  <c r="BH56" i="46"/>
  <c r="R65" i="46"/>
  <c r="BO56" i="46"/>
  <c r="J22" i="46"/>
  <c r="J66" i="46"/>
  <c r="O22" i="46"/>
  <c r="S22" i="46"/>
  <c r="N65" i="46"/>
  <c r="R52" i="46"/>
  <c r="R64" i="46" s="1"/>
  <c r="H65" i="46"/>
  <c r="BN57" i="46"/>
  <c r="F57" i="46"/>
  <c r="BI57" i="46" s="1"/>
  <c r="BK57" i="46"/>
  <c r="AJ57" i="46"/>
  <c r="P57" i="46"/>
  <c r="L57" i="46"/>
  <c r="L65" i="46" s="1"/>
  <c r="D57" i="46"/>
  <c r="N57" i="46"/>
  <c r="AH77" i="46"/>
  <c r="AP144" i="46"/>
  <c r="AP145" i="46" s="1"/>
  <c r="X22" i="46"/>
  <c r="F65" i="46"/>
  <c r="BN52" i="46"/>
  <c r="F52" i="46"/>
  <c r="BK52" i="46"/>
  <c r="AJ52" i="46"/>
  <c r="P52" i="46"/>
  <c r="P64" i="46" s="1"/>
  <c r="L52" i="46"/>
  <c r="L64" i="46" s="1"/>
  <c r="D52" i="46"/>
  <c r="N52" i="46"/>
  <c r="N64" i="46" s="1"/>
  <c r="N66" i="46" s="1"/>
  <c r="P65" i="46"/>
  <c r="AN132" i="46"/>
  <c r="AH132" i="46" s="1"/>
  <c r="AN130" i="46"/>
  <c r="AN138" i="46"/>
  <c r="AH138" i="46" s="1"/>
  <c r="AN136" i="46"/>
  <c r="AH136" i="46" s="1"/>
  <c r="AN133" i="46"/>
  <c r="AH133" i="46" s="1"/>
  <c r="BJ56" i="46"/>
  <c r="AN151" i="46"/>
  <c r="AH151" i="46" s="1"/>
  <c r="AH156" i="46" s="1"/>
  <c r="AN153" i="46"/>
  <c r="AH153" i="46" s="1"/>
  <c r="H66" i="45"/>
  <c r="D65" i="45"/>
  <c r="N65" i="45"/>
  <c r="BH56" i="45"/>
  <c r="BH58" i="45"/>
  <c r="B120" i="45"/>
  <c r="AH148" i="45"/>
  <c r="N66" i="45"/>
  <c r="H65" i="45"/>
  <c r="BN56" i="45"/>
  <c r="AH139" i="45"/>
  <c r="AN139" i="45"/>
  <c r="F52" i="45"/>
  <c r="BK52" i="45"/>
  <c r="AJ52" i="45"/>
  <c r="P52" i="45"/>
  <c r="P64" i="45" s="1"/>
  <c r="P66" i="45" s="1"/>
  <c r="L52" i="45"/>
  <c r="L64" i="45" s="1"/>
  <c r="L66" i="45" s="1"/>
  <c r="D52" i="45"/>
  <c r="BH52" i="45" s="1"/>
  <c r="BJ52" i="45"/>
  <c r="J52" i="45"/>
  <c r="J64" i="45" s="1"/>
  <c r="BO52" i="45"/>
  <c r="AH77" i="45"/>
  <c r="AP143" i="45"/>
  <c r="AP145" i="45" s="1"/>
  <c r="AP144" i="45"/>
  <c r="BI56" i="45"/>
  <c r="J57" i="45"/>
  <c r="BJ57" i="45"/>
  <c r="BH59" i="45"/>
  <c r="BH60" i="45"/>
  <c r="BH61" i="45"/>
  <c r="AH79" i="45"/>
  <c r="AH86" i="45" s="1"/>
  <c r="AN84" i="45"/>
  <c r="AH84" i="45" s="1"/>
  <c r="AN85" i="45"/>
  <c r="AH85" i="45" s="1"/>
  <c r="F120" i="45"/>
  <c r="AN150" i="45"/>
  <c r="AH150" i="45" s="1"/>
  <c r="AN152" i="45"/>
  <c r="AH152" i="45" s="1"/>
  <c r="AN154" i="45"/>
  <c r="AH154" i="45" s="1"/>
  <c r="BJ56" i="45"/>
  <c r="F57" i="45"/>
  <c r="BI57" i="45" s="1"/>
  <c r="BH57" i="45"/>
  <c r="AN149" i="45"/>
  <c r="AH149" i="45" s="1"/>
  <c r="AN151" i="45"/>
  <c r="AH151" i="45" s="1"/>
  <c r="AN153" i="45"/>
  <c r="AH153" i="45" s="1"/>
  <c r="W20" i="44"/>
  <c r="BN52" i="44"/>
  <c r="F52" i="44"/>
  <c r="F64" i="44" s="1"/>
  <c r="BK52" i="44"/>
  <c r="AJ52" i="44"/>
  <c r="P52" i="44"/>
  <c r="P64" i="44" s="1"/>
  <c r="P66" i="44" s="1"/>
  <c r="L52" i="44"/>
  <c r="L64" i="44" s="1"/>
  <c r="L66" i="44" s="1"/>
  <c r="D52" i="44"/>
  <c r="BH52" i="44" s="1"/>
  <c r="J52" i="44"/>
  <c r="J64" i="44" s="1"/>
  <c r="AE61" i="44"/>
  <c r="R65" i="44"/>
  <c r="N7" i="44"/>
  <c r="BH8" i="44"/>
  <c r="N11" i="44"/>
  <c r="N14" i="44"/>
  <c r="BH15" i="44"/>
  <c r="N16" i="44"/>
  <c r="BH17" i="44"/>
  <c r="H52" i="44"/>
  <c r="H64" i="44" s="1"/>
  <c r="AE56" i="44"/>
  <c r="D65" i="44"/>
  <c r="AE58" i="44"/>
  <c r="BH58" i="44"/>
  <c r="BP58" i="44" s="1"/>
  <c r="BR58" i="44" s="1"/>
  <c r="BT58" i="44" s="1"/>
  <c r="BW58" i="44" s="1"/>
  <c r="AE60" i="44"/>
  <c r="AN86" i="44"/>
  <c r="B120" i="44"/>
  <c r="AH148" i="44"/>
  <c r="AN156" i="44"/>
  <c r="G108" i="44"/>
  <c r="G107" i="44"/>
  <c r="B27" i="44"/>
  <c r="E18" i="44" s="1"/>
  <c r="R52" i="44"/>
  <c r="R64" i="44" s="1"/>
  <c r="R66" i="44" s="1"/>
  <c r="AE53" i="44"/>
  <c r="AE59" i="44"/>
  <c r="AH139" i="44"/>
  <c r="AN139" i="44"/>
  <c r="N9" i="44"/>
  <c r="BH10" i="44"/>
  <c r="N52" i="44"/>
  <c r="N64" i="44" s="1"/>
  <c r="N66" i="44" s="1"/>
  <c r="BI52" i="44"/>
  <c r="BH53" i="44"/>
  <c r="BP53" i="44" s="1"/>
  <c r="BR53" i="44" s="1"/>
  <c r="H65" i="44"/>
  <c r="BN56" i="44"/>
  <c r="AE57" i="44"/>
  <c r="AH77" i="44"/>
  <c r="AP143" i="44"/>
  <c r="AP145" i="44" s="1"/>
  <c r="AP144" i="44"/>
  <c r="BI56" i="44"/>
  <c r="BP56" i="44" s="1"/>
  <c r="BR56" i="44" s="1"/>
  <c r="BT56" i="44" s="1"/>
  <c r="BW56" i="44" s="1"/>
  <c r="J57" i="44"/>
  <c r="BJ57" i="44"/>
  <c r="BH59" i="44"/>
  <c r="BP59" i="44" s="1"/>
  <c r="BR59" i="44" s="1"/>
  <c r="BT59" i="44" s="1"/>
  <c r="BW59" i="44" s="1"/>
  <c r="BH60" i="44"/>
  <c r="BP60" i="44" s="1"/>
  <c r="BR60" i="44" s="1"/>
  <c r="BT60" i="44" s="1"/>
  <c r="BW60" i="44" s="1"/>
  <c r="BH61" i="44"/>
  <c r="BP61" i="44" s="1"/>
  <c r="AH79" i="44"/>
  <c r="AH86" i="44" s="1"/>
  <c r="AN84" i="44"/>
  <c r="AH84" i="44" s="1"/>
  <c r="AN85" i="44"/>
  <c r="AH85" i="44" s="1"/>
  <c r="F120" i="44"/>
  <c r="AN154" i="44"/>
  <c r="AH154" i="44" s="1"/>
  <c r="BJ56" i="44"/>
  <c r="F57" i="44"/>
  <c r="BI57" i="44" s="1"/>
  <c r="BH57" i="44"/>
  <c r="BP57" i="44" s="1"/>
  <c r="BR57" i="44" s="1"/>
  <c r="BT57" i="44" s="1"/>
  <c r="BW57" i="44" s="1"/>
  <c r="AN151" i="44"/>
  <c r="AH151" i="44" s="1"/>
  <c r="AN153" i="44"/>
  <c r="AH153" i="44" s="1"/>
  <c r="BB72" i="43"/>
  <c r="BI72" i="43" s="1"/>
  <c r="BB93" i="43"/>
  <c r="BI93" i="43" s="1"/>
  <c r="BJ7" i="43"/>
  <c r="BN9" i="43"/>
  <c r="T10" i="43"/>
  <c r="BJ11" i="43"/>
  <c r="BJ14" i="43"/>
  <c r="BJ16" i="43"/>
  <c r="N52" i="43"/>
  <c r="N64" i="43" s="1"/>
  <c r="N66" i="43" s="1"/>
  <c r="BH53" i="43"/>
  <c r="H65" i="43"/>
  <c r="BN56" i="43"/>
  <c r="AH77" i="43"/>
  <c r="AH148" i="43"/>
  <c r="AH156" i="43" s="1"/>
  <c r="T7" i="43"/>
  <c r="BJ8" i="43"/>
  <c r="BN10" i="43"/>
  <c r="T11" i="43"/>
  <c r="T14" i="43"/>
  <c r="BJ15" i="43"/>
  <c r="BN15" i="43"/>
  <c r="T16" i="43"/>
  <c r="BJ17" i="43"/>
  <c r="BJ19" i="43"/>
  <c r="BN19" i="43"/>
  <c r="BN52" i="43"/>
  <c r="F52" i="43"/>
  <c r="F64" i="43" s="1"/>
  <c r="AJ52" i="43"/>
  <c r="P52" i="43"/>
  <c r="P64" i="43" s="1"/>
  <c r="P66" i="43" s="1"/>
  <c r="L52" i="43"/>
  <c r="L64" i="43" s="1"/>
  <c r="L66" i="43" s="1"/>
  <c r="D52" i="43"/>
  <c r="BH52" i="43" s="1"/>
  <c r="J52" i="43"/>
  <c r="J64" i="43" s="1"/>
  <c r="BO52" i="43"/>
  <c r="R65" i="43"/>
  <c r="AN139" i="43"/>
  <c r="R66" i="43"/>
  <c r="T6" i="43"/>
  <c r="BN7" i="43"/>
  <c r="T8" i="43"/>
  <c r="BJ9" i="43"/>
  <c r="BN11" i="43"/>
  <c r="BN14" i="43"/>
  <c r="T15" i="43"/>
  <c r="BN16" i="43"/>
  <c r="BJ18" i="43"/>
  <c r="BN18" i="43"/>
  <c r="BB76" i="43"/>
  <c r="BI76" i="43" s="1"/>
  <c r="H52" i="43"/>
  <c r="H64" i="43" s="1"/>
  <c r="H66" i="43" s="1"/>
  <c r="H6" i="43" s="1"/>
  <c r="D65" i="43"/>
  <c r="BH58" i="43"/>
  <c r="AP143" i="43"/>
  <c r="AP145" i="43" s="1"/>
  <c r="AP144" i="43"/>
  <c r="BI56" i="43"/>
  <c r="J57" i="43"/>
  <c r="BJ57" i="43"/>
  <c r="BH59" i="43"/>
  <c r="BH60" i="43"/>
  <c r="BH61" i="43"/>
  <c r="AH79" i="43"/>
  <c r="AN84" i="43"/>
  <c r="AH84" i="43" s="1"/>
  <c r="AN85" i="43"/>
  <c r="AH85" i="43" s="1"/>
  <c r="F120" i="43"/>
  <c r="AN154" i="43"/>
  <c r="AH154" i="43" s="1"/>
  <c r="BJ56" i="43"/>
  <c r="F57" i="43"/>
  <c r="BI57" i="43" s="1"/>
  <c r="BH57" i="43"/>
  <c r="AN151" i="43"/>
  <c r="AH151" i="43" s="1"/>
  <c r="AN153" i="43"/>
  <c r="AH153" i="43" s="1"/>
  <c r="F94" i="42"/>
  <c r="J52" i="42"/>
  <c r="J64" i="42" s="1"/>
  <c r="BN56" i="42"/>
  <c r="Y22" i="42"/>
  <c r="J65" i="42"/>
  <c r="BH52" i="42"/>
  <c r="F52" i="42"/>
  <c r="F64" i="42" s="1"/>
  <c r="BK52" i="42"/>
  <c r="AJ52" i="42"/>
  <c r="P52" i="42"/>
  <c r="P64" i="42" s="1"/>
  <c r="L52" i="42"/>
  <c r="L64" i="42" s="1"/>
  <c r="D52" i="42"/>
  <c r="BI52" i="42"/>
  <c r="H52" i="42"/>
  <c r="H64" i="42" s="1"/>
  <c r="N52" i="42"/>
  <c r="N64" i="42" s="1"/>
  <c r="BP60" i="42"/>
  <c r="BR60" i="42" s="1"/>
  <c r="BT60" i="42" s="1"/>
  <c r="BW60" i="42" s="1"/>
  <c r="AP143" i="42"/>
  <c r="AP144" i="42"/>
  <c r="R52" i="42"/>
  <c r="R64" i="42" s="1"/>
  <c r="AE53" i="42"/>
  <c r="BH53" i="42"/>
  <c r="BP53" i="42" s="1"/>
  <c r="BR53" i="42" s="1"/>
  <c r="H65" i="42"/>
  <c r="BP58" i="42"/>
  <c r="BR58" i="42" s="1"/>
  <c r="BT58" i="42" s="1"/>
  <c r="BW58" i="42" s="1"/>
  <c r="G108" i="42"/>
  <c r="BH10" i="42"/>
  <c r="B27" i="42"/>
  <c r="E9" i="42" s="1"/>
  <c r="BH18" i="42"/>
  <c r="BH9" i="42"/>
  <c r="B6" i="42"/>
  <c r="N18" i="42"/>
  <c r="N9" i="42"/>
  <c r="N19" i="42"/>
  <c r="N15" i="42"/>
  <c r="N8" i="42"/>
  <c r="N6" i="42"/>
  <c r="BO52" i="42"/>
  <c r="AE56" i="42"/>
  <c r="R57" i="42"/>
  <c r="R65" i="42" s="1"/>
  <c r="BP59" i="42"/>
  <c r="BR59" i="42" s="1"/>
  <c r="BT59" i="42" s="1"/>
  <c r="BW59" i="42" s="1"/>
  <c r="AE60" i="42"/>
  <c r="BP61" i="42"/>
  <c r="AH77" i="42"/>
  <c r="BN57" i="42"/>
  <c r="F57" i="42"/>
  <c r="BI57" i="42" s="1"/>
  <c r="BK57" i="42"/>
  <c r="AJ57" i="42"/>
  <c r="P57" i="42"/>
  <c r="P65" i="42" s="1"/>
  <c r="L57" i="42"/>
  <c r="L65" i="42" s="1"/>
  <c r="D57" i="42"/>
  <c r="N57" i="42"/>
  <c r="N65" i="42" s="1"/>
  <c r="AE58" i="42"/>
  <c r="AN132" i="42"/>
  <c r="AH132" i="42" s="1"/>
  <c r="AN130" i="42"/>
  <c r="AN138" i="42"/>
  <c r="AH138" i="42" s="1"/>
  <c r="AN136" i="42"/>
  <c r="AH136" i="42" s="1"/>
  <c r="AN133" i="42"/>
  <c r="AH133" i="42" s="1"/>
  <c r="BJ56" i="42"/>
  <c r="BP56" i="42" s="1"/>
  <c r="BR56" i="42" s="1"/>
  <c r="BT56" i="42" s="1"/>
  <c r="BW56" i="42" s="1"/>
  <c r="AN151" i="42"/>
  <c r="AH151" i="42" s="1"/>
  <c r="AH156" i="42" s="1"/>
  <c r="AN153" i="42"/>
  <c r="AH153" i="42" s="1"/>
  <c r="G108" i="41"/>
  <c r="G107" i="41"/>
  <c r="B27" i="41"/>
  <c r="BB92" i="41" s="1"/>
  <c r="BB94" i="41" s="1"/>
  <c r="BL94" i="41" s="1"/>
  <c r="AS94" i="41" s="1"/>
  <c r="AE56" i="41"/>
  <c r="BH7" i="41"/>
  <c r="N10" i="41"/>
  <c r="BH11" i="41"/>
  <c r="J22" i="41"/>
  <c r="O22" i="41"/>
  <c r="S22" i="41"/>
  <c r="X22" i="41"/>
  <c r="BH14" i="41"/>
  <c r="BH16" i="41"/>
  <c r="N52" i="41"/>
  <c r="N64" i="41" s="1"/>
  <c r="N66" i="41" s="1"/>
  <c r="AE59" i="41"/>
  <c r="AH145" i="41"/>
  <c r="AE53" i="41"/>
  <c r="AP143" i="41"/>
  <c r="AP145" i="41" s="1"/>
  <c r="AP144" i="41"/>
  <c r="N7" i="41"/>
  <c r="BH8" i="41"/>
  <c r="N11" i="41"/>
  <c r="N14" i="41"/>
  <c r="BH15" i="41"/>
  <c r="N16" i="41"/>
  <c r="BH17" i="41"/>
  <c r="BH19" i="41"/>
  <c r="BH52" i="41"/>
  <c r="F52" i="41"/>
  <c r="F64" i="41" s="1"/>
  <c r="F66" i="41" s="1"/>
  <c r="AJ52" i="41"/>
  <c r="P52" i="41"/>
  <c r="P64" i="41" s="1"/>
  <c r="L52" i="41"/>
  <c r="L64" i="41" s="1"/>
  <c r="D52" i="41"/>
  <c r="J52" i="41"/>
  <c r="J64" i="41" s="1"/>
  <c r="BO52" i="41"/>
  <c r="BH53" i="41"/>
  <c r="BP53" i="41" s="1"/>
  <c r="BR53" i="41" s="1"/>
  <c r="H65" i="41"/>
  <c r="BH56" i="41"/>
  <c r="BN57" i="41"/>
  <c r="AE58" i="41"/>
  <c r="BH58" i="41"/>
  <c r="BP58" i="41" s="1"/>
  <c r="BR58" i="41" s="1"/>
  <c r="BT58" i="41" s="1"/>
  <c r="BW58" i="41" s="1"/>
  <c r="R65" i="41"/>
  <c r="AN86" i="41"/>
  <c r="B120" i="41"/>
  <c r="AH148" i="41"/>
  <c r="R66" i="41"/>
  <c r="AE60" i="41"/>
  <c r="B6" i="41"/>
  <c r="N6" i="41"/>
  <c r="N8" i="41"/>
  <c r="BH9" i="41"/>
  <c r="N15" i="41"/>
  <c r="BH18" i="41"/>
  <c r="H52" i="41"/>
  <c r="H64" i="41" s="1"/>
  <c r="H66" i="41" s="1"/>
  <c r="H6" i="41" s="1"/>
  <c r="AE61" i="41"/>
  <c r="AH139" i="41"/>
  <c r="AN139" i="41"/>
  <c r="BI56" i="41"/>
  <c r="J57" i="41"/>
  <c r="J65" i="41" s="1"/>
  <c r="BJ57" i="41"/>
  <c r="BH59" i="41"/>
  <c r="BP59" i="41" s="1"/>
  <c r="BR59" i="41" s="1"/>
  <c r="BT59" i="41" s="1"/>
  <c r="BW59" i="41" s="1"/>
  <c r="BH60" i="41"/>
  <c r="BP60" i="41" s="1"/>
  <c r="BR60" i="41" s="1"/>
  <c r="BT60" i="41" s="1"/>
  <c r="BW60" i="41" s="1"/>
  <c r="BH61" i="41"/>
  <c r="BP61" i="41" s="1"/>
  <c r="AH79" i="41"/>
  <c r="AH86" i="41" s="1"/>
  <c r="F120" i="41"/>
  <c r="BJ56" i="41"/>
  <c r="D57" i="41"/>
  <c r="AE57" i="41" s="1"/>
  <c r="L57" i="41"/>
  <c r="L65" i="41" s="1"/>
  <c r="P57" i="41"/>
  <c r="P65" i="41" s="1"/>
  <c r="AJ57" i="41"/>
  <c r="BK57" i="41"/>
  <c r="AN153" i="41"/>
  <c r="AH153" i="41" s="1"/>
  <c r="W20" i="40"/>
  <c r="X22" i="40"/>
  <c r="AP143" i="40"/>
  <c r="AP144" i="40"/>
  <c r="F94" i="40"/>
  <c r="H64" i="40"/>
  <c r="BJ52" i="40"/>
  <c r="BH56" i="40"/>
  <c r="R65" i="40"/>
  <c r="BO56" i="40"/>
  <c r="AH156" i="40"/>
  <c r="BH57" i="40"/>
  <c r="F57" i="40"/>
  <c r="AJ57" i="40"/>
  <c r="P57" i="40"/>
  <c r="BN57" i="40" s="1"/>
  <c r="L57" i="40"/>
  <c r="L65" i="40" s="1"/>
  <c r="D57" i="40"/>
  <c r="R52" i="40"/>
  <c r="R64" i="40" s="1"/>
  <c r="R66" i="40" s="1"/>
  <c r="H57" i="40"/>
  <c r="H65" i="40" s="1"/>
  <c r="BI57" i="40"/>
  <c r="AH77" i="40"/>
  <c r="F65" i="40"/>
  <c r="N57" i="40"/>
  <c r="N65" i="40" s="1"/>
  <c r="BN52" i="40"/>
  <c r="F52" i="40"/>
  <c r="BK52" i="40"/>
  <c r="AJ52" i="40"/>
  <c r="P52" i="40"/>
  <c r="P64" i="40" s="1"/>
  <c r="L52" i="40"/>
  <c r="L64" i="40" s="1"/>
  <c r="D52" i="40"/>
  <c r="N52" i="40"/>
  <c r="N64" i="40" s="1"/>
  <c r="BI56" i="40"/>
  <c r="J57" i="40"/>
  <c r="J65" i="40" s="1"/>
  <c r="J66" i="40" s="1"/>
  <c r="BJ57" i="40"/>
  <c r="BH58" i="40"/>
  <c r="AN132" i="40"/>
  <c r="AH132" i="40" s="1"/>
  <c r="AN130" i="40"/>
  <c r="AN138" i="40"/>
  <c r="AH138" i="40" s="1"/>
  <c r="AN136" i="40"/>
  <c r="AH136" i="40" s="1"/>
  <c r="AN133" i="40"/>
  <c r="AH133" i="40" s="1"/>
  <c r="BJ56" i="40"/>
  <c r="AN151" i="40"/>
  <c r="AH151" i="40" s="1"/>
  <c r="AN153" i="40"/>
  <c r="AH153" i="40" s="1"/>
  <c r="BJ11" i="39"/>
  <c r="BJ14" i="39"/>
  <c r="BJ15" i="39"/>
  <c r="BJ17" i="39"/>
  <c r="BJ18" i="39"/>
  <c r="H6" i="39"/>
  <c r="BJ16" i="39"/>
  <c r="W20" i="39"/>
  <c r="BH8" i="39"/>
  <c r="BH18" i="39"/>
  <c r="BH9" i="39"/>
  <c r="BH14" i="39"/>
  <c r="BH16" i="39"/>
  <c r="BH10" i="39"/>
  <c r="H64" i="39"/>
  <c r="BJ52" i="39"/>
  <c r="AH80" i="39"/>
  <c r="AN86" i="39"/>
  <c r="BI56" i="39"/>
  <c r="BH57" i="39"/>
  <c r="F57" i="39"/>
  <c r="F65" i="39" s="1"/>
  <c r="AJ57" i="39"/>
  <c r="P57" i="39"/>
  <c r="BN57" i="39" s="1"/>
  <c r="L57" i="39"/>
  <c r="L65" i="39" s="1"/>
  <c r="D57" i="39"/>
  <c r="R57" i="39"/>
  <c r="BO57" i="39" s="1"/>
  <c r="BI57" i="39"/>
  <c r="J57" i="39"/>
  <c r="J65" i="39" s="1"/>
  <c r="H57" i="39"/>
  <c r="BJ57" i="39" s="1"/>
  <c r="AH156" i="39"/>
  <c r="AE58" i="39"/>
  <c r="BH58" i="39"/>
  <c r="AH86" i="39"/>
  <c r="F94" i="39"/>
  <c r="F120" i="39"/>
  <c r="R65" i="39"/>
  <c r="J66" i="39"/>
  <c r="I22" i="39"/>
  <c r="I24" i="39" s="1"/>
  <c r="O22" i="39"/>
  <c r="N57" i="39"/>
  <c r="N65" i="39" s="1"/>
  <c r="AP145" i="39"/>
  <c r="H65" i="39"/>
  <c r="AE59" i="39"/>
  <c r="R52" i="39"/>
  <c r="R64" i="39" s="1"/>
  <c r="R66" i="39" s="1"/>
  <c r="B120" i="39"/>
  <c r="AN134" i="39"/>
  <c r="AH134" i="39" s="1"/>
  <c r="AN156" i="39"/>
  <c r="AN132" i="39"/>
  <c r="AH132" i="39" s="1"/>
  <c r="AN130" i="39"/>
  <c r="AN138" i="39"/>
  <c r="AH138" i="39" s="1"/>
  <c r="AN136" i="39"/>
  <c r="AH136" i="39" s="1"/>
  <c r="AN133" i="39"/>
  <c r="AH133" i="39" s="1"/>
  <c r="BH52" i="39"/>
  <c r="F52" i="39"/>
  <c r="BK52" i="39"/>
  <c r="AJ52" i="39"/>
  <c r="P52" i="39"/>
  <c r="P64" i="39" s="1"/>
  <c r="L52" i="39"/>
  <c r="L64" i="39" s="1"/>
  <c r="D52" i="39"/>
  <c r="N52" i="39"/>
  <c r="N64" i="39" s="1"/>
  <c r="BH53" i="39"/>
  <c r="BN56" i="39"/>
  <c r="AE60" i="39"/>
  <c r="BJ56" i="39"/>
  <c r="AN149" i="39"/>
  <c r="AH149" i="39" s="1"/>
  <c r="AN151" i="39"/>
  <c r="AH151" i="39" s="1"/>
  <c r="AN153" i="39"/>
  <c r="AH153" i="39" s="1"/>
  <c r="F94" i="35"/>
  <c r="W20" i="35"/>
  <c r="T9" i="42" l="1"/>
  <c r="T10" i="42"/>
  <c r="BI9" i="39"/>
  <c r="BI19" i="39"/>
  <c r="Q20" i="40"/>
  <c r="B27" i="39"/>
  <c r="BI15" i="38"/>
  <c r="G107" i="40"/>
  <c r="AE53" i="39"/>
  <c r="G107" i="39"/>
  <c r="BB72" i="39"/>
  <c r="BI72" i="39" s="1"/>
  <c r="BI11" i="39"/>
  <c r="BP59" i="39"/>
  <c r="BR59" i="39" s="1"/>
  <c r="BT59" i="39" s="1"/>
  <c r="BW59" i="39" s="1"/>
  <c r="BP56" i="39"/>
  <c r="BR56" i="39" s="1"/>
  <c r="BT56" i="39" s="1"/>
  <c r="BW56" i="39" s="1"/>
  <c r="BP53" i="39"/>
  <c r="BR53" i="39" s="1"/>
  <c r="BB93" i="39"/>
  <c r="BI93" i="39" s="1"/>
  <c r="BI16" i="39"/>
  <c r="B18" i="44"/>
  <c r="K19" i="42"/>
  <c r="K18" i="42"/>
  <c r="K15" i="42"/>
  <c r="K16" i="42"/>
  <c r="K14" i="42"/>
  <c r="K11" i="42"/>
  <c r="K9" i="42"/>
  <c r="K10" i="42"/>
  <c r="T20" i="42"/>
  <c r="T20" i="39"/>
  <c r="Q12" i="42"/>
  <c r="BB93" i="40"/>
  <c r="BI93" i="40" s="1"/>
  <c r="BI7" i="39"/>
  <c r="K20" i="43"/>
  <c r="B14" i="41"/>
  <c r="D41" i="39"/>
  <c r="E41" i="39" s="1"/>
  <c r="Q20" i="42"/>
  <c r="T12" i="41"/>
  <c r="B18" i="47"/>
  <c r="B9" i="47"/>
  <c r="Q12" i="40"/>
  <c r="B15" i="47"/>
  <c r="N12" i="47"/>
  <c r="T20" i="41"/>
  <c r="B15" i="41"/>
  <c r="BP60" i="46"/>
  <c r="BR60" i="46" s="1"/>
  <c r="BT60" i="46" s="1"/>
  <c r="BW60" i="46" s="1"/>
  <c r="E11" i="44"/>
  <c r="T20" i="47"/>
  <c r="Q12" i="46"/>
  <c r="Q12" i="44"/>
  <c r="K12" i="40"/>
  <c r="T12" i="39"/>
  <c r="K20" i="45"/>
  <c r="K12" i="45"/>
  <c r="E9" i="44"/>
  <c r="E14" i="44"/>
  <c r="N12" i="43"/>
  <c r="BP58" i="45"/>
  <c r="BR58" i="45" s="1"/>
  <c r="BT58" i="45" s="1"/>
  <c r="BW58" i="45" s="1"/>
  <c r="B10" i="47"/>
  <c r="B16" i="47"/>
  <c r="Q20" i="48"/>
  <c r="E16" i="42"/>
  <c r="E19" i="42"/>
  <c r="E18" i="42"/>
  <c r="N12" i="39"/>
  <c r="K12" i="43"/>
  <c r="BB76" i="39"/>
  <c r="BI76" i="39" s="1"/>
  <c r="G108" i="39"/>
  <c r="AE54" i="39"/>
  <c r="AE55" i="39"/>
  <c r="B11" i="44"/>
  <c r="E16" i="44"/>
  <c r="E11" i="42"/>
  <c r="BI17" i="38"/>
  <c r="E19" i="44"/>
  <c r="E14" i="42"/>
  <c r="E15" i="44"/>
  <c r="E10" i="42"/>
  <c r="E15" i="42"/>
  <c r="BI18" i="39"/>
  <c r="BI14" i="39"/>
  <c r="BI17" i="39"/>
  <c r="T12" i="46"/>
  <c r="Q20" i="44"/>
  <c r="BP61" i="39"/>
  <c r="AE56" i="39"/>
  <c r="BP60" i="39"/>
  <c r="BR60" i="39" s="1"/>
  <c r="BT60" i="39" s="1"/>
  <c r="BW60" i="39" s="1"/>
  <c r="C107" i="39"/>
  <c r="C108" i="39" s="1"/>
  <c r="AC33" i="39" s="1"/>
  <c r="AE61" i="39"/>
  <c r="BP58" i="39"/>
  <c r="BR58" i="39" s="1"/>
  <c r="BT58" i="39" s="1"/>
  <c r="BW58" i="39" s="1"/>
  <c r="BI14" i="38"/>
  <c r="B19" i="47"/>
  <c r="E10" i="44"/>
  <c r="BI16" i="38"/>
  <c r="B14" i="47"/>
  <c r="BI8" i="39"/>
  <c r="BI10" i="39"/>
  <c r="BI15" i="39"/>
  <c r="B10" i="41"/>
  <c r="B19" i="41"/>
  <c r="B11" i="41"/>
  <c r="B9" i="41"/>
  <c r="B16" i="41"/>
  <c r="B18" i="41"/>
  <c r="B11" i="47"/>
  <c r="E14" i="41"/>
  <c r="AE60" i="40"/>
  <c r="C107" i="40"/>
  <c r="C108" i="40" s="1"/>
  <c r="AC33" i="40" s="1"/>
  <c r="AB33" i="40" s="1"/>
  <c r="E15" i="41"/>
  <c r="E9" i="41"/>
  <c r="Q12" i="48"/>
  <c r="N12" i="46"/>
  <c r="AE58" i="40"/>
  <c r="BP61" i="40"/>
  <c r="AE61" i="40"/>
  <c r="E19" i="41"/>
  <c r="C38" i="43"/>
  <c r="E11" i="41"/>
  <c r="BI8" i="40"/>
  <c r="K12" i="44"/>
  <c r="E18" i="41"/>
  <c r="AE54" i="40"/>
  <c r="BP61" i="46"/>
  <c r="BB76" i="40"/>
  <c r="BI76" i="40" s="1"/>
  <c r="E16" i="41"/>
  <c r="E10" i="41"/>
  <c r="BI19" i="40"/>
  <c r="K20" i="40"/>
  <c r="N20" i="47"/>
  <c r="N22" i="47" s="1"/>
  <c r="N24" i="47" s="1"/>
  <c r="P16" i="36" s="1"/>
  <c r="Q20" i="46"/>
  <c r="K12" i="47"/>
  <c r="K20" i="47"/>
  <c r="K20" i="44"/>
  <c r="BH16" i="43"/>
  <c r="K12" i="41"/>
  <c r="K20" i="41"/>
  <c r="Q12" i="43"/>
  <c r="T20" i="44"/>
  <c r="K12" i="46"/>
  <c r="T20" i="46"/>
  <c r="N20" i="46"/>
  <c r="Q20" i="41"/>
  <c r="T20" i="48"/>
  <c r="T12" i="45"/>
  <c r="N12" i="45"/>
  <c r="N20" i="45"/>
  <c r="N20" i="39"/>
  <c r="AE61" i="43"/>
  <c r="BH7" i="38"/>
  <c r="T20" i="38"/>
  <c r="T20" i="45"/>
  <c r="Q12" i="41"/>
  <c r="T12" i="48"/>
  <c r="B6" i="38"/>
  <c r="BP58" i="40"/>
  <c r="BR58" i="40" s="1"/>
  <c r="BT58" i="40" s="1"/>
  <c r="BW58" i="40" s="1"/>
  <c r="B27" i="40"/>
  <c r="E16" i="40" s="1"/>
  <c r="AE59" i="40"/>
  <c r="G108" i="40"/>
  <c r="AE59" i="45"/>
  <c r="B27" i="38"/>
  <c r="E15" i="38" s="1"/>
  <c r="BP53" i="40"/>
  <c r="BR53" i="40" s="1"/>
  <c r="BH15" i="38"/>
  <c r="BH16" i="38"/>
  <c r="C40" i="43"/>
  <c r="BH17" i="38"/>
  <c r="BB72" i="40"/>
  <c r="BI72" i="40" s="1"/>
  <c r="BI9" i="40"/>
  <c r="BI17" i="40"/>
  <c r="N20" i="43"/>
  <c r="T12" i="44"/>
  <c r="K20" i="46"/>
  <c r="BH18" i="38"/>
  <c r="T12" i="38"/>
  <c r="BP60" i="40"/>
  <c r="BR60" i="40" s="1"/>
  <c r="BT60" i="40" s="1"/>
  <c r="BW60" i="40" s="1"/>
  <c r="AE53" i="40"/>
  <c r="BP59" i="40"/>
  <c r="BR59" i="40" s="1"/>
  <c r="BT59" i="40" s="1"/>
  <c r="BW59" i="40" s="1"/>
  <c r="AE55" i="40"/>
  <c r="E41" i="46"/>
  <c r="BH19" i="38"/>
  <c r="BH11" i="38"/>
  <c r="BH9" i="38"/>
  <c r="BH8" i="38"/>
  <c r="E6" i="40"/>
  <c r="BI15" i="40"/>
  <c r="BH14" i="38"/>
  <c r="Q15" i="39"/>
  <c r="Q18" i="39"/>
  <c r="Q10" i="39"/>
  <c r="Q9" i="39"/>
  <c r="Q11" i="39"/>
  <c r="Q19" i="39"/>
  <c r="T12" i="47"/>
  <c r="G109" i="47"/>
  <c r="H109" i="47" s="1"/>
  <c r="C114" i="47" s="1"/>
  <c r="D114" i="47" s="1"/>
  <c r="H18" i="46"/>
  <c r="C38" i="46"/>
  <c r="G108" i="46"/>
  <c r="BP58" i="46"/>
  <c r="BR58" i="46" s="1"/>
  <c r="BT58" i="46" s="1"/>
  <c r="BW58" i="46" s="1"/>
  <c r="C36" i="46"/>
  <c r="C31" i="46"/>
  <c r="BP53" i="46"/>
  <c r="BR53" i="46" s="1"/>
  <c r="C33" i="46"/>
  <c r="AE53" i="46"/>
  <c r="C34" i="46"/>
  <c r="AE60" i="46"/>
  <c r="C32" i="46"/>
  <c r="AE55" i="46"/>
  <c r="C37" i="46"/>
  <c r="AE56" i="46"/>
  <c r="C35" i="46"/>
  <c r="BP61" i="43"/>
  <c r="B27" i="43"/>
  <c r="BA92" i="43" s="1"/>
  <c r="BA94" i="43" s="1"/>
  <c r="BK94" i="43" s="1"/>
  <c r="AR94" i="43" s="1"/>
  <c r="AZ94" i="43" s="1"/>
  <c r="BH15" i="43"/>
  <c r="AE60" i="43"/>
  <c r="BH11" i="43"/>
  <c r="BH7" i="43"/>
  <c r="BP59" i="43"/>
  <c r="BR59" i="43" s="1"/>
  <c r="BT59" i="43" s="1"/>
  <c r="BW59" i="43" s="1"/>
  <c r="G108" i="43"/>
  <c r="BP53" i="43"/>
  <c r="BR53" i="43" s="1"/>
  <c r="AE58" i="43"/>
  <c r="C107" i="43"/>
  <c r="C108" i="43" s="1"/>
  <c r="AC33" i="43" s="1"/>
  <c r="C39" i="43"/>
  <c r="AE54" i="43"/>
  <c r="AE59" i="43"/>
  <c r="C31" i="43"/>
  <c r="AE55" i="43"/>
  <c r="BP60" i="43"/>
  <c r="BR60" i="43" s="1"/>
  <c r="BT60" i="43" s="1"/>
  <c r="BW60" i="43" s="1"/>
  <c r="BP56" i="43"/>
  <c r="BR56" i="43" s="1"/>
  <c r="BT56" i="43" s="1"/>
  <c r="BW56" i="43" s="1"/>
  <c r="AE56" i="43"/>
  <c r="AE53" i="43"/>
  <c r="BH18" i="43"/>
  <c r="BH9" i="43"/>
  <c r="G107" i="43"/>
  <c r="BP58" i="43"/>
  <c r="BR58" i="43" s="1"/>
  <c r="BT58" i="43" s="1"/>
  <c r="BW58" i="43" s="1"/>
  <c r="C33" i="43"/>
  <c r="BH17" i="43"/>
  <c r="BH8" i="43"/>
  <c r="Q20" i="43"/>
  <c r="C36" i="41"/>
  <c r="N12" i="40"/>
  <c r="N20" i="40"/>
  <c r="C37" i="40"/>
  <c r="C40" i="40"/>
  <c r="C34" i="40"/>
  <c r="N12" i="38"/>
  <c r="N20" i="38"/>
  <c r="K16" i="38"/>
  <c r="K14" i="38"/>
  <c r="K9" i="38"/>
  <c r="K18" i="38"/>
  <c r="K15" i="38"/>
  <c r="K11" i="38"/>
  <c r="K20" i="48"/>
  <c r="N20" i="48"/>
  <c r="K12" i="48"/>
  <c r="N12" i="48"/>
  <c r="C32" i="40"/>
  <c r="C35" i="40"/>
  <c r="C38" i="40"/>
  <c r="C33" i="40"/>
  <c r="C36" i="40"/>
  <c r="C31" i="40"/>
  <c r="E41" i="41"/>
  <c r="AE57" i="46"/>
  <c r="C34" i="41"/>
  <c r="AE54" i="46"/>
  <c r="C38" i="41"/>
  <c r="BH19" i="43"/>
  <c r="BH14" i="43"/>
  <c r="BH10" i="43"/>
  <c r="E41" i="45"/>
  <c r="AE61" i="46"/>
  <c r="H11" i="46"/>
  <c r="D161" i="40"/>
  <c r="BP59" i="46"/>
  <c r="BR59" i="46" s="1"/>
  <c r="BT59" i="46" s="1"/>
  <c r="BW59" i="46" s="1"/>
  <c r="C39" i="41"/>
  <c r="BI18" i="40"/>
  <c r="BI14" i="40"/>
  <c r="BI7" i="40"/>
  <c r="BI16" i="40"/>
  <c r="BI11" i="40"/>
  <c r="BI10" i="40"/>
  <c r="H15" i="46"/>
  <c r="C33" i="41"/>
  <c r="C37" i="41"/>
  <c r="AE59" i="46"/>
  <c r="AE58" i="46"/>
  <c r="H10" i="46"/>
  <c r="C107" i="46"/>
  <c r="C108" i="46" s="1"/>
  <c r="AC33" i="46" s="1"/>
  <c r="AC41" i="46" s="1"/>
  <c r="AB41" i="46" s="1"/>
  <c r="AE58" i="45"/>
  <c r="AE56" i="45"/>
  <c r="AE54" i="45"/>
  <c r="C40" i="39"/>
  <c r="BP61" i="45"/>
  <c r="AE55" i="45"/>
  <c r="N20" i="44"/>
  <c r="BP60" i="45"/>
  <c r="BR60" i="45" s="1"/>
  <c r="BT60" i="45" s="1"/>
  <c r="BW60" i="45" s="1"/>
  <c r="AE53" i="45"/>
  <c r="H6" i="45"/>
  <c r="C32" i="41"/>
  <c r="C31" i="41"/>
  <c r="AE61" i="45"/>
  <c r="G107" i="46"/>
  <c r="BI10" i="38"/>
  <c r="BI18" i="38"/>
  <c r="BI7" i="38"/>
  <c r="BI9" i="38"/>
  <c r="BA75" i="41"/>
  <c r="BA77" i="41" s="1"/>
  <c r="BK77" i="41" s="1"/>
  <c r="AR77" i="41" s="1"/>
  <c r="BP59" i="45"/>
  <c r="BR59" i="45" s="1"/>
  <c r="BT59" i="45" s="1"/>
  <c r="BW59" i="45" s="1"/>
  <c r="B27" i="45"/>
  <c r="H16" i="45" s="1"/>
  <c r="BI8" i="38"/>
  <c r="BP53" i="45"/>
  <c r="BR53" i="45" s="1"/>
  <c r="C34" i="39"/>
  <c r="G107" i="45"/>
  <c r="C35" i="41"/>
  <c r="C37" i="43"/>
  <c r="C32" i="43"/>
  <c r="H9" i="46"/>
  <c r="BI11" i="38"/>
  <c r="C40" i="46"/>
  <c r="C32" i="39"/>
  <c r="BB72" i="45"/>
  <c r="BI72" i="45" s="1"/>
  <c r="AE60" i="45"/>
  <c r="G108" i="45"/>
  <c r="C36" i="43"/>
  <c r="C35" i="43"/>
  <c r="C35" i="39"/>
  <c r="G109" i="42"/>
  <c r="H109" i="42" s="1"/>
  <c r="C113" i="42" s="1"/>
  <c r="D113" i="42" s="1"/>
  <c r="E41" i="43"/>
  <c r="BA92" i="44"/>
  <c r="BA94" i="44" s="1"/>
  <c r="BK94" i="44" s="1"/>
  <c r="AR94" i="44" s="1"/>
  <c r="AZ94" i="44" s="1"/>
  <c r="C31" i="39"/>
  <c r="B27" i="46"/>
  <c r="E9" i="46" s="1"/>
  <c r="BB93" i="46"/>
  <c r="BI93" i="46" s="1"/>
  <c r="BB76" i="46"/>
  <c r="BI76" i="46" s="1"/>
  <c r="BI18" i="46"/>
  <c r="BI9" i="46"/>
  <c r="BI7" i="46"/>
  <c r="BI19" i="46"/>
  <c r="BI15" i="46"/>
  <c r="BI14" i="46"/>
  <c r="BI17" i="46"/>
  <c r="BI16" i="46"/>
  <c r="E6" i="46"/>
  <c r="BB72" i="46"/>
  <c r="BI72" i="46" s="1"/>
  <c r="BI10" i="46"/>
  <c r="BI8" i="46"/>
  <c r="BI11" i="46"/>
  <c r="E18" i="47"/>
  <c r="E11" i="47"/>
  <c r="BA75" i="44"/>
  <c r="BA77" i="44" s="1"/>
  <c r="BK77" i="44" s="1"/>
  <c r="AR77" i="44" s="1"/>
  <c r="BJ19" i="46"/>
  <c r="BJ15" i="46"/>
  <c r="BJ16" i="46"/>
  <c r="BJ10" i="46"/>
  <c r="BJ8" i="46"/>
  <c r="BJ17" i="46"/>
  <c r="BJ14" i="46"/>
  <c r="H14" i="46"/>
  <c r="BJ11" i="46"/>
  <c r="BJ18" i="46"/>
  <c r="BJ9" i="46"/>
  <c r="BJ7" i="46"/>
  <c r="E41" i="44"/>
  <c r="BB75" i="47"/>
  <c r="BB77" i="47" s="1"/>
  <c r="BL77" i="47" s="1"/>
  <c r="AS77" i="47" s="1"/>
  <c r="BB93" i="45"/>
  <c r="BI93" i="45" s="1"/>
  <c r="BJ16" i="45"/>
  <c r="BJ14" i="45"/>
  <c r="BJ19" i="45"/>
  <c r="BJ8" i="45"/>
  <c r="BJ17" i="45"/>
  <c r="BJ10" i="45"/>
  <c r="BJ7" i="45"/>
  <c r="BJ15" i="45"/>
  <c r="BJ9" i="45"/>
  <c r="BJ18" i="45"/>
  <c r="BJ11" i="45"/>
  <c r="E41" i="42"/>
  <c r="BA71" i="47"/>
  <c r="BI71" i="47" s="1"/>
  <c r="BI73" i="47" s="1"/>
  <c r="E19" i="47"/>
  <c r="BA92" i="47"/>
  <c r="BA94" i="47" s="1"/>
  <c r="BK94" i="47" s="1"/>
  <c r="AR94" i="47" s="1"/>
  <c r="AZ94" i="47" s="1"/>
  <c r="BP61" i="38"/>
  <c r="C40" i="45"/>
  <c r="BA92" i="41"/>
  <c r="BA94" i="41" s="1"/>
  <c r="BK94" i="41" s="1"/>
  <c r="AR94" i="41" s="1"/>
  <c r="AZ94" i="41" s="1"/>
  <c r="BB71" i="47"/>
  <c r="BB73" i="47" s="1"/>
  <c r="BL73" i="47" s="1"/>
  <c r="AS73" i="47" s="1"/>
  <c r="C33" i="39"/>
  <c r="C39" i="39"/>
  <c r="C37" i="39"/>
  <c r="C38" i="39"/>
  <c r="Q20" i="47"/>
  <c r="C41" i="47"/>
  <c r="E10" i="47"/>
  <c r="BB92" i="47"/>
  <c r="BB94" i="47" s="1"/>
  <c r="BL94" i="47" s="1"/>
  <c r="AS94" i="47" s="1"/>
  <c r="BA75" i="47"/>
  <c r="BA77" i="47" s="1"/>
  <c r="BK77" i="47" s="1"/>
  <c r="AR77" i="47" s="1"/>
  <c r="E15" i="47"/>
  <c r="H16" i="47"/>
  <c r="E16" i="47"/>
  <c r="H10" i="47"/>
  <c r="H19" i="47"/>
  <c r="E41" i="47"/>
  <c r="E9" i="47"/>
  <c r="H9" i="47"/>
  <c r="H11" i="47"/>
  <c r="AA26" i="47"/>
  <c r="AA17" i="47" s="1"/>
  <c r="E14" i="47"/>
  <c r="C39" i="45"/>
  <c r="C32" i="45"/>
  <c r="C35" i="45"/>
  <c r="C37" i="45"/>
  <c r="C31" i="45"/>
  <c r="C34" i="45"/>
  <c r="C33" i="45"/>
  <c r="C38" i="45"/>
  <c r="C41" i="44"/>
  <c r="N12" i="44"/>
  <c r="B10" i="44"/>
  <c r="B19" i="44"/>
  <c r="B15" i="44"/>
  <c r="B9" i="44"/>
  <c r="B14" i="44"/>
  <c r="H9" i="44"/>
  <c r="B16" i="44"/>
  <c r="T12" i="43"/>
  <c r="C41" i="42"/>
  <c r="N12" i="42"/>
  <c r="C109" i="42"/>
  <c r="D109" i="42" s="1"/>
  <c r="B11" i="42"/>
  <c r="B10" i="42"/>
  <c r="B16" i="42"/>
  <c r="B14" i="42"/>
  <c r="B9" i="42"/>
  <c r="BA75" i="42"/>
  <c r="N20" i="42"/>
  <c r="B15" i="42"/>
  <c r="H14" i="42"/>
  <c r="B19" i="42"/>
  <c r="B18" i="42"/>
  <c r="N20" i="41"/>
  <c r="BB75" i="41"/>
  <c r="BB77" i="41" s="1"/>
  <c r="BL77" i="41" s="1"/>
  <c r="AS77" i="41" s="1"/>
  <c r="BP53" i="38"/>
  <c r="BR53" i="38" s="1"/>
  <c r="G107" i="38"/>
  <c r="BP56" i="38"/>
  <c r="BR56" i="38" s="1"/>
  <c r="BT56" i="38" s="1"/>
  <c r="BW56" i="38" s="1"/>
  <c r="BP59" i="38"/>
  <c r="BR59" i="38" s="1"/>
  <c r="BT59" i="38" s="1"/>
  <c r="BW59" i="38" s="1"/>
  <c r="AE56" i="38"/>
  <c r="AE61" i="38"/>
  <c r="AE60" i="38"/>
  <c r="B11" i="38"/>
  <c r="D161" i="38"/>
  <c r="E41" i="38"/>
  <c r="BP57" i="38"/>
  <c r="BR57" i="38" s="1"/>
  <c r="BT57" i="38" s="1"/>
  <c r="BW57" i="38" s="1"/>
  <c r="BP60" i="38"/>
  <c r="BR60" i="38" s="1"/>
  <c r="BT60" i="38" s="1"/>
  <c r="BW60" i="38" s="1"/>
  <c r="C40" i="38"/>
  <c r="C39" i="38"/>
  <c r="C37" i="38"/>
  <c r="C36" i="38"/>
  <c r="C35" i="38"/>
  <c r="C33" i="38"/>
  <c r="C38" i="38"/>
  <c r="C31" i="38"/>
  <c r="AE59" i="38"/>
  <c r="BO52" i="38"/>
  <c r="L66" i="38"/>
  <c r="F64" i="38"/>
  <c r="BI52" i="38"/>
  <c r="BP52" i="38" s="1"/>
  <c r="BR52" i="38" s="1"/>
  <c r="C34" i="38"/>
  <c r="H18" i="38"/>
  <c r="BJ10" i="38"/>
  <c r="H9" i="38"/>
  <c r="BJ16" i="38"/>
  <c r="H19" i="38"/>
  <c r="BJ18" i="38"/>
  <c r="H15" i="38"/>
  <c r="BJ9" i="38"/>
  <c r="H6" i="38"/>
  <c r="BJ14" i="38"/>
  <c r="BJ19" i="38"/>
  <c r="BJ17" i="38"/>
  <c r="H16" i="38"/>
  <c r="BJ15" i="38"/>
  <c r="H14" i="38"/>
  <c r="H11" i="38"/>
  <c r="BJ8" i="38"/>
  <c r="BJ11" i="38"/>
  <c r="H10" i="38"/>
  <c r="BJ7" i="38"/>
  <c r="BB93" i="38"/>
  <c r="BI93" i="38" s="1"/>
  <c r="BP58" i="38"/>
  <c r="BR58" i="38" s="1"/>
  <c r="BT58" i="38" s="1"/>
  <c r="BW58" i="38" s="1"/>
  <c r="J66" i="38"/>
  <c r="P66" i="38"/>
  <c r="G108" i="38"/>
  <c r="AE52" i="38"/>
  <c r="D64" i="38"/>
  <c r="D66" i="38" s="1"/>
  <c r="BK57" i="38"/>
  <c r="AE57" i="38"/>
  <c r="BB72" i="38"/>
  <c r="BI72" i="38" s="1"/>
  <c r="AE53" i="38"/>
  <c r="F65" i="38"/>
  <c r="BB76" i="38"/>
  <c r="BI76" i="38" s="1"/>
  <c r="W20" i="38"/>
  <c r="AE58" i="38"/>
  <c r="C107" i="38"/>
  <c r="BJ52" i="38"/>
  <c r="BN52" i="38"/>
  <c r="AE55" i="38"/>
  <c r="AE54" i="38"/>
  <c r="AH86" i="48"/>
  <c r="AN156" i="48"/>
  <c r="BI52" i="48"/>
  <c r="BJ16" i="48"/>
  <c r="BJ14" i="48"/>
  <c r="BJ11" i="48"/>
  <c r="BJ7" i="48"/>
  <c r="BJ10" i="48"/>
  <c r="BB93" i="48"/>
  <c r="BI93" i="48" s="1"/>
  <c r="BJ19" i="48"/>
  <c r="BJ17" i="48"/>
  <c r="BJ18" i="48"/>
  <c r="BJ9" i="48"/>
  <c r="H6" i="48"/>
  <c r="BJ15" i="48"/>
  <c r="BJ8" i="48"/>
  <c r="BK57" i="48"/>
  <c r="J65" i="48"/>
  <c r="J66" i="48" s="1"/>
  <c r="AH156" i="48"/>
  <c r="BN52" i="48"/>
  <c r="AN86" i="48"/>
  <c r="BB72" i="48"/>
  <c r="BI72" i="48" s="1"/>
  <c r="F65" i="48"/>
  <c r="F66" i="48" s="1"/>
  <c r="E6" i="48" s="1"/>
  <c r="D64" i="48"/>
  <c r="D66" i="48" s="1"/>
  <c r="BK52" i="48"/>
  <c r="P66" i="47"/>
  <c r="BN52" i="47"/>
  <c r="C108" i="47"/>
  <c r="AC33" i="47" s="1"/>
  <c r="F65" i="47"/>
  <c r="D64" i="47"/>
  <c r="AE52" i="47"/>
  <c r="AE64" i="47" s="1"/>
  <c r="BK52" i="47"/>
  <c r="BO57" i="47"/>
  <c r="R66" i="47"/>
  <c r="AE57" i="47"/>
  <c r="AE65" i="47" s="1"/>
  <c r="D65" i="47"/>
  <c r="BO52" i="47"/>
  <c r="BH57" i="47"/>
  <c r="BP57" i="47" s="1"/>
  <c r="BR57" i="47" s="1"/>
  <c r="BT57" i="47" s="1"/>
  <c r="BW57" i="47" s="1"/>
  <c r="AH130" i="47"/>
  <c r="AH139" i="47" s="1"/>
  <c r="AN139" i="47"/>
  <c r="AN156" i="47"/>
  <c r="L66" i="47"/>
  <c r="F64" i="47"/>
  <c r="F66" i="47" s="1"/>
  <c r="BI52" i="47"/>
  <c r="BP52" i="47" s="1"/>
  <c r="BR52" i="47" s="1"/>
  <c r="Q12" i="47"/>
  <c r="AE52" i="46"/>
  <c r="D64" i="46"/>
  <c r="R66" i="46"/>
  <c r="AH130" i="46"/>
  <c r="AH139" i="46" s="1"/>
  <c r="AN139" i="46"/>
  <c r="L66" i="46"/>
  <c r="F64" i="46"/>
  <c r="F66" i="46" s="1"/>
  <c r="BI52" i="46"/>
  <c r="BH57" i="46"/>
  <c r="BP57" i="46" s="1"/>
  <c r="BR57" i="46" s="1"/>
  <c r="BT57" i="46" s="1"/>
  <c r="BW57" i="46" s="1"/>
  <c r="BO52" i="46"/>
  <c r="BP56" i="46"/>
  <c r="BR56" i="46" s="1"/>
  <c r="BT56" i="46" s="1"/>
  <c r="BW56" i="46" s="1"/>
  <c r="H66" i="46"/>
  <c r="H6" i="46" s="1"/>
  <c r="P66" i="46"/>
  <c r="BH52" i="46"/>
  <c r="BP52" i="46" s="1"/>
  <c r="BR52" i="46" s="1"/>
  <c r="AN156" i="46"/>
  <c r="D65" i="46"/>
  <c r="F64" i="45"/>
  <c r="BI52" i="45"/>
  <c r="BP52" i="45" s="1"/>
  <c r="BR52" i="45" s="1"/>
  <c r="AE57" i="45"/>
  <c r="C107" i="45"/>
  <c r="BK57" i="45"/>
  <c r="J65" i="45"/>
  <c r="J66" i="45"/>
  <c r="AN86" i="45"/>
  <c r="BP56" i="45"/>
  <c r="BR56" i="45" s="1"/>
  <c r="BT56" i="45" s="1"/>
  <c r="BW56" i="45" s="1"/>
  <c r="H15" i="45"/>
  <c r="H18" i="45"/>
  <c r="H11" i="45"/>
  <c r="H9" i="45"/>
  <c r="BP57" i="45"/>
  <c r="BR57" i="45" s="1"/>
  <c r="BT57" i="45" s="1"/>
  <c r="BW57" i="45" s="1"/>
  <c r="BN52" i="45"/>
  <c r="AN156" i="45"/>
  <c r="AE52" i="45"/>
  <c r="D64" i="45"/>
  <c r="D66" i="45" s="1"/>
  <c r="AH156" i="45"/>
  <c r="F65" i="45"/>
  <c r="AE65" i="44"/>
  <c r="BO52" i="44"/>
  <c r="BB71" i="44"/>
  <c r="BB73" i="44" s="1"/>
  <c r="BL73" i="44" s="1"/>
  <c r="AS73" i="44" s="1"/>
  <c r="H11" i="44"/>
  <c r="AA26" i="44"/>
  <c r="AA17" i="44" s="1"/>
  <c r="H18" i="44"/>
  <c r="BA71" i="44"/>
  <c r="H19" i="44"/>
  <c r="H15" i="44"/>
  <c r="H10" i="44"/>
  <c r="AH156" i="44"/>
  <c r="H66" i="44"/>
  <c r="H6" i="44" s="1"/>
  <c r="BB92" i="44"/>
  <c r="BB94" i="44" s="1"/>
  <c r="BL94" i="44" s="1"/>
  <c r="AS94" i="44" s="1"/>
  <c r="H16" i="44"/>
  <c r="AE52" i="44"/>
  <c r="AE64" i="44" s="1"/>
  <c r="D64" i="44"/>
  <c r="D66" i="44" s="1"/>
  <c r="BK57" i="44"/>
  <c r="J65" i="44"/>
  <c r="J66" i="44" s="1"/>
  <c r="H14" i="44"/>
  <c r="BB75" i="44"/>
  <c r="BB77" i="44" s="1"/>
  <c r="BL77" i="44" s="1"/>
  <c r="AS77" i="44" s="1"/>
  <c r="F65" i="44"/>
  <c r="F66" i="44" s="1"/>
  <c r="G109" i="44"/>
  <c r="H109" i="44" s="1"/>
  <c r="C107" i="44"/>
  <c r="BJ52" i="44"/>
  <c r="BP52" i="44" s="1"/>
  <c r="BR52" i="44" s="1"/>
  <c r="AE57" i="43"/>
  <c r="AN86" i="43"/>
  <c r="F65" i="43"/>
  <c r="F66" i="43" s="1"/>
  <c r="T20" i="43"/>
  <c r="BJ52" i="43"/>
  <c r="BI52" i="43"/>
  <c r="BP52" i="43" s="1"/>
  <c r="BR52" i="43" s="1"/>
  <c r="BK57" i="43"/>
  <c r="J65" i="43"/>
  <c r="J66" i="43" s="1"/>
  <c r="BP57" i="43"/>
  <c r="BR57" i="43" s="1"/>
  <c r="BT57" i="43" s="1"/>
  <c r="BW57" i="43" s="1"/>
  <c r="AH86" i="43"/>
  <c r="AE52" i="43"/>
  <c r="D64" i="43"/>
  <c r="D66" i="43" s="1"/>
  <c r="BK52" i="43"/>
  <c r="AN156" i="43"/>
  <c r="H66" i="42"/>
  <c r="H6" i="42" s="1"/>
  <c r="BP52" i="42"/>
  <c r="BR52" i="42" s="1"/>
  <c r="H11" i="42"/>
  <c r="H10" i="42"/>
  <c r="AA26" i="42"/>
  <c r="AA17" i="42" s="1"/>
  <c r="H18" i="42"/>
  <c r="H15" i="42"/>
  <c r="BB71" i="42"/>
  <c r="BB73" i="42" s="1"/>
  <c r="BL73" i="42" s="1"/>
  <c r="AS73" i="42" s="1"/>
  <c r="BA92" i="42"/>
  <c r="BA71" i="42"/>
  <c r="H9" i="42"/>
  <c r="AP145" i="42"/>
  <c r="H16" i="42"/>
  <c r="BB75" i="42"/>
  <c r="BB77" i="42" s="1"/>
  <c r="BL77" i="42" s="1"/>
  <c r="AS77" i="42" s="1"/>
  <c r="F65" i="42"/>
  <c r="BO57" i="42"/>
  <c r="AE52" i="42"/>
  <c r="AE64" i="42" s="1"/>
  <c r="D64" i="42"/>
  <c r="BJ52" i="42"/>
  <c r="P66" i="42"/>
  <c r="AE57" i="42"/>
  <c r="AE65" i="42" s="1"/>
  <c r="BN52" i="42"/>
  <c r="AH130" i="42"/>
  <c r="AH139" i="42" s="1"/>
  <c r="AN139" i="42"/>
  <c r="BH57" i="42"/>
  <c r="BP57" i="42" s="1"/>
  <c r="BR57" i="42" s="1"/>
  <c r="BT57" i="42" s="1"/>
  <c r="BW57" i="42" s="1"/>
  <c r="AN156" i="42"/>
  <c r="D65" i="42"/>
  <c r="R66" i="42"/>
  <c r="AC41" i="42"/>
  <c r="AB41" i="42" s="1"/>
  <c r="AB33" i="42"/>
  <c r="N66" i="42"/>
  <c r="L66" i="42"/>
  <c r="F66" i="42"/>
  <c r="BB92" i="42"/>
  <c r="BB94" i="42" s="1"/>
  <c r="BL94" i="42" s="1"/>
  <c r="AS94" i="42" s="1"/>
  <c r="J66" i="42"/>
  <c r="H19" i="42"/>
  <c r="AE65" i="41"/>
  <c r="BI52" i="41"/>
  <c r="BP52" i="41" s="1"/>
  <c r="BR52" i="41" s="1"/>
  <c r="AN156" i="41"/>
  <c r="BP56" i="41"/>
  <c r="BR56" i="41" s="1"/>
  <c r="BT56" i="41" s="1"/>
  <c r="BW56" i="41" s="1"/>
  <c r="J66" i="41"/>
  <c r="P66" i="41"/>
  <c r="BB71" i="41"/>
  <c r="BB73" i="41" s="1"/>
  <c r="BL73" i="41" s="1"/>
  <c r="AS73" i="41" s="1"/>
  <c r="H10" i="41"/>
  <c r="H14" i="41"/>
  <c r="BA71" i="41"/>
  <c r="H18" i="41"/>
  <c r="H9" i="41"/>
  <c r="H11" i="41"/>
  <c r="H19" i="41"/>
  <c r="H15" i="41"/>
  <c r="AA26" i="41"/>
  <c r="AA17" i="41" s="1"/>
  <c r="H16" i="41"/>
  <c r="AH156" i="41"/>
  <c r="BJ52" i="41"/>
  <c r="BN52" i="41"/>
  <c r="G109" i="41"/>
  <c r="H109" i="41" s="1"/>
  <c r="L66" i="41"/>
  <c r="BH57" i="41"/>
  <c r="BP57" i="41" s="1"/>
  <c r="BR57" i="41" s="1"/>
  <c r="BT57" i="41" s="1"/>
  <c r="BW57" i="41" s="1"/>
  <c r="N12" i="41"/>
  <c r="C107" i="41"/>
  <c r="AE52" i="41"/>
  <c r="AE64" i="41" s="1"/>
  <c r="D64" i="41"/>
  <c r="D66" i="41" s="1"/>
  <c r="BK52" i="41"/>
  <c r="D65" i="41"/>
  <c r="AE52" i="40"/>
  <c r="D64" i="40"/>
  <c r="L66" i="40"/>
  <c r="F64" i="40"/>
  <c r="F66" i="40" s="1"/>
  <c r="BI52" i="40"/>
  <c r="AN156" i="40"/>
  <c r="P65" i="40"/>
  <c r="BP56" i="40"/>
  <c r="BR56" i="40" s="1"/>
  <c r="BT56" i="40" s="1"/>
  <c r="BW56" i="40" s="1"/>
  <c r="H66" i="40"/>
  <c r="H6" i="40" s="1"/>
  <c r="BO52" i="40"/>
  <c r="N66" i="40"/>
  <c r="BP57" i="40"/>
  <c r="BR57" i="40" s="1"/>
  <c r="BT57" i="40" s="1"/>
  <c r="BW57" i="40" s="1"/>
  <c r="AP145" i="40"/>
  <c r="AH130" i="40"/>
  <c r="AH139" i="40" s="1"/>
  <c r="AN139" i="40"/>
  <c r="P66" i="40"/>
  <c r="BH52" i="40"/>
  <c r="AE57" i="40"/>
  <c r="BK57" i="40"/>
  <c r="D65" i="40"/>
  <c r="BI52" i="39"/>
  <c r="F64" i="39"/>
  <c r="F66" i="39" s="1"/>
  <c r="BP52" i="39"/>
  <c r="BR52" i="39" s="1"/>
  <c r="BO52" i="39"/>
  <c r="N66" i="39"/>
  <c r="BN52" i="39"/>
  <c r="P65" i="39"/>
  <c r="L66" i="39"/>
  <c r="P66" i="39"/>
  <c r="BP57" i="39"/>
  <c r="BR57" i="39" s="1"/>
  <c r="BT57" i="39" s="1"/>
  <c r="BW57" i="39" s="1"/>
  <c r="H66" i="39"/>
  <c r="D64" i="39"/>
  <c r="D66" i="39" s="1"/>
  <c r="B6" i="39" s="1"/>
  <c r="AE52" i="39"/>
  <c r="B11" i="39"/>
  <c r="B18" i="39"/>
  <c r="AH130" i="39"/>
  <c r="AH139" i="39" s="1"/>
  <c r="AN139" i="39"/>
  <c r="AE57" i="39"/>
  <c r="D65" i="39"/>
  <c r="BK57" i="39"/>
  <c r="E9" i="40" l="1"/>
  <c r="E19" i="40"/>
  <c r="E10" i="39"/>
  <c r="Q14" i="39"/>
  <c r="Q20" i="39" s="1"/>
  <c r="Q16" i="39"/>
  <c r="K16" i="39"/>
  <c r="H18" i="39"/>
  <c r="B15" i="43"/>
  <c r="H14" i="45"/>
  <c r="E15" i="39"/>
  <c r="H19" i="45"/>
  <c r="H19" i="39"/>
  <c r="H10" i="45"/>
  <c r="E18" i="38"/>
  <c r="G109" i="40"/>
  <c r="H109" i="40" s="1"/>
  <c r="G113" i="40" s="1"/>
  <c r="H113" i="40" s="1"/>
  <c r="K11" i="39"/>
  <c r="AA11" i="39" s="1"/>
  <c r="K19" i="39"/>
  <c r="K14" i="39"/>
  <c r="K9" i="39"/>
  <c r="K15" i="39"/>
  <c r="B9" i="39"/>
  <c r="B19" i="39"/>
  <c r="B16" i="39"/>
  <c r="B15" i="39"/>
  <c r="B10" i="39"/>
  <c r="B14" i="39"/>
  <c r="K10" i="39"/>
  <c r="K18" i="39"/>
  <c r="B9" i="40"/>
  <c r="T16" i="40"/>
  <c r="T19" i="40"/>
  <c r="T9" i="40"/>
  <c r="T10" i="40"/>
  <c r="T18" i="40"/>
  <c r="T14" i="40"/>
  <c r="T11" i="40"/>
  <c r="T15" i="40"/>
  <c r="H11" i="39"/>
  <c r="BA71" i="39"/>
  <c r="BI71" i="39" s="1"/>
  <c r="BI73" i="39" s="1"/>
  <c r="H14" i="39"/>
  <c r="BB75" i="39"/>
  <c r="BB77" i="39" s="1"/>
  <c r="BL77" i="39" s="1"/>
  <c r="AS77" i="39" s="1"/>
  <c r="BB71" i="45"/>
  <c r="BB73" i="45" s="1"/>
  <c r="BL73" i="45" s="1"/>
  <c r="AS73" i="45" s="1"/>
  <c r="Q11" i="45"/>
  <c r="Q18" i="45"/>
  <c r="Q16" i="45"/>
  <c r="Q19" i="45"/>
  <c r="Q15" i="45"/>
  <c r="Q10" i="45"/>
  <c r="Q14" i="45"/>
  <c r="Q9" i="45"/>
  <c r="E16" i="39"/>
  <c r="E18" i="39"/>
  <c r="E19" i="39"/>
  <c r="E14" i="39"/>
  <c r="G109" i="39"/>
  <c r="H109" i="39" s="1"/>
  <c r="G114" i="39" s="1"/>
  <c r="H114" i="39" s="1"/>
  <c r="Q22" i="40"/>
  <c r="Q24" i="40" s="1"/>
  <c r="Q9" i="36" s="1"/>
  <c r="Q22" i="42"/>
  <c r="Q24" i="42" s="1"/>
  <c r="Q23" i="42" s="1"/>
  <c r="AA26" i="39"/>
  <c r="AA17" i="39" s="1"/>
  <c r="BB71" i="39"/>
  <c r="BB73" i="39" s="1"/>
  <c r="BL73" i="39" s="1"/>
  <c r="AS73" i="39" s="1"/>
  <c r="H16" i="39"/>
  <c r="BA75" i="39"/>
  <c r="BI75" i="39" s="1"/>
  <c r="BI77" i="39" s="1"/>
  <c r="BA92" i="39"/>
  <c r="H10" i="39"/>
  <c r="H9" i="39"/>
  <c r="H15" i="39"/>
  <c r="E11" i="39"/>
  <c r="E9" i="39"/>
  <c r="BB92" i="39"/>
  <c r="BB94" i="39" s="1"/>
  <c r="BL94" i="39" s="1"/>
  <c r="AS94" i="39" s="1"/>
  <c r="K20" i="42"/>
  <c r="T22" i="39"/>
  <c r="T24" i="39" s="1"/>
  <c r="R8" i="36" s="1"/>
  <c r="K22" i="45"/>
  <c r="K24" i="45" s="1"/>
  <c r="O14" i="36" s="1"/>
  <c r="K22" i="43"/>
  <c r="K24" i="43" s="1"/>
  <c r="O12" i="36" s="1"/>
  <c r="B11" i="43"/>
  <c r="B16" i="43"/>
  <c r="B19" i="43"/>
  <c r="B14" i="43"/>
  <c r="B10" i="43"/>
  <c r="B9" i="43"/>
  <c r="B9" i="45"/>
  <c r="K10" i="38"/>
  <c r="Q11" i="38"/>
  <c r="Q14" i="38"/>
  <c r="Q9" i="38"/>
  <c r="Q18" i="38"/>
  <c r="Q19" i="38"/>
  <c r="Q10" i="38"/>
  <c r="Q16" i="38"/>
  <c r="Q15" i="38"/>
  <c r="B20" i="47"/>
  <c r="Q22" i="44"/>
  <c r="Q24" i="44" s="1"/>
  <c r="T22" i="41"/>
  <c r="T24" i="41" s="1"/>
  <c r="R10" i="36" s="1"/>
  <c r="T22" i="48"/>
  <c r="T24" i="48" s="1"/>
  <c r="R6" i="36" s="1"/>
  <c r="Q22" i="46"/>
  <c r="Q24" i="46" s="1"/>
  <c r="Q23" i="46" s="1"/>
  <c r="D161" i="39"/>
  <c r="AA26" i="43"/>
  <c r="AA6" i="43" s="1"/>
  <c r="K22" i="40"/>
  <c r="K24" i="40" s="1"/>
  <c r="O9" i="36" s="1"/>
  <c r="H19" i="43"/>
  <c r="H14" i="43"/>
  <c r="H18" i="43"/>
  <c r="BB92" i="43"/>
  <c r="BB94" i="43" s="1"/>
  <c r="BL94" i="43" s="1"/>
  <c r="AS94" i="43" s="1"/>
  <c r="T22" i="47"/>
  <c r="T24" i="47" s="1"/>
  <c r="R16" i="36" s="1"/>
  <c r="BI92" i="41"/>
  <c r="BI94" i="41" s="1"/>
  <c r="E19" i="38"/>
  <c r="N22" i="45"/>
  <c r="N24" i="45" s="1"/>
  <c r="P14" i="36" s="1"/>
  <c r="E20" i="44"/>
  <c r="B10" i="40"/>
  <c r="H10" i="43"/>
  <c r="BA71" i="43"/>
  <c r="BA73" i="43" s="1"/>
  <c r="BK73" i="43" s="1"/>
  <c r="AR73" i="43" s="1"/>
  <c r="AZ73" i="43" s="1"/>
  <c r="E16" i="38"/>
  <c r="E14" i="38"/>
  <c r="H11" i="43"/>
  <c r="AZ77" i="41"/>
  <c r="N22" i="43"/>
  <c r="N24" i="43" s="1"/>
  <c r="B20" i="41"/>
  <c r="AE64" i="39"/>
  <c r="E10" i="38"/>
  <c r="T22" i="38"/>
  <c r="T24" i="38" s="1"/>
  <c r="R7" i="36" s="1"/>
  <c r="E20" i="42"/>
  <c r="C109" i="40"/>
  <c r="D109" i="40" s="1"/>
  <c r="G117" i="40" s="1"/>
  <c r="H117" i="40" s="1"/>
  <c r="AE65" i="39"/>
  <c r="H9" i="43"/>
  <c r="E11" i="38"/>
  <c r="E9" i="38"/>
  <c r="G109" i="46"/>
  <c r="H109" i="46" s="1"/>
  <c r="G114" i="46" s="1"/>
  <c r="H114" i="46" s="1"/>
  <c r="N22" i="39"/>
  <c r="N24" i="39" s="1"/>
  <c r="P8" i="36" s="1"/>
  <c r="K22" i="47"/>
  <c r="K24" i="47" s="1"/>
  <c r="O16" i="36" s="1"/>
  <c r="Q22" i="48"/>
  <c r="Q24" i="48" s="1"/>
  <c r="Q6" i="36" s="1"/>
  <c r="K22" i="48"/>
  <c r="K24" i="48" s="1"/>
  <c r="O6" i="36" s="1"/>
  <c r="B15" i="40"/>
  <c r="BB75" i="43"/>
  <c r="BB77" i="43" s="1"/>
  <c r="BL77" i="43" s="1"/>
  <c r="AS77" i="43" s="1"/>
  <c r="H15" i="43"/>
  <c r="AZ77" i="47"/>
  <c r="AA26" i="45"/>
  <c r="AA17" i="45" s="1"/>
  <c r="T22" i="44"/>
  <c r="T24" i="44" s="1"/>
  <c r="R13" i="36" s="1"/>
  <c r="G113" i="47"/>
  <c r="H113" i="47" s="1"/>
  <c r="B10" i="45"/>
  <c r="E10" i="45"/>
  <c r="E11" i="45"/>
  <c r="E14" i="45"/>
  <c r="E15" i="45"/>
  <c r="E19" i="45"/>
  <c r="E9" i="45"/>
  <c r="E16" i="45"/>
  <c r="E18" i="45"/>
  <c r="H16" i="43"/>
  <c r="E14" i="43"/>
  <c r="E10" i="43"/>
  <c r="E9" i="43"/>
  <c r="E18" i="43"/>
  <c r="E16" i="43"/>
  <c r="E15" i="43"/>
  <c r="E11" i="43"/>
  <c r="E19" i="43"/>
  <c r="T22" i="45"/>
  <c r="T24" i="45" s="1"/>
  <c r="R14" i="36" s="1"/>
  <c r="T22" i="46"/>
  <c r="T24" i="46" s="1"/>
  <c r="R15" i="36" s="1"/>
  <c r="B16" i="40"/>
  <c r="BB92" i="38"/>
  <c r="BB94" i="38" s="1"/>
  <c r="BL94" i="38" s="1"/>
  <c r="AS94" i="38" s="1"/>
  <c r="AA26" i="38"/>
  <c r="AA17" i="38" s="1"/>
  <c r="B11" i="40"/>
  <c r="B14" i="40"/>
  <c r="B18" i="40"/>
  <c r="B19" i="40"/>
  <c r="H10" i="40"/>
  <c r="K22" i="44"/>
  <c r="K24" i="44" s="1"/>
  <c r="O13" i="36" s="1"/>
  <c r="N22" i="46"/>
  <c r="N24" i="46" s="1"/>
  <c r="P15" i="36" s="1"/>
  <c r="E20" i="41"/>
  <c r="AC41" i="40"/>
  <c r="AB41" i="40" s="1"/>
  <c r="Q22" i="41"/>
  <c r="Q24" i="41" s="1"/>
  <c r="Q23" i="41" s="1"/>
  <c r="K22" i="41"/>
  <c r="K24" i="41" s="1"/>
  <c r="O10" i="36" s="1"/>
  <c r="Q22" i="43"/>
  <c r="Q24" i="43" s="1"/>
  <c r="Q23" i="43" s="1"/>
  <c r="H19" i="40"/>
  <c r="E11" i="40"/>
  <c r="AE64" i="40"/>
  <c r="B11" i="45"/>
  <c r="E14" i="40"/>
  <c r="E15" i="40"/>
  <c r="K22" i="46"/>
  <c r="K24" i="46" s="1"/>
  <c r="O15" i="36" s="1"/>
  <c r="E10" i="40"/>
  <c r="BA92" i="40"/>
  <c r="BI92" i="40" s="1"/>
  <c r="BI94" i="40" s="1"/>
  <c r="B9" i="38"/>
  <c r="BB92" i="45"/>
  <c r="BB94" i="45" s="1"/>
  <c r="BL94" i="45" s="1"/>
  <c r="AS94" i="45" s="1"/>
  <c r="BA75" i="45"/>
  <c r="BA77" i="45" s="1"/>
  <c r="BK77" i="45" s="1"/>
  <c r="AR77" i="45" s="1"/>
  <c r="E18" i="40"/>
  <c r="N22" i="48"/>
  <c r="N24" i="48" s="1"/>
  <c r="P6" i="36" s="1"/>
  <c r="H15" i="40"/>
  <c r="H18" i="40"/>
  <c r="BB75" i="40"/>
  <c r="BB77" i="40" s="1"/>
  <c r="BL77" i="40" s="1"/>
  <c r="AS77" i="40" s="1"/>
  <c r="H9" i="40"/>
  <c r="BB75" i="38"/>
  <c r="BB77" i="38" s="1"/>
  <c r="BL77" i="38" s="1"/>
  <c r="AS77" i="38" s="1"/>
  <c r="BA71" i="38"/>
  <c r="BA73" i="38" s="1"/>
  <c r="BK73" i="38" s="1"/>
  <c r="AR73" i="38" s="1"/>
  <c r="AZ73" i="38" s="1"/>
  <c r="B19" i="38"/>
  <c r="B14" i="38"/>
  <c r="G109" i="45"/>
  <c r="H109" i="45" s="1"/>
  <c r="G114" i="45" s="1"/>
  <c r="H114" i="45" s="1"/>
  <c r="BB92" i="40"/>
  <c r="BB94" i="40" s="1"/>
  <c r="BL94" i="40" s="1"/>
  <c r="AS94" i="40" s="1"/>
  <c r="H14" i="40"/>
  <c r="BA71" i="40"/>
  <c r="BA73" i="40" s="1"/>
  <c r="BK73" i="40" s="1"/>
  <c r="AR73" i="40" s="1"/>
  <c r="AZ73" i="40" s="1"/>
  <c r="AA26" i="40"/>
  <c r="AA17" i="40" s="1"/>
  <c r="H16" i="40"/>
  <c r="BA75" i="40"/>
  <c r="BA77" i="40" s="1"/>
  <c r="BK77" i="40" s="1"/>
  <c r="AR77" i="40" s="1"/>
  <c r="BA71" i="45"/>
  <c r="BA73" i="45" s="1"/>
  <c r="BK73" i="45" s="1"/>
  <c r="AR73" i="45" s="1"/>
  <c r="AZ73" i="45" s="1"/>
  <c r="BA75" i="38"/>
  <c r="BA77" i="38" s="1"/>
  <c r="BK77" i="38" s="1"/>
  <c r="AR77" i="38" s="1"/>
  <c r="BB71" i="38"/>
  <c r="BB73" i="38" s="1"/>
  <c r="BL73" i="38" s="1"/>
  <c r="AS73" i="38" s="1"/>
  <c r="B15" i="38"/>
  <c r="B18" i="38"/>
  <c r="B18" i="45"/>
  <c r="B15" i="45"/>
  <c r="H11" i="40"/>
  <c r="BB71" i="40"/>
  <c r="BB73" i="40" s="1"/>
  <c r="BL73" i="40" s="1"/>
  <c r="AS73" i="40" s="1"/>
  <c r="C114" i="42"/>
  <c r="D114" i="42" s="1"/>
  <c r="D115" i="42" s="1"/>
  <c r="BB71" i="43"/>
  <c r="BB73" i="43" s="1"/>
  <c r="BL73" i="43" s="1"/>
  <c r="AS73" i="43" s="1"/>
  <c r="BA75" i="43"/>
  <c r="BA77" i="43" s="1"/>
  <c r="BK77" i="43" s="1"/>
  <c r="AR77" i="43" s="1"/>
  <c r="AZ77" i="43" s="1"/>
  <c r="BA92" i="38"/>
  <c r="BI92" i="38" s="1"/>
  <c r="BI94" i="38" s="1"/>
  <c r="B16" i="38"/>
  <c r="B10" i="38"/>
  <c r="B18" i="43"/>
  <c r="BB75" i="45"/>
  <c r="BB77" i="45" s="1"/>
  <c r="BL77" i="45" s="1"/>
  <c r="AS77" i="45" s="1"/>
  <c r="N22" i="38"/>
  <c r="N24" i="38" s="1"/>
  <c r="P7" i="36" s="1"/>
  <c r="BI92" i="44"/>
  <c r="BI94" i="44" s="1"/>
  <c r="AE65" i="40"/>
  <c r="G109" i="43"/>
  <c r="H109" i="43" s="1"/>
  <c r="C114" i="43" s="1"/>
  <c r="D114" i="43" s="1"/>
  <c r="AE64" i="43"/>
  <c r="AE65" i="45"/>
  <c r="C109" i="46"/>
  <c r="D109" i="46" s="1"/>
  <c r="G119" i="46" s="1"/>
  <c r="H119" i="46" s="1"/>
  <c r="N22" i="40"/>
  <c r="N24" i="40" s="1"/>
  <c r="P9" i="36" s="1"/>
  <c r="Q22" i="47"/>
  <c r="Q24" i="47" s="1"/>
  <c r="G114" i="47"/>
  <c r="H114" i="47" s="1"/>
  <c r="C113" i="47"/>
  <c r="D113" i="47" s="1"/>
  <c r="D115" i="47" s="1"/>
  <c r="AB33" i="46"/>
  <c r="AE64" i="46"/>
  <c r="E11" i="46"/>
  <c r="B16" i="46"/>
  <c r="B19" i="46"/>
  <c r="B18" i="46"/>
  <c r="B10" i="46"/>
  <c r="B9" i="46"/>
  <c r="B15" i="46"/>
  <c r="B14" i="46"/>
  <c r="B11" i="46"/>
  <c r="Q15" i="36"/>
  <c r="C41" i="46"/>
  <c r="BA92" i="45"/>
  <c r="BI92" i="45" s="1"/>
  <c r="BI94" i="45" s="1"/>
  <c r="B16" i="45"/>
  <c r="B14" i="45"/>
  <c r="B19" i="45"/>
  <c r="Q23" i="44"/>
  <c r="Q13" i="36"/>
  <c r="AE65" i="43"/>
  <c r="P12" i="36"/>
  <c r="BI75" i="42"/>
  <c r="BI77" i="42" s="1"/>
  <c r="C41" i="40"/>
  <c r="K20" i="38"/>
  <c r="C41" i="41"/>
  <c r="G113" i="42"/>
  <c r="H113" i="42" s="1"/>
  <c r="C41" i="43"/>
  <c r="AE65" i="46"/>
  <c r="BA77" i="42"/>
  <c r="BK77" i="42" s="1"/>
  <c r="AR77" i="42" s="1"/>
  <c r="AZ77" i="42" s="1"/>
  <c r="G114" i="42"/>
  <c r="H114" i="42" s="1"/>
  <c r="AE64" i="45"/>
  <c r="BI75" i="47"/>
  <c r="BI77" i="47" s="1"/>
  <c r="BA73" i="47"/>
  <c r="BK73" i="47" s="1"/>
  <c r="AR73" i="47" s="1"/>
  <c r="AZ73" i="47" s="1"/>
  <c r="N22" i="44"/>
  <c r="N24" i="44" s="1"/>
  <c r="BI92" i="47"/>
  <c r="BI94" i="47" s="1"/>
  <c r="N22" i="42"/>
  <c r="N24" i="42" s="1"/>
  <c r="AA19" i="47"/>
  <c r="AA11" i="47"/>
  <c r="AB11" i="47" s="1"/>
  <c r="AC11" i="47" s="1"/>
  <c r="AA14" i="47"/>
  <c r="AA10" i="47"/>
  <c r="AB10" i="47" s="1"/>
  <c r="AC10" i="47" s="1"/>
  <c r="E10" i="46"/>
  <c r="AA11" i="44"/>
  <c r="AB11" i="44" s="1"/>
  <c r="AC11" i="44" s="1"/>
  <c r="E15" i="46"/>
  <c r="E14" i="46"/>
  <c r="E19" i="46"/>
  <c r="E16" i="46"/>
  <c r="E18" i="46"/>
  <c r="N22" i="41"/>
  <c r="N24" i="41" s="1"/>
  <c r="C41" i="39"/>
  <c r="BI92" i="43"/>
  <c r="BI94" i="43" s="1"/>
  <c r="H16" i="46"/>
  <c r="H20" i="46" s="1"/>
  <c r="BA71" i="46"/>
  <c r="BA92" i="46"/>
  <c r="BB92" i="46"/>
  <c r="BB94" i="46" s="1"/>
  <c r="BL94" i="46" s="1"/>
  <c r="AS94" i="46" s="1"/>
  <c r="BB75" i="46"/>
  <c r="BB77" i="46" s="1"/>
  <c r="BL77" i="46" s="1"/>
  <c r="AS77" i="46" s="1"/>
  <c r="BB71" i="46"/>
  <c r="BB73" i="46" s="1"/>
  <c r="BL73" i="46" s="1"/>
  <c r="AS73" i="46" s="1"/>
  <c r="BA75" i="46"/>
  <c r="AA26" i="46"/>
  <c r="AA17" i="46" s="1"/>
  <c r="AA18" i="44"/>
  <c r="AD35" i="44" s="1"/>
  <c r="H20" i="47"/>
  <c r="C109" i="47"/>
  <c r="D109" i="47" s="1"/>
  <c r="AA18" i="47"/>
  <c r="AD35" i="47" s="1"/>
  <c r="AA16" i="47"/>
  <c r="AA15" i="47"/>
  <c r="AA9" i="47"/>
  <c r="AB9" i="47" s="1"/>
  <c r="AA6" i="47"/>
  <c r="AB6" i="47" s="1"/>
  <c r="E20" i="47"/>
  <c r="C41" i="45"/>
  <c r="B20" i="44"/>
  <c r="AE66" i="44"/>
  <c r="AA14" i="44"/>
  <c r="AA15" i="44"/>
  <c r="AZ77" i="44"/>
  <c r="T22" i="43"/>
  <c r="T24" i="43" s="1"/>
  <c r="H20" i="42"/>
  <c r="AA19" i="42"/>
  <c r="AA6" i="42"/>
  <c r="AE66" i="42"/>
  <c r="B20" i="42"/>
  <c r="AA14" i="42"/>
  <c r="AA16" i="42"/>
  <c r="AA10" i="41"/>
  <c r="AB10" i="41" s="1"/>
  <c r="AC10" i="41" s="1"/>
  <c r="BI75" i="41"/>
  <c r="BI77" i="41" s="1"/>
  <c r="AA15" i="41"/>
  <c r="AA11" i="41"/>
  <c r="AB11" i="41" s="1"/>
  <c r="AA19" i="41"/>
  <c r="AA14" i="41"/>
  <c r="AE66" i="41"/>
  <c r="AA16" i="41"/>
  <c r="AA18" i="41"/>
  <c r="AD35" i="41" s="1"/>
  <c r="AE65" i="38"/>
  <c r="C108" i="38"/>
  <c r="AC33" i="38" s="1"/>
  <c r="AE64" i="38"/>
  <c r="H20" i="38"/>
  <c r="F66" i="38"/>
  <c r="E6" i="38" s="1"/>
  <c r="C41" i="38"/>
  <c r="G109" i="38"/>
  <c r="H109" i="38" s="1"/>
  <c r="D66" i="47"/>
  <c r="H7" i="47"/>
  <c r="AE66" i="47"/>
  <c r="AC41" i="47"/>
  <c r="AB41" i="47" s="1"/>
  <c r="AB33" i="47"/>
  <c r="D66" i="46"/>
  <c r="F66" i="45"/>
  <c r="C108" i="45"/>
  <c r="AC33" i="45" s="1"/>
  <c r="G114" i="44"/>
  <c r="H114" i="44" s="1"/>
  <c r="G113" i="44"/>
  <c r="H113" i="44" s="1"/>
  <c r="C114" i="44"/>
  <c r="D114" i="44" s="1"/>
  <c r="C113" i="44"/>
  <c r="D113" i="44" s="1"/>
  <c r="C108" i="44"/>
  <c r="AC33" i="44" s="1"/>
  <c r="AA19" i="44"/>
  <c r="AA9" i="44"/>
  <c r="BA73" i="44"/>
  <c r="BK73" i="44" s="1"/>
  <c r="AR73" i="44" s="1"/>
  <c r="AZ73" i="44" s="1"/>
  <c r="BI71" i="44"/>
  <c r="BI73" i="44" s="1"/>
  <c r="H20" i="44"/>
  <c r="AA16" i="44"/>
  <c r="AA6" i="44"/>
  <c r="AA10" i="44"/>
  <c r="BI75" i="44"/>
  <c r="BI77" i="44" s="1"/>
  <c r="AC41" i="43"/>
  <c r="AB41" i="43" s="1"/>
  <c r="AB33" i="43"/>
  <c r="C109" i="43"/>
  <c r="D109" i="43" s="1"/>
  <c r="BI92" i="42"/>
  <c r="BI94" i="42" s="1"/>
  <c r="BA94" i="42"/>
  <c r="BK94" i="42" s="1"/>
  <c r="AR94" i="42" s="1"/>
  <c r="AZ94" i="42" s="1"/>
  <c r="AA10" i="42"/>
  <c r="AA15" i="42"/>
  <c r="G118" i="42"/>
  <c r="H118" i="42" s="1"/>
  <c r="C117" i="42"/>
  <c r="D117" i="42" s="1"/>
  <c r="G117" i="42"/>
  <c r="H117" i="42" s="1"/>
  <c r="C119" i="42"/>
  <c r="D119" i="42" s="1"/>
  <c r="G119" i="42"/>
  <c r="H119" i="42" s="1"/>
  <c r="C118" i="42"/>
  <c r="D118" i="42" s="1"/>
  <c r="AA11" i="42"/>
  <c r="AA18" i="42"/>
  <c r="D66" i="42"/>
  <c r="AA9" i="42"/>
  <c r="BA73" i="42"/>
  <c r="BK73" i="42" s="1"/>
  <c r="AR73" i="42" s="1"/>
  <c r="AZ73" i="42" s="1"/>
  <c r="BI71" i="42"/>
  <c r="BI73" i="42" s="1"/>
  <c r="G114" i="41"/>
  <c r="H114" i="41" s="1"/>
  <c r="G113" i="41"/>
  <c r="H113" i="41" s="1"/>
  <c r="C114" i="41"/>
  <c r="D114" i="41" s="1"/>
  <c r="C113" i="41"/>
  <c r="D113" i="41" s="1"/>
  <c r="BA73" i="41"/>
  <c r="BK73" i="41" s="1"/>
  <c r="AR73" i="41" s="1"/>
  <c r="AZ73" i="41" s="1"/>
  <c r="BI71" i="41"/>
  <c r="BI73" i="41" s="1"/>
  <c r="H20" i="41"/>
  <c r="C108" i="41"/>
  <c r="AC33" i="41" s="1"/>
  <c r="AA9" i="41"/>
  <c r="AA6" i="41"/>
  <c r="D66" i="40"/>
  <c r="B6" i="40" s="1"/>
  <c r="BP52" i="40"/>
  <c r="BR52" i="40" s="1"/>
  <c r="C109" i="39"/>
  <c r="D109" i="39" s="1"/>
  <c r="BI92" i="39"/>
  <c r="BI94" i="39" s="1"/>
  <c r="BA94" i="39"/>
  <c r="BK94" i="39" s="1"/>
  <c r="AR94" i="39" s="1"/>
  <c r="AZ94" i="39" s="1"/>
  <c r="AC41" i="39"/>
  <c r="AB41" i="39" s="1"/>
  <c r="AB33" i="39"/>
  <c r="AA6" i="39"/>
  <c r="C82" i="35"/>
  <c r="D82" i="35"/>
  <c r="E82" i="35"/>
  <c r="F82" i="35"/>
  <c r="G82" i="35"/>
  <c r="H82" i="35"/>
  <c r="B82" i="35"/>
  <c r="BA73" i="39" l="1"/>
  <c r="BK73" i="39" s="1"/>
  <c r="AR73" i="39" s="1"/>
  <c r="AZ73" i="39" s="1"/>
  <c r="G114" i="40"/>
  <c r="H114" i="40" s="1"/>
  <c r="K7" i="42"/>
  <c r="T7" i="42"/>
  <c r="AA10" i="45"/>
  <c r="AB10" i="45" s="1"/>
  <c r="AC10" i="45" s="1"/>
  <c r="H20" i="45"/>
  <c r="Q11" i="36"/>
  <c r="BA77" i="39"/>
  <c r="BK77" i="39" s="1"/>
  <c r="AR77" i="39" s="1"/>
  <c r="AZ77" i="39" s="1"/>
  <c r="AA10" i="39"/>
  <c r="AA19" i="39"/>
  <c r="AA15" i="39"/>
  <c r="BI75" i="38"/>
  <c r="BI77" i="38" s="1"/>
  <c r="C113" i="40"/>
  <c r="D113" i="40" s="1"/>
  <c r="C114" i="40"/>
  <c r="D114" i="40" s="1"/>
  <c r="C118" i="40"/>
  <c r="D118" i="40" s="1"/>
  <c r="C117" i="46"/>
  <c r="D117" i="46" s="1"/>
  <c r="C113" i="39"/>
  <c r="D113" i="39" s="1"/>
  <c r="C114" i="39"/>
  <c r="D114" i="39" s="1"/>
  <c r="AA16" i="39"/>
  <c r="AA18" i="39"/>
  <c r="AD35" i="39" s="1"/>
  <c r="AD43" i="39" s="1"/>
  <c r="AB43" i="39" s="1"/>
  <c r="AA14" i="39"/>
  <c r="B20" i="39"/>
  <c r="K20" i="39"/>
  <c r="H20" i="39"/>
  <c r="AA9" i="39"/>
  <c r="AB9" i="39" s="1"/>
  <c r="AC9" i="39" s="1"/>
  <c r="T20" i="40"/>
  <c r="E20" i="39"/>
  <c r="Q23" i="40"/>
  <c r="G113" i="39"/>
  <c r="H113" i="39" s="1"/>
  <c r="BI71" i="43"/>
  <c r="BI73" i="43" s="1"/>
  <c r="C114" i="45"/>
  <c r="D114" i="45" s="1"/>
  <c r="Q20" i="45"/>
  <c r="AA6" i="45"/>
  <c r="C114" i="46"/>
  <c r="D114" i="46" s="1"/>
  <c r="BI71" i="38"/>
  <c r="BI73" i="38" s="1"/>
  <c r="C113" i="45"/>
  <c r="D113" i="45" s="1"/>
  <c r="C113" i="46"/>
  <c r="D113" i="46" s="1"/>
  <c r="AA19" i="45"/>
  <c r="G113" i="46"/>
  <c r="H113" i="46" s="1"/>
  <c r="H115" i="46" s="1"/>
  <c r="E7" i="46" s="1"/>
  <c r="AA9" i="45"/>
  <c r="AB9" i="45" s="1"/>
  <c r="AC9" i="45" s="1"/>
  <c r="AA17" i="43"/>
  <c r="AA16" i="43"/>
  <c r="B20" i="43"/>
  <c r="AZ77" i="45"/>
  <c r="Q20" i="38"/>
  <c r="AA10" i="43"/>
  <c r="AB10" i="43" s="1"/>
  <c r="AC10" i="43" s="1"/>
  <c r="AE66" i="39"/>
  <c r="AA19" i="43"/>
  <c r="AA15" i="43"/>
  <c r="AZ77" i="40"/>
  <c r="Q23" i="48"/>
  <c r="C117" i="40"/>
  <c r="D117" i="40" s="1"/>
  <c r="BI71" i="45"/>
  <c r="BI73" i="45" s="1"/>
  <c r="E20" i="38"/>
  <c r="C119" i="40"/>
  <c r="D119" i="40" s="1"/>
  <c r="BA94" i="38"/>
  <c r="BK94" i="38" s="1"/>
  <c r="AR94" i="38" s="1"/>
  <c r="AZ94" i="38" s="1"/>
  <c r="G119" i="40"/>
  <c r="H119" i="40" s="1"/>
  <c r="G118" i="40"/>
  <c r="H118" i="40" s="1"/>
  <c r="BI75" i="45"/>
  <c r="BI77" i="45" s="1"/>
  <c r="AA19" i="38"/>
  <c r="G113" i="43"/>
  <c r="H113" i="43" s="1"/>
  <c r="AA10" i="38"/>
  <c r="AB10" i="38" s="1"/>
  <c r="AC10" i="38" s="1"/>
  <c r="AA11" i="43"/>
  <c r="AB11" i="43" s="1"/>
  <c r="AC11" i="43" s="1"/>
  <c r="B20" i="38"/>
  <c r="AA11" i="45"/>
  <c r="AB11" i="45" s="1"/>
  <c r="AC11" i="45" s="1"/>
  <c r="G113" i="45"/>
  <c r="H113" i="45" s="1"/>
  <c r="H115" i="45" s="1"/>
  <c r="Q7" i="45" s="1"/>
  <c r="AA15" i="45"/>
  <c r="AA18" i="45"/>
  <c r="AD35" i="45" s="1"/>
  <c r="AB35" i="45" s="1"/>
  <c r="G114" i="43"/>
  <c r="H114" i="43" s="1"/>
  <c r="AE66" i="45"/>
  <c r="Q12" i="36"/>
  <c r="AA16" i="45"/>
  <c r="AA9" i="43"/>
  <c r="AB9" i="43" s="1"/>
  <c r="AC9" i="43" s="1"/>
  <c r="AE66" i="43"/>
  <c r="C113" i="43"/>
  <c r="D113" i="43" s="1"/>
  <c r="D115" i="43" s="1"/>
  <c r="W12" i="43" s="1"/>
  <c r="W22" i="43" s="1"/>
  <c r="W24" i="43" s="1"/>
  <c r="AA9" i="38"/>
  <c r="AB9" i="38" s="1"/>
  <c r="AC9" i="38" s="1"/>
  <c r="H20" i="43"/>
  <c r="AA19" i="40"/>
  <c r="B20" i="40"/>
  <c r="BI71" i="40"/>
  <c r="BI73" i="40" s="1"/>
  <c r="AE66" i="40"/>
  <c r="AA16" i="40"/>
  <c r="AA18" i="40"/>
  <c r="AD35" i="40" s="1"/>
  <c r="E20" i="43"/>
  <c r="AA14" i="43"/>
  <c r="E20" i="45"/>
  <c r="AA16" i="38"/>
  <c r="BA94" i="45"/>
  <c r="BK94" i="45" s="1"/>
  <c r="AR94" i="45" s="1"/>
  <c r="AZ94" i="45" s="1"/>
  <c r="AA14" i="45"/>
  <c r="H115" i="47"/>
  <c r="E7" i="47" s="1"/>
  <c r="AA11" i="38"/>
  <c r="AB11" i="38" s="1"/>
  <c r="AC11" i="38" s="1"/>
  <c r="AA18" i="38"/>
  <c r="AD35" i="38" s="1"/>
  <c r="AA10" i="40"/>
  <c r="AB10" i="40" s="1"/>
  <c r="AC10" i="40" s="1"/>
  <c r="C115" i="47"/>
  <c r="B7" i="47"/>
  <c r="W7" i="47"/>
  <c r="W12" i="47" s="1"/>
  <c r="W22" i="47" s="1"/>
  <c r="W24" i="47" s="1"/>
  <c r="S16" i="36" s="1"/>
  <c r="AA15" i="38"/>
  <c r="AA14" i="38"/>
  <c r="AA9" i="40"/>
  <c r="AB9" i="40" s="1"/>
  <c r="AC9" i="40" s="1"/>
  <c r="E20" i="40"/>
  <c r="AA14" i="40"/>
  <c r="BA94" i="40"/>
  <c r="BK94" i="40" s="1"/>
  <c r="AR94" i="40" s="1"/>
  <c r="AZ94" i="40" s="1"/>
  <c r="Q10" i="36"/>
  <c r="AA11" i="40"/>
  <c r="AB11" i="40" s="1"/>
  <c r="H20" i="40"/>
  <c r="AA15" i="40"/>
  <c r="AA18" i="43"/>
  <c r="AD35" i="43" s="1"/>
  <c r="BI75" i="40"/>
  <c r="BI77" i="40" s="1"/>
  <c r="BI75" i="43"/>
  <c r="BI77" i="43" s="1"/>
  <c r="C118" i="46"/>
  <c r="D118" i="46" s="1"/>
  <c r="G117" i="46"/>
  <c r="H117" i="46" s="1"/>
  <c r="B20" i="45"/>
  <c r="AE66" i="46"/>
  <c r="C119" i="46"/>
  <c r="D119" i="46" s="1"/>
  <c r="G118" i="46"/>
  <c r="H118" i="46" s="1"/>
  <c r="H120" i="46" s="1"/>
  <c r="E8" i="46" s="1"/>
  <c r="Q23" i="47"/>
  <c r="Q16" i="36"/>
  <c r="G115" i="47"/>
  <c r="B20" i="46"/>
  <c r="P13" i="36"/>
  <c r="R12" i="36"/>
  <c r="H115" i="42"/>
  <c r="H7" i="42" s="1"/>
  <c r="P11" i="36"/>
  <c r="P10" i="36"/>
  <c r="H115" i="41"/>
  <c r="AA16" i="46"/>
  <c r="AA19" i="46"/>
  <c r="AA20" i="41"/>
  <c r="BI92" i="46"/>
  <c r="BI94" i="46" s="1"/>
  <c r="BA94" i="46"/>
  <c r="BK94" i="46" s="1"/>
  <c r="AR94" i="46" s="1"/>
  <c r="AZ94" i="46" s="1"/>
  <c r="BA73" i="46"/>
  <c r="BK73" i="46" s="1"/>
  <c r="AR73" i="46" s="1"/>
  <c r="AZ73" i="46" s="1"/>
  <c r="BI71" i="46"/>
  <c r="BI73" i="46" s="1"/>
  <c r="E20" i="46"/>
  <c r="AA14" i="46"/>
  <c r="AA15" i="46"/>
  <c r="AB6" i="42"/>
  <c r="AB22" i="42" s="1"/>
  <c r="BA77" i="46"/>
  <c r="BK77" i="46" s="1"/>
  <c r="AR77" i="46" s="1"/>
  <c r="AZ77" i="46" s="1"/>
  <c r="BI75" i="46"/>
  <c r="BI77" i="46" s="1"/>
  <c r="AA10" i="46"/>
  <c r="AB10" i="46" s="1"/>
  <c r="AC10" i="46" s="1"/>
  <c r="D115" i="44"/>
  <c r="C115" i="44" s="1"/>
  <c r="AA6" i="46"/>
  <c r="AB6" i="46" s="1"/>
  <c r="AC6" i="46" s="1"/>
  <c r="AA11" i="46"/>
  <c r="AA18" i="46"/>
  <c r="AD35" i="46" s="1"/>
  <c r="AA9" i="46"/>
  <c r="AB9" i="46" s="1"/>
  <c r="AC9" i="46" s="1"/>
  <c r="AC9" i="47"/>
  <c r="AA20" i="47"/>
  <c r="AA20" i="44"/>
  <c r="H115" i="44"/>
  <c r="W12" i="42"/>
  <c r="W22" i="42" s="1"/>
  <c r="W24" i="42" s="1"/>
  <c r="B7" i="42"/>
  <c r="D120" i="42"/>
  <c r="AC11" i="41"/>
  <c r="D115" i="41"/>
  <c r="AE66" i="38"/>
  <c r="H115" i="39"/>
  <c r="E7" i="39" s="1"/>
  <c r="AZ77" i="38"/>
  <c r="G114" i="38"/>
  <c r="H114" i="38" s="1"/>
  <c r="G113" i="38"/>
  <c r="H113" i="38" s="1"/>
  <c r="C114" i="38"/>
  <c r="D114" i="38" s="1"/>
  <c r="C113" i="38"/>
  <c r="D113" i="38" s="1"/>
  <c r="AC41" i="38"/>
  <c r="AB41" i="38" s="1"/>
  <c r="AB33" i="38"/>
  <c r="AA6" i="38"/>
  <c r="C109" i="38"/>
  <c r="D109" i="38" s="1"/>
  <c r="AB22" i="47"/>
  <c r="AC6" i="47"/>
  <c r="AD43" i="47"/>
  <c r="AB43" i="47" s="1"/>
  <c r="AB35" i="47"/>
  <c r="G118" i="47"/>
  <c r="H118" i="47" s="1"/>
  <c r="C117" i="47"/>
  <c r="D117" i="47" s="1"/>
  <c r="G117" i="47"/>
  <c r="H117" i="47" s="1"/>
  <c r="G119" i="47"/>
  <c r="H119" i="47" s="1"/>
  <c r="C118" i="47"/>
  <c r="D118" i="47" s="1"/>
  <c r="C119" i="47"/>
  <c r="D119" i="47" s="1"/>
  <c r="H7" i="46"/>
  <c r="D115" i="46"/>
  <c r="H7" i="45"/>
  <c r="C109" i="45"/>
  <c r="D109" i="45" s="1"/>
  <c r="AB6" i="45"/>
  <c r="AC6" i="45" s="1"/>
  <c r="AC41" i="45"/>
  <c r="AB41" i="45" s="1"/>
  <c r="AB33" i="45"/>
  <c r="AB6" i="44"/>
  <c r="AC6" i="44" s="1"/>
  <c r="AC41" i="44"/>
  <c r="AB41" i="44" s="1"/>
  <c r="AB33" i="44"/>
  <c r="C109" i="44"/>
  <c r="D109" i="44" s="1"/>
  <c r="AB10" i="44"/>
  <c r="AC10" i="44" s="1"/>
  <c r="AB9" i="44"/>
  <c r="AC9" i="44" s="1"/>
  <c r="AD43" i="44"/>
  <c r="AB43" i="44" s="1"/>
  <c r="AB35" i="44"/>
  <c r="G118" i="43"/>
  <c r="H118" i="43" s="1"/>
  <c r="C117" i="43"/>
  <c r="D117" i="43" s="1"/>
  <c r="G117" i="43"/>
  <c r="H117" i="43" s="1"/>
  <c r="C119" i="43"/>
  <c r="D119" i="43" s="1"/>
  <c r="C118" i="43"/>
  <c r="D118" i="43" s="1"/>
  <c r="G119" i="43"/>
  <c r="H119" i="43" s="1"/>
  <c r="AB6" i="43"/>
  <c r="AC6" i="43" s="1"/>
  <c r="AB9" i="42"/>
  <c r="AC9" i="42" s="1"/>
  <c r="AB10" i="42"/>
  <c r="AC10" i="42" s="1"/>
  <c r="AD35" i="42"/>
  <c r="AA20" i="42"/>
  <c r="AB11" i="42"/>
  <c r="AC11" i="42" s="1"/>
  <c r="H120" i="42"/>
  <c r="E8" i="42" s="1"/>
  <c r="C115" i="42"/>
  <c r="AB9" i="41"/>
  <c r="AC9" i="41" s="1"/>
  <c r="AC41" i="41"/>
  <c r="AB41" i="41" s="1"/>
  <c r="AB33" i="41"/>
  <c r="AB6" i="41"/>
  <c r="AC6" i="41" s="1"/>
  <c r="AD43" i="41"/>
  <c r="AB43" i="41" s="1"/>
  <c r="AB35" i="41"/>
  <c r="C109" i="41"/>
  <c r="D109" i="41" s="1"/>
  <c r="H115" i="40"/>
  <c r="E7" i="40" s="1"/>
  <c r="AA6" i="40"/>
  <c r="AB6" i="39"/>
  <c r="AB11" i="39"/>
  <c r="AC11" i="39" s="1"/>
  <c r="W12" i="39"/>
  <c r="W22" i="39" s="1"/>
  <c r="W24" i="39" s="1"/>
  <c r="S8" i="36" s="1"/>
  <c r="G118" i="39"/>
  <c r="H118" i="39" s="1"/>
  <c r="C117" i="39"/>
  <c r="D117" i="39" s="1"/>
  <c r="G117" i="39"/>
  <c r="H117" i="39" s="1"/>
  <c r="G119" i="39"/>
  <c r="H119" i="39" s="1"/>
  <c r="C118" i="39"/>
  <c r="D118" i="39" s="1"/>
  <c r="C119" i="39"/>
  <c r="D119" i="39" s="1"/>
  <c r="AB10" i="39"/>
  <c r="AC10" i="39" s="1"/>
  <c r="K8" i="42" l="1"/>
  <c r="K12" i="42" s="1"/>
  <c r="K22" i="42" s="1"/>
  <c r="K24" i="42" s="1"/>
  <c r="O11" i="36" s="1"/>
  <c r="T8" i="42"/>
  <c r="D115" i="39"/>
  <c r="C115" i="39" s="1"/>
  <c r="T12" i="42"/>
  <c r="T22" i="42" s="1"/>
  <c r="T24" i="42" s="1"/>
  <c r="R11" i="36" s="1"/>
  <c r="D115" i="40"/>
  <c r="AA20" i="39"/>
  <c r="AB35" i="39"/>
  <c r="C115" i="40"/>
  <c r="T7" i="40"/>
  <c r="D115" i="45"/>
  <c r="AD43" i="45"/>
  <c r="AB43" i="45" s="1"/>
  <c r="D120" i="40"/>
  <c r="T8" i="40" s="1"/>
  <c r="H115" i="43"/>
  <c r="H7" i="43" s="1"/>
  <c r="H120" i="40"/>
  <c r="H122" i="40" s="1"/>
  <c r="D120" i="46"/>
  <c r="C120" i="46" s="1"/>
  <c r="AA20" i="45"/>
  <c r="AC11" i="40"/>
  <c r="AA7" i="47"/>
  <c r="AB7" i="47" s="1"/>
  <c r="AA20" i="43"/>
  <c r="H7" i="44"/>
  <c r="E7" i="44"/>
  <c r="E7" i="43"/>
  <c r="AA20" i="38"/>
  <c r="W12" i="40"/>
  <c r="W22" i="40" s="1"/>
  <c r="W24" i="40" s="1"/>
  <c r="S9" i="36" s="1"/>
  <c r="G115" i="45"/>
  <c r="E7" i="45"/>
  <c r="B7" i="40"/>
  <c r="G115" i="42"/>
  <c r="E7" i="42"/>
  <c r="E12" i="42" s="1"/>
  <c r="E22" i="42" s="1"/>
  <c r="E24" i="42" s="1"/>
  <c r="M11" i="36" s="1"/>
  <c r="C115" i="41"/>
  <c r="W12" i="41"/>
  <c r="W22" i="41" s="1"/>
  <c r="W24" i="41" s="1"/>
  <c r="S10" i="36" s="1"/>
  <c r="B7" i="41"/>
  <c r="AA20" i="40"/>
  <c r="G120" i="40"/>
  <c r="E8" i="40"/>
  <c r="E12" i="40" s="1"/>
  <c r="E22" i="40" s="1"/>
  <c r="E24" i="40" s="1"/>
  <c r="M9" i="36" s="1"/>
  <c r="H7" i="41"/>
  <c r="E7" i="41"/>
  <c r="G115" i="41"/>
  <c r="B7" i="44"/>
  <c r="H7" i="39"/>
  <c r="Q7" i="39"/>
  <c r="K7" i="39"/>
  <c r="B7" i="46"/>
  <c r="W12" i="46"/>
  <c r="W22" i="46" s="1"/>
  <c r="W24" i="46" s="1"/>
  <c r="W12" i="44"/>
  <c r="W22" i="44" s="1"/>
  <c r="W24" i="44" s="1"/>
  <c r="S12" i="36"/>
  <c r="S11" i="36"/>
  <c r="B7" i="39"/>
  <c r="H8" i="40"/>
  <c r="C115" i="43"/>
  <c r="AC6" i="42"/>
  <c r="G115" i="46"/>
  <c r="D115" i="38"/>
  <c r="E12" i="46"/>
  <c r="E22" i="46" s="1"/>
  <c r="E24" i="46" s="1"/>
  <c r="B7" i="43"/>
  <c r="AA20" i="46"/>
  <c r="AB11" i="46"/>
  <c r="AC11" i="46" s="1"/>
  <c r="AD43" i="46"/>
  <c r="AB43" i="46" s="1"/>
  <c r="AB35" i="46"/>
  <c r="H122" i="46"/>
  <c r="W12" i="45"/>
  <c r="W22" i="45" s="1"/>
  <c r="W24" i="45" s="1"/>
  <c r="B7" i="45"/>
  <c r="G115" i="44"/>
  <c r="C120" i="42"/>
  <c r="B8" i="42"/>
  <c r="B12" i="42" s="1"/>
  <c r="B22" i="42" s="1"/>
  <c r="B24" i="42" s="1"/>
  <c r="D122" i="42"/>
  <c r="G115" i="39"/>
  <c r="W12" i="38"/>
  <c r="W22" i="38" s="1"/>
  <c r="W24" i="38" s="1"/>
  <c r="S7" i="36" s="1"/>
  <c r="B7" i="38"/>
  <c r="H115" i="38"/>
  <c r="Q7" i="38" s="1"/>
  <c r="AD43" i="38"/>
  <c r="AB43" i="38" s="1"/>
  <c r="AB35" i="38"/>
  <c r="AB6" i="38"/>
  <c r="G118" i="38"/>
  <c r="H118" i="38" s="1"/>
  <c r="C117" i="38"/>
  <c r="D117" i="38" s="1"/>
  <c r="G117" i="38"/>
  <c r="H117" i="38" s="1"/>
  <c r="C119" i="38"/>
  <c r="D119" i="38" s="1"/>
  <c r="C118" i="38"/>
  <c r="D118" i="38" s="1"/>
  <c r="G119" i="38"/>
  <c r="H119" i="38" s="1"/>
  <c r="H120" i="47"/>
  <c r="E8" i="47" s="1"/>
  <c r="E12" i="47" s="1"/>
  <c r="E22" i="47" s="1"/>
  <c r="E24" i="47" s="1"/>
  <c r="D120" i="47"/>
  <c r="B8" i="47" s="1"/>
  <c r="B12" i="47" s="1"/>
  <c r="B22" i="47" s="1"/>
  <c r="B24" i="47" s="1"/>
  <c r="L16" i="36" s="1"/>
  <c r="AB22" i="46"/>
  <c r="C115" i="46"/>
  <c r="G120" i="46"/>
  <c r="H8" i="46"/>
  <c r="AB22" i="45"/>
  <c r="G118" i="45"/>
  <c r="H118" i="45" s="1"/>
  <c r="C117" i="45"/>
  <c r="D117" i="45" s="1"/>
  <c r="G117" i="45"/>
  <c r="H117" i="45" s="1"/>
  <c r="C119" i="45"/>
  <c r="D119" i="45" s="1"/>
  <c r="C118" i="45"/>
  <c r="D118" i="45" s="1"/>
  <c r="G119" i="45"/>
  <c r="H119" i="45" s="1"/>
  <c r="C115" i="45"/>
  <c r="G118" i="44"/>
  <c r="H118" i="44" s="1"/>
  <c r="C117" i="44"/>
  <c r="D117" i="44" s="1"/>
  <c r="G117" i="44"/>
  <c r="H117" i="44" s="1"/>
  <c r="C119" i="44"/>
  <c r="D119" i="44" s="1"/>
  <c r="C118" i="44"/>
  <c r="D118" i="44" s="1"/>
  <c r="G119" i="44"/>
  <c r="H119" i="44" s="1"/>
  <c r="AB22" i="44"/>
  <c r="H120" i="43"/>
  <c r="E8" i="43" s="1"/>
  <c r="AD43" i="43"/>
  <c r="AB43" i="43" s="1"/>
  <c r="AB35" i="43"/>
  <c r="D120" i="43"/>
  <c r="B8" i="43" s="1"/>
  <c r="AB22" i="43"/>
  <c r="G120" i="42"/>
  <c r="H8" i="42"/>
  <c r="H122" i="42"/>
  <c r="AD43" i="42"/>
  <c r="AB43" i="42" s="1"/>
  <c r="AB35" i="42"/>
  <c r="AB22" i="41"/>
  <c r="G118" i="41"/>
  <c r="H118" i="41" s="1"/>
  <c r="C117" i="41"/>
  <c r="D117" i="41" s="1"/>
  <c r="G117" i="41"/>
  <c r="H117" i="41" s="1"/>
  <c r="C119" i="41"/>
  <c r="D119" i="41" s="1"/>
  <c r="C118" i="41"/>
  <c r="D118" i="41" s="1"/>
  <c r="G119" i="41"/>
  <c r="H119" i="41" s="1"/>
  <c r="G115" i="40"/>
  <c r="H7" i="40"/>
  <c r="AB6" i="40"/>
  <c r="AC6" i="40" s="1"/>
  <c r="AD43" i="40"/>
  <c r="AB43" i="40" s="1"/>
  <c r="AB35" i="40"/>
  <c r="H120" i="39"/>
  <c r="E8" i="39" s="1"/>
  <c r="E12" i="39" s="1"/>
  <c r="E22" i="39" s="1"/>
  <c r="E24" i="39" s="1"/>
  <c r="M8" i="36" s="1"/>
  <c r="AB22" i="39"/>
  <c r="D120" i="39"/>
  <c r="K8" i="39" s="1"/>
  <c r="AC6" i="39"/>
  <c r="D122" i="40" l="1"/>
  <c r="B8" i="40"/>
  <c r="C120" i="40"/>
  <c r="T12" i="40"/>
  <c r="T22" i="40" s="1"/>
  <c r="T24" i="40" s="1"/>
  <c r="R9" i="36" s="1"/>
  <c r="D122" i="46"/>
  <c r="B8" i="46"/>
  <c r="AA8" i="46" s="1"/>
  <c r="AB8" i="46" s="1"/>
  <c r="AC8" i="46" s="1"/>
  <c r="E7" i="38"/>
  <c r="H7" i="38"/>
  <c r="G115" i="43"/>
  <c r="B12" i="46"/>
  <c r="B22" i="46" s="1"/>
  <c r="B24" i="46" s="1"/>
  <c r="L15" i="36" s="1"/>
  <c r="AA7" i="40"/>
  <c r="AB7" i="40" s="1"/>
  <c r="AC7" i="40" s="1"/>
  <c r="E12" i="43"/>
  <c r="E22" i="43" s="1"/>
  <c r="E24" i="43" s="1"/>
  <c r="M12" i="36" s="1"/>
  <c r="AA7" i="42"/>
  <c r="AB7" i="42" s="1"/>
  <c r="AC7" i="42" s="1"/>
  <c r="AA7" i="43"/>
  <c r="AB7" i="43" s="1"/>
  <c r="AA7" i="41"/>
  <c r="AB7" i="41" s="1"/>
  <c r="AC7" i="41" s="1"/>
  <c r="H8" i="39"/>
  <c r="H12" i="39" s="1"/>
  <c r="H22" i="39" s="1"/>
  <c r="H24" i="39" s="1"/>
  <c r="N8" i="36" s="1"/>
  <c r="Q8" i="39"/>
  <c r="Q12" i="39" s="1"/>
  <c r="Q22" i="39" s="1"/>
  <c r="Q24" i="39" s="1"/>
  <c r="AA7" i="39"/>
  <c r="AB7" i="39" s="1"/>
  <c r="AC7" i="39" s="1"/>
  <c r="K12" i="39"/>
  <c r="K22" i="39" s="1"/>
  <c r="K24" i="39" s="1"/>
  <c r="O8" i="36" s="1"/>
  <c r="M16" i="36"/>
  <c r="AA7" i="46"/>
  <c r="AB7" i="46" s="1"/>
  <c r="AC7" i="46" s="1"/>
  <c r="S15" i="36"/>
  <c r="M15" i="36"/>
  <c r="S14" i="36"/>
  <c r="AA7" i="44"/>
  <c r="AB7" i="44" s="1"/>
  <c r="AC7" i="44" s="1"/>
  <c r="S13" i="36"/>
  <c r="L11" i="36"/>
  <c r="AA8" i="40"/>
  <c r="AB8" i="40" s="1"/>
  <c r="C115" i="38"/>
  <c r="K7" i="38"/>
  <c r="G115" i="38"/>
  <c r="B12" i="43"/>
  <c r="B22" i="43" s="1"/>
  <c r="B24" i="43" s="1"/>
  <c r="H120" i="44"/>
  <c r="AA7" i="45"/>
  <c r="AB7" i="45" s="1"/>
  <c r="AC7" i="45" s="1"/>
  <c r="H12" i="46"/>
  <c r="H22" i="46" s="1"/>
  <c r="H24" i="46" s="1"/>
  <c r="H120" i="41"/>
  <c r="G120" i="41" s="1"/>
  <c r="B12" i="40"/>
  <c r="B22" i="40" s="1"/>
  <c r="B24" i="40" s="1"/>
  <c r="H12" i="40"/>
  <c r="H22" i="40" s="1"/>
  <c r="H24" i="40" s="1"/>
  <c r="D120" i="38"/>
  <c r="AB22" i="38"/>
  <c r="H120" i="38"/>
  <c r="AC6" i="38"/>
  <c r="C120" i="47"/>
  <c r="D122" i="47"/>
  <c r="G120" i="47"/>
  <c r="H8" i="47"/>
  <c r="H122" i="47"/>
  <c r="AC7" i="47"/>
  <c r="H120" i="45"/>
  <c r="D120" i="45"/>
  <c r="B8" i="45" s="1"/>
  <c r="B12" i="45" s="1"/>
  <c r="B22" i="45" s="1"/>
  <c r="B24" i="45" s="1"/>
  <c r="D120" i="44"/>
  <c r="B8" i="44" s="1"/>
  <c r="B12" i="44" s="1"/>
  <c r="B22" i="44" s="1"/>
  <c r="B24" i="44" s="1"/>
  <c r="H8" i="44"/>
  <c r="G120" i="43"/>
  <c r="H8" i="43"/>
  <c r="H122" i="43"/>
  <c r="C120" i="43"/>
  <c r="D122" i="43"/>
  <c r="AA8" i="42"/>
  <c r="H12" i="42"/>
  <c r="H22" i="42" s="1"/>
  <c r="H24" i="42" s="1"/>
  <c r="D120" i="41"/>
  <c r="B8" i="41" s="1"/>
  <c r="B12" i="41" s="1"/>
  <c r="B22" i="41" s="1"/>
  <c r="B24" i="41" s="1"/>
  <c r="L10" i="36" s="1"/>
  <c r="AB22" i="40"/>
  <c r="G120" i="39"/>
  <c r="H122" i="39"/>
  <c r="C120" i="39"/>
  <c r="B8" i="39"/>
  <c r="D122" i="39"/>
  <c r="E8" i="45" l="1"/>
  <c r="E12" i="45" s="1"/>
  <c r="E22" i="45" s="1"/>
  <c r="E24" i="45" s="1"/>
  <c r="M14" i="36" s="1"/>
  <c r="Q8" i="45"/>
  <c r="Q12" i="45" s="1"/>
  <c r="Q22" i="45" s="1"/>
  <c r="Q24" i="45" s="1"/>
  <c r="H8" i="38"/>
  <c r="H12" i="38" s="1"/>
  <c r="H22" i="38" s="1"/>
  <c r="H24" i="38" s="1"/>
  <c r="N7" i="36" s="1"/>
  <c r="Q8" i="38"/>
  <c r="Q12" i="38" s="1"/>
  <c r="Q22" i="38" s="1"/>
  <c r="Q24" i="38" s="1"/>
  <c r="AA7" i="38"/>
  <c r="AB7" i="38" s="1"/>
  <c r="AA12" i="40"/>
  <c r="AA22" i="40" s="1"/>
  <c r="G120" i="44"/>
  <c r="E8" i="44"/>
  <c r="E12" i="44" s="1"/>
  <c r="E22" i="44" s="1"/>
  <c r="E24" i="44" s="1"/>
  <c r="M13" i="36" s="1"/>
  <c r="H122" i="41"/>
  <c r="H8" i="41"/>
  <c r="E8" i="41"/>
  <c r="E12" i="41" s="1"/>
  <c r="E22" i="41" s="1"/>
  <c r="E24" i="41" s="1"/>
  <c r="M10" i="36" s="1"/>
  <c r="H122" i="44"/>
  <c r="AA12" i="46"/>
  <c r="AA22" i="46" s="1"/>
  <c r="Q23" i="39"/>
  <c r="Q8" i="36"/>
  <c r="AA24" i="46"/>
  <c r="L14" i="36"/>
  <c r="L13" i="36"/>
  <c r="L12" i="36"/>
  <c r="N9" i="36"/>
  <c r="L9" i="36"/>
  <c r="C120" i="38"/>
  <c r="K8" i="38"/>
  <c r="K12" i="38" s="1"/>
  <c r="K22" i="38" s="1"/>
  <c r="K24" i="38" s="1"/>
  <c r="O7" i="36" s="1"/>
  <c r="N15" i="36"/>
  <c r="AA24" i="40"/>
  <c r="AA24" i="42"/>
  <c r="N11" i="36"/>
  <c r="D122" i="38"/>
  <c r="B8" i="38"/>
  <c r="B12" i="38" s="1"/>
  <c r="B22" i="38" s="1"/>
  <c r="B24" i="38" s="1"/>
  <c r="AB12" i="40"/>
  <c r="AC31" i="40" s="1"/>
  <c r="AC39" i="40" s="1"/>
  <c r="G120" i="38"/>
  <c r="E8" i="38"/>
  <c r="H122" i="38"/>
  <c r="AA8" i="47"/>
  <c r="H12" i="47"/>
  <c r="H22" i="47" s="1"/>
  <c r="H24" i="47" s="1"/>
  <c r="AB12" i="46"/>
  <c r="AC12" i="46"/>
  <c r="G120" i="45"/>
  <c r="H8" i="45"/>
  <c r="H122" i="45"/>
  <c r="C120" i="45"/>
  <c r="D122" i="45"/>
  <c r="H12" i="44"/>
  <c r="H22" i="44" s="1"/>
  <c r="H24" i="44" s="1"/>
  <c r="C120" i="44"/>
  <c r="D122" i="44"/>
  <c r="AA8" i="43"/>
  <c r="H12" i="43"/>
  <c r="H22" i="43" s="1"/>
  <c r="H24" i="43" s="1"/>
  <c r="AC7" i="43"/>
  <c r="AB8" i="42"/>
  <c r="AB12" i="42" s="1"/>
  <c r="AA12" i="42"/>
  <c r="AA22" i="42" s="1"/>
  <c r="C120" i="41"/>
  <c r="D122" i="41"/>
  <c r="AC8" i="40"/>
  <c r="AC12" i="40" s="1"/>
  <c r="AC32" i="40" s="1"/>
  <c r="AA8" i="39"/>
  <c r="B12" i="39"/>
  <c r="B22" i="39" s="1"/>
  <c r="B24" i="39" s="1"/>
  <c r="Q23" i="45" l="1"/>
  <c r="Q14" i="36"/>
  <c r="AA23" i="40"/>
  <c r="Q23" i="38"/>
  <c r="Q7" i="36"/>
  <c r="AA8" i="41"/>
  <c r="AB8" i="41" s="1"/>
  <c r="AB12" i="41" s="1"/>
  <c r="H12" i="41"/>
  <c r="H22" i="41" s="1"/>
  <c r="H24" i="41" s="1"/>
  <c r="AA24" i="41" s="1"/>
  <c r="AA23" i="46"/>
  <c r="AA23" i="42"/>
  <c r="AA8" i="44"/>
  <c r="AA12" i="44" s="1"/>
  <c r="AA22" i="44" s="1"/>
  <c r="L7" i="36"/>
  <c r="AB14" i="40"/>
  <c r="AC14" i="40" s="1"/>
  <c r="AC34" i="40"/>
  <c r="AC36" i="40" s="1"/>
  <c r="AA24" i="47"/>
  <c r="N16" i="36"/>
  <c r="AA24" i="44"/>
  <c r="N13" i="36"/>
  <c r="AA24" i="43"/>
  <c r="N12" i="36"/>
  <c r="AC8" i="42"/>
  <c r="AC12" i="42" s="1"/>
  <c r="AC32" i="42" s="1"/>
  <c r="AA24" i="39"/>
  <c r="L8" i="36"/>
  <c r="AC7" i="38"/>
  <c r="AA8" i="38"/>
  <c r="E12" i="38"/>
  <c r="E22" i="38" s="1"/>
  <c r="E24" i="38" s="1"/>
  <c r="AB8" i="47"/>
  <c r="AB12" i="47" s="1"/>
  <c r="AA12" i="47"/>
  <c r="AA22" i="47" s="1"/>
  <c r="AC32" i="46"/>
  <c r="AC31" i="46"/>
  <c r="AB14" i="46"/>
  <c r="AB15" i="46" s="1"/>
  <c r="AC15" i="46" s="1"/>
  <c r="AA8" i="45"/>
  <c r="H12" i="45"/>
  <c r="H22" i="45" s="1"/>
  <c r="H24" i="45" s="1"/>
  <c r="AB8" i="43"/>
  <c r="AB12" i="43" s="1"/>
  <c r="AA12" i="43"/>
  <c r="AA22" i="43" s="1"/>
  <c r="AC31" i="42"/>
  <c r="AB14" i="42"/>
  <c r="AB15" i="42" s="1"/>
  <c r="AC15" i="42" s="1"/>
  <c r="AC40" i="40"/>
  <c r="AC42" i="40" s="1"/>
  <c r="AC44" i="40" s="1"/>
  <c r="AB8" i="39"/>
  <c r="AB12" i="39" s="1"/>
  <c r="AA12" i="39"/>
  <c r="AA22" i="39" s="1"/>
  <c r="N10" i="36" l="1"/>
  <c r="AA12" i="41"/>
  <c r="AA22" i="41" s="1"/>
  <c r="AA23" i="41" s="1"/>
  <c r="AB8" i="44"/>
  <c r="AB12" i="44" s="1"/>
  <c r="AC31" i="44" s="1"/>
  <c r="AA23" i="47"/>
  <c r="AB15" i="40"/>
  <c r="AB16" i="40" s="1"/>
  <c r="AC16" i="40" s="1"/>
  <c r="AA23" i="43"/>
  <c r="AA23" i="44"/>
  <c r="AB16" i="46"/>
  <c r="AC16" i="46" s="1"/>
  <c r="AA23" i="39"/>
  <c r="AA24" i="45"/>
  <c r="N14" i="36"/>
  <c r="AB8" i="38"/>
  <c r="AB12" i="38" s="1"/>
  <c r="AA12" i="38"/>
  <c r="AA22" i="38" s="1"/>
  <c r="M7" i="36"/>
  <c r="AA24" i="38"/>
  <c r="AC31" i="47"/>
  <c r="AB14" i="47"/>
  <c r="AB15" i="47" s="1"/>
  <c r="AC15" i="47" s="1"/>
  <c r="AC8" i="47"/>
  <c r="AC12" i="47" s="1"/>
  <c r="AC14" i="46"/>
  <c r="AC39" i="46"/>
  <c r="AC34" i="46"/>
  <c r="AC36" i="46" s="1"/>
  <c r="AC40" i="46"/>
  <c r="AB8" i="45"/>
  <c r="AB12" i="45" s="1"/>
  <c r="AA12" i="45"/>
  <c r="AA22" i="45" s="1"/>
  <c r="AC31" i="43"/>
  <c r="AB14" i="43"/>
  <c r="AB15" i="43" s="1"/>
  <c r="AC15" i="43" s="1"/>
  <c r="AC8" i="43"/>
  <c r="AC12" i="43" s="1"/>
  <c r="AC14" i="42"/>
  <c r="AB16" i="42"/>
  <c r="AC16" i="42" s="1"/>
  <c r="AC40" i="42"/>
  <c r="AC34" i="42"/>
  <c r="AC36" i="42" s="1"/>
  <c r="AC39" i="42"/>
  <c r="AC31" i="41"/>
  <c r="AB14" i="41"/>
  <c r="AC8" i="41"/>
  <c r="AC12" i="41" s="1"/>
  <c r="AC31" i="39"/>
  <c r="AB14" i="39"/>
  <c r="AB15" i="39" s="1"/>
  <c r="AC15" i="39" s="1"/>
  <c r="AC8" i="39"/>
  <c r="AC12" i="39" s="1"/>
  <c r="AB14" i="44" l="1"/>
  <c r="AC8" i="44"/>
  <c r="AC12" i="44" s="1"/>
  <c r="AC32" i="44" s="1"/>
  <c r="AC34" i="44" s="1"/>
  <c r="AC36" i="44" s="1"/>
  <c r="AC15" i="40"/>
  <c r="AB17" i="40"/>
  <c r="AC17" i="40" s="1"/>
  <c r="AA23" i="45"/>
  <c r="AB17" i="46"/>
  <c r="AC17" i="46" s="1"/>
  <c r="AB16" i="47"/>
  <c r="AC16" i="47" s="1"/>
  <c r="AA23" i="38"/>
  <c r="AC31" i="38"/>
  <c r="AB14" i="38"/>
  <c r="AC8" i="38"/>
  <c r="AC12" i="38" s="1"/>
  <c r="AC32" i="47"/>
  <c r="AC34" i="47" s="1"/>
  <c r="AC36" i="47" s="1"/>
  <c r="AC14" i="47"/>
  <c r="AC39" i="47"/>
  <c r="AC42" i="46"/>
  <c r="AC44" i="46" s="1"/>
  <c r="AC31" i="45"/>
  <c r="AB14" i="45"/>
  <c r="AB15" i="45" s="1"/>
  <c r="AC15" i="45" s="1"/>
  <c r="AC8" i="45"/>
  <c r="AC12" i="45" s="1"/>
  <c r="AC14" i="44"/>
  <c r="AB15" i="44"/>
  <c r="AB16" i="44" s="1"/>
  <c r="AC16" i="44" s="1"/>
  <c r="AC39" i="44"/>
  <c r="AC32" i="43"/>
  <c r="AC34" i="43" s="1"/>
  <c r="AC36" i="43" s="1"/>
  <c r="AB16" i="43"/>
  <c r="AC16" i="43" s="1"/>
  <c r="AC14" i="43"/>
  <c r="AC39" i="43"/>
  <c r="AC42" i="42"/>
  <c r="AC44" i="42" s="1"/>
  <c r="AB17" i="42"/>
  <c r="AC32" i="41"/>
  <c r="AC34" i="41" s="1"/>
  <c r="AC36" i="41" s="1"/>
  <c r="AC14" i="41"/>
  <c r="AB15" i="41"/>
  <c r="AC15" i="41" s="1"/>
  <c r="AC39" i="41"/>
  <c r="AC32" i="39"/>
  <c r="AC34" i="39" s="1"/>
  <c r="AC36" i="39" s="1"/>
  <c r="AC14" i="39"/>
  <c r="AB16" i="39"/>
  <c r="AC39" i="39"/>
  <c r="AC40" i="44" l="1"/>
  <c r="AC42" i="44" s="1"/>
  <c r="AC44" i="44" s="1"/>
  <c r="AB19" i="46"/>
  <c r="AC19" i="46" s="1"/>
  <c r="AB17" i="47"/>
  <c r="AC17" i="47" s="1"/>
  <c r="AB19" i="40"/>
  <c r="AC19" i="40" s="1"/>
  <c r="AB16" i="45"/>
  <c r="AC16" i="45" s="1"/>
  <c r="AC14" i="38"/>
  <c r="AB15" i="38"/>
  <c r="AC39" i="38"/>
  <c r="AC32" i="38"/>
  <c r="AC40" i="47"/>
  <c r="AC32" i="45"/>
  <c r="AC34" i="45" s="1"/>
  <c r="AC36" i="45" s="1"/>
  <c r="AC14" i="45"/>
  <c r="AC39" i="45"/>
  <c r="AC15" i="44"/>
  <c r="AB17" i="44"/>
  <c r="AC17" i="44" s="1"/>
  <c r="AC40" i="43"/>
  <c r="AC42" i="43" s="1"/>
  <c r="AC44" i="43" s="1"/>
  <c r="AB17" i="43"/>
  <c r="AC17" i="43" s="1"/>
  <c r="AC17" i="42"/>
  <c r="AB19" i="42"/>
  <c r="AC19" i="42" s="1"/>
  <c r="AC40" i="41"/>
  <c r="AC42" i="41" s="1"/>
  <c r="AC44" i="41" s="1"/>
  <c r="AB16" i="41"/>
  <c r="AC16" i="39"/>
  <c r="AB17" i="39"/>
  <c r="AB19" i="39" s="1"/>
  <c r="AC19" i="39" s="1"/>
  <c r="AC40" i="39"/>
  <c r="AC42" i="39" s="1"/>
  <c r="AC44" i="39" s="1"/>
  <c r="AB18" i="46" l="1"/>
  <c r="AC18" i="46" s="1"/>
  <c r="AC20" i="46" s="1"/>
  <c r="AB19" i="47"/>
  <c r="AC19" i="47" s="1"/>
  <c r="AB18" i="40"/>
  <c r="AB20" i="40" s="1"/>
  <c r="AD31" i="40" s="1"/>
  <c r="AB17" i="45"/>
  <c r="AC17" i="45" s="1"/>
  <c r="AC15" i="38"/>
  <c r="AC40" i="38"/>
  <c r="AC34" i="38"/>
  <c r="AC36" i="38" s="1"/>
  <c r="AB16" i="38"/>
  <c r="AC42" i="47"/>
  <c r="AC44" i="47" s="1"/>
  <c r="AB20" i="46"/>
  <c r="AD31" i="46" s="1"/>
  <c r="AC40" i="45"/>
  <c r="AB19" i="44"/>
  <c r="AC19" i="44" s="1"/>
  <c r="AB19" i="43"/>
  <c r="AC19" i="43" s="1"/>
  <c r="AB18" i="42"/>
  <c r="AC16" i="41"/>
  <c r="AB17" i="41"/>
  <c r="AC17" i="41" s="1"/>
  <c r="AC17" i="39"/>
  <c r="AB18" i="39"/>
  <c r="AC18" i="39" s="1"/>
  <c r="AC18" i="40" l="1"/>
  <c r="AC20" i="40" s="1"/>
  <c r="AD32" i="40" s="1"/>
  <c r="AD34" i="40" s="1"/>
  <c r="AD36" i="40" s="1"/>
  <c r="AB18" i="47"/>
  <c r="AC18" i="47" s="1"/>
  <c r="AC20" i="47" s="1"/>
  <c r="AD32" i="47" s="1"/>
  <c r="AB19" i="45"/>
  <c r="AC19" i="45" s="1"/>
  <c r="AB20" i="47"/>
  <c r="AD31" i="47" s="1"/>
  <c r="AD39" i="47" s="1"/>
  <c r="AB18" i="43"/>
  <c r="AC18" i="43" s="1"/>
  <c r="AC20" i="43" s="1"/>
  <c r="AD32" i="43" s="1"/>
  <c r="AC16" i="38"/>
  <c r="AC42" i="38"/>
  <c r="AC44" i="38" s="1"/>
  <c r="AB17" i="38"/>
  <c r="AB19" i="38" s="1"/>
  <c r="AC19" i="38" s="1"/>
  <c r="AD39" i="46"/>
  <c r="AB31" i="46"/>
  <c r="AD32" i="46"/>
  <c r="AD34" i="46" s="1"/>
  <c r="AD36" i="46" s="1"/>
  <c r="AC22" i="46"/>
  <c r="AC42" i="45"/>
  <c r="AC44" i="45" s="1"/>
  <c r="AB18" i="44"/>
  <c r="AC18" i="42"/>
  <c r="AC20" i="42" s="1"/>
  <c r="AB20" i="42"/>
  <c r="AD31" i="42" s="1"/>
  <c r="AB19" i="41"/>
  <c r="AD39" i="40"/>
  <c r="AB31" i="40"/>
  <c r="AB20" i="39"/>
  <c r="AD31" i="39" s="1"/>
  <c r="AC20" i="39"/>
  <c r="AC22" i="40" l="1"/>
  <c r="AC22" i="47"/>
  <c r="AD34" i="47"/>
  <c r="AD36" i="47" s="1"/>
  <c r="AB31" i="47"/>
  <c r="AB18" i="45"/>
  <c r="AC18" i="45" s="1"/>
  <c r="AC20" i="45" s="1"/>
  <c r="AB20" i="43"/>
  <c r="AD31" i="43" s="1"/>
  <c r="AD39" i="43" s="1"/>
  <c r="AC22" i="43"/>
  <c r="AC17" i="38"/>
  <c r="AB18" i="38"/>
  <c r="AC18" i="38" s="1"/>
  <c r="AB39" i="47"/>
  <c r="AD40" i="47"/>
  <c r="AB40" i="47" s="1"/>
  <c r="AB32" i="47"/>
  <c r="AB34" i="47" s="1"/>
  <c r="AB36" i="47" s="1"/>
  <c r="AD40" i="46"/>
  <c r="AB40" i="46" s="1"/>
  <c r="AB32" i="46"/>
  <c r="AB34" i="46" s="1"/>
  <c r="AB36" i="46" s="1"/>
  <c r="AB39" i="46"/>
  <c r="AC18" i="44"/>
  <c r="AC20" i="44" s="1"/>
  <c r="AB20" i="44"/>
  <c r="AD31" i="44" s="1"/>
  <c r="AD40" i="43"/>
  <c r="AB40" i="43" s="1"/>
  <c r="AB32" i="43"/>
  <c r="AD39" i="42"/>
  <c r="AB31" i="42"/>
  <c r="AD32" i="42"/>
  <c r="AC22" i="42"/>
  <c r="AC19" i="41"/>
  <c r="AB18" i="41"/>
  <c r="AD40" i="40"/>
  <c r="AB40" i="40" s="1"/>
  <c r="AB32" i="40"/>
  <c r="AB34" i="40" s="1"/>
  <c r="AB36" i="40" s="1"/>
  <c r="AB39" i="40"/>
  <c r="AD32" i="39"/>
  <c r="AD34" i="39" s="1"/>
  <c r="AD36" i="39" s="1"/>
  <c r="AC22" i="39"/>
  <c r="AD39" i="39"/>
  <c r="AB31" i="39"/>
  <c r="AB20" i="45" l="1"/>
  <c r="AD31" i="45" s="1"/>
  <c r="AB31" i="45" s="1"/>
  <c r="AD32" i="45"/>
  <c r="AC22" i="45"/>
  <c r="AD34" i="43"/>
  <c r="AD36" i="43" s="1"/>
  <c r="AB31" i="43"/>
  <c r="AB34" i="43" s="1"/>
  <c r="AB36" i="43" s="1"/>
  <c r="AC20" i="38"/>
  <c r="AC22" i="38" s="1"/>
  <c r="AD42" i="46"/>
  <c r="AD44" i="46" s="1"/>
  <c r="AB20" i="38"/>
  <c r="AD31" i="38" s="1"/>
  <c r="AD39" i="38" s="1"/>
  <c r="AB42" i="46"/>
  <c r="AB44" i="46" s="1"/>
  <c r="AD42" i="40"/>
  <c r="AD44" i="40" s="1"/>
  <c r="AB42" i="47"/>
  <c r="AB44" i="47" s="1"/>
  <c r="AD42" i="47"/>
  <c r="AD44" i="47" s="1"/>
  <c r="AD39" i="44"/>
  <c r="AB31" i="44"/>
  <c r="AD32" i="44"/>
  <c r="AC22" i="44"/>
  <c r="AD42" i="43"/>
  <c r="AD44" i="43" s="1"/>
  <c r="AB39" i="43"/>
  <c r="AB42" i="43" s="1"/>
  <c r="AB44" i="43" s="1"/>
  <c r="AD40" i="42"/>
  <c r="AB40" i="42" s="1"/>
  <c r="AB32" i="42"/>
  <c r="AB34" i="42" s="1"/>
  <c r="AB36" i="42" s="1"/>
  <c r="AD34" i="42"/>
  <c r="AD36" i="42" s="1"/>
  <c r="AB39" i="42"/>
  <c r="AC18" i="41"/>
  <c r="AC20" i="41" s="1"/>
  <c r="AB20" i="41"/>
  <c r="AD31" i="41" s="1"/>
  <c r="AB42" i="40"/>
  <c r="AB44" i="40" s="1"/>
  <c r="AB39" i="39"/>
  <c r="AD40" i="39"/>
  <c r="AB40" i="39" s="1"/>
  <c r="AB32" i="39"/>
  <c r="AB34" i="39" s="1"/>
  <c r="AB36" i="39" s="1"/>
  <c r="AD39" i="45" l="1"/>
  <c r="AB39" i="45" s="1"/>
  <c r="AD40" i="45"/>
  <c r="AB32" i="45"/>
  <c r="AB34" i="45" s="1"/>
  <c r="AB36" i="45" s="1"/>
  <c r="AD34" i="45"/>
  <c r="AD36" i="45" s="1"/>
  <c r="AD32" i="38"/>
  <c r="AD34" i="38" s="1"/>
  <c r="AD36" i="38" s="1"/>
  <c r="AB31" i="38"/>
  <c r="AD42" i="42"/>
  <c r="AD44" i="42" s="1"/>
  <c r="AB42" i="42"/>
  <c r="AB44" i="42" s="1"/>
  <c r="AB39" i="38"/>
  <c r="AD40" i="44"/>
  <c r="AB40" i="44" s="1"/>
  <c r="AB32" i="44"/>
  <c r="AB34" i="44" s="1"/>
  <c r="AB36" i="44" s="1"/>
  <c r="AD34" i="44"/>
  <c r="AD36" i="44" s="1"/>
  <c r="AB39" i="44"/>
  <c r="AD39" i="41"/>
  <c r="AB31" i="41"/>
  <c r="AD32" i="41"/>
  <c r="AC22" i="41"/>
  <c r="AB42" i="39"/>
  <c r="AB44" i="39" s="1"/>
  <c r="AD42" i="39"/>
  <c r="AD44" i="39" s="1"/>
  <c r="AB32" i="38" l="1"/>
  <c r="AB34" i="38" s="1"/>
  <c r="AB36" i="38" s="1"/>
  <c r="AB40" i="45"/>
  <c r="AB42" i="45" s="1"/>
  <c r="AB44" i="45" s="1"/>
  <c r="AD42" i="45"/>
  <c r="AD44" i="45" s="1"/>
  <c r="AD40" i="38"/>
  <c r="AB40" i="38" s="1"/>
  <c r="AB42" i="38" s="1"/>
  <c r="AB44" i="38" s="1"/>
  <c r="AD42" i="44"/>
  <c r="AD44" i="44" s="1"/>
  <c r="AB42" i="44"/>
  <c r="AB44" i="44" s="1"/>
  <c r="AD40" i="41"/>
  <c r="AB40" i="41" s="1"/>
  <c r="AB32" i="41"/>
  <c r="AB34" i="41" s="1"/>
  <c r="AB36" i="41" s="1"/>
  <c r="AD34" i="41"/>
  <c r="AD36" i="41" s="1"/>
  <c r="AB39" i="41"/>
  <c r="AD42" i="38" l="1"/>
  <c r="AD44" i="38" s="1"/>
  <c r="AD42" i="41"/>
  <c r="AD44" i="41" s="1"/>
  <c r="AB42" i="41"/>
  <c r="AB44" i="41" s="1"/>
  <c r="D34" i="35" l="1"/>
  <c r="D33" i="35"/>
  <c r="D32" i="35"/>
  <c r="B48" i="35" l="1"/>
  <c r="AO156" i="35"/>
  <c r="AN154" i="35" s="1"/>
  <c r="AH154" i="35" s="1"/>
  <c r="AN155" i="35"/>
  <c r="AH155" i="35"/>
  <c r="AN152" i="35"/>
  <c r="AH152" i="35" s="1"/>
  <c r="AN150" i="35"/>
  <c r="AH150" i="35" s="1"/>
  <c r="AP145" i="35"/>
  <c r="AO145" i="35"/>
  <c r="AN145" i="35"/>
  <c r="AP144" i="35"/>
  <c r="AH144" i="35"/>
  <c r="AP143" i="35"/>
  <c r="AH143" i="35"/>
  <c r="AO139" i="35"/>
  <c r="AN137" i="35" s="1"/>
  <c r="AH137" i="35" s="1"/>
  <c r="AN134" i="35"/>
  <c r="AH134" i="35" s="1"/>
  <c r="F119" i="35"/>
  <c r="B118" i="35"/>
  <c r="F117" i="35"/>
  <c r="F120" i="35" s="1"/>
  <c r="B117" i="35"/>
  <c r="B120" i="35" s="1"/>
  <c r="F115" i="35"/>
  <c r="B115" i="35"/>
  <c r="BJ94" i="35"/>
  <c r="AO86" i="35"/>
  <c r="AN85" i="35" s="1"/>
  <c r="AH85" i="35" s="1"/>
  <c r="AN82" i="35"/>
  <c r="AH82" i="35" s="1"/>
  <c r="AN79" i="35"/>
  <c r="AH79" i="35" s="1"/>
  <c r="BJ77" i="35"/>
  <c r="AH76" i="35"/>
  <c r="AH75" i="35"/>
  <c r="BJ73" i="35"/>
  <c r="AH72" i="35"/>
  <c r="AH71" i="35"/>
  <c r="AH73" i="35" s="1"/>
  <c r="AJ61" i="35"/>
  <c r="R61" i="35"/>
  <c r="BO61" i="35" s="1"/>
  <c r="P61" i="35"/>
  <c r="BN61" i="35" s="1"/>
  <c r="M61" i="35"/>
  <c r="N61" i="35" s="1"/>
  <c r="L61" i="35"/>
  <c r="J61" i="35"/>
  <c r="BK61" i="35" s="1"/>
  <c r="H61" i="35"/>
  <c r="BJ61" i="35" s="1"/>
  <c r="F61" i="35"/>
  <c r="BI61" i="35" s="1"/>
  <c r="D61" i="35"/>
  <c r="BH61" i="35" s="1"/>
  <c r="BX60" i="35"/>
  <c r="BS60" i="35"/>
  <c r="BV60" i="35" s="1"/>
  <c r="BH60" i="35"/>
  <c r="AJ60" i="35"/>
  <c r="R60" i="35"/>
  <c r="BO60" i="35" s="1"/>
  <c r="P60" i="35"/>
  <c r="BN60" i="35" s="1"/>
  <c r="N60" i="35"/>
  <c r="M60" i="35"/>
  <c r="L60" i="35"/>
  <c r="J60" i="35"/>
  <c r="BK60" i="35" s="1"/>
  <c r="H60" i="35"/>
  <c r="BJ60" i="35" s="1"/>
  <c r="F60" i="35"/>
  <c r="BI60" i="35" s="1"/>
  <c r="D60" i="35"/>
  <c r="BS59" i="35"/>
  <c r="BV59" i="35" s="1"/>
  <c r="BX59" i="35" s="1"/>
  <c r="AJ59" i="35"/>
  <c r="R59" i="35"/>
  <c r="BO59" i="35" s="1"/>
  <c r="P59" i="35"/>
  <c r="BN59" i="35" s="1"/>
  <c r="M59" i="35"/>
  <c r="N59" i="35" s="1"/>
  <c r="L59" i="35"/>
  <c r="J59" i="35"/>
  <c r="BK59" i="35" s="1"/>
  <c r="H59" i="35"/>
  <c r="BJ59" i="35" s="1"/>
  <c r="F59" i="35"/>
  <c r="BI59" i="35" s="1"/>
  <c r="D59" i="35"/>
  <c r="BX58" i="35"/>
  <c r="BS58" i="35"/>
  <c r="BV58" i="35" s="1"/>
  <c r="Q58" i="35"/>
  <c r="R58" i="35" s="1"/>
  <c r="BO58" i="35" s="1"/>
  <c r="O58" i="35"/>
  <c r="M58" i="35"/>
  <c r="N58" i="35" s="1"/>
  <c r="H58" i="35"/>
  <c r="F58" i="35"/>
  <c r="BI58" i="35" s="1"/>
  <c r="BS57" i="35"/>
  <c r="BV57" i="35" s="1"/>
  <c r="BX57" i="35" s="1"/>
  <c r="Q57" i="35"/>
  <c r="O57" i="35"/>
  <c r="M57" i="35"/>
  <c r="L57" i="35"/>
  <c r="B57" i="35"/>
  <c r="AJ57" i="35" s="1"/>
  <c r="BS56" i="35"/>
  <c r="BV56" i="35" s="1"/>
  <c r="BX56" i="35" s="1"/>
  <c r="AJ56" i="35"/>
  <c r="Q56" i="35"/>
  <c r="R56" i="35" s="1"/>
  <c r="BO56" i="35" s="1"/>
  <c r="O56" i="35"/>
  <c r="P56" i="35" s="1"/>
  <c r="N56" i="35"/>
  <c r="L56" i="35"/>
  <c r="J56" i="35"/>
  <c r="H56" i="35"/>
  <c r="BJ56" i="35" s="1"/>
  <c r="F56" i="35"/>
  <c r="BI56" i="35" s="1"/>
  <c r="D56" i="35"/>
  <c r="BH56" i="35" s="1"/>
  <c r="BO55" i="35"/>
  <c r="BN55" i="35"/>
  <c r="BK55" i="35"/>
  <c r="BJ55" i="35"/>
  <c r="BI55" i="35"/>
  <c r="BH55" i="35"/>
  <c r="AJ55" i="35"/>
  <c r="R55" i="35"/>
  <c r="P55" i="35"/>
  <c r="N55" i="35"/>
  <c r="L55" i="35"/>
  <c r="J55" i="35"/>
  <c r="H55" i="35"/>
  <c r="F55" i="35"/>
  <c r="D55" i="35"/>
  <c r="BO54" i="35"/>
  <c r="BN54" i="35"/>
  <c r="BK54" i="35"/>
  <c r="BJ54" i="35"/>
  <c r="BI54" i="35"/>
  <c r="BH54" i="35"/>
  <c r="AJ54" i="35"/>
  <c r="R54" i="35"/>
  <c r="P54" i="35"/>
  <c r="N54" i="35"/>
  <c r="L54" i="35"/>
  <c r="J54" i="35"/>
  <c r="H54" i="35"/>
  <c r="F54" i="35"/>
  <c r="D54" i="35"/>
  <c r="AJ53" i="35"/>
  <c r="Q53" i="35"/>
  <c r="R53" i="35" s="1"/>
  <c r="BO53" i="35" s="1"/>
  <c r="O53" i="35"/>
  <c r="P53" i="35" s="1"/>
  <c r="BN53" i="35" s="1"/>
  <c r="N53" i="35"/>
  <c r="L53" i="35"/>
  <c r="J53" i="35"/>
  <c r="BK53" i="35" s="1"/>
  <c r="H53" i="35"/>
  <c r="F53" i="35"/>
  <c r="BI53" i="35" s="1"/>
  <c r="D53" i="35"/>
  <c r="BH53" i="35" s="1"/>
  <c r="BX52" i="35"/>
  <c r="BW52" i="35"/>
  <c r="BV52" i="35"/>
  <c r="BT52" i="35"/>
  <c r="BS52" i="35"/>
  <c r="Q52" i="35"/>
  <c r="O52" i="35"/>
  <c r="M52" i="35"/>
  <c r="Q49" i="35"/>
  <c r="O49" i="35"/>
  <c r="M49" i="35"/>
  <c r="K49" i="35"/>
  <c r="I49" i="35"/>
  <c r="G49" i="35"/>
  <c r="E49" i="35"/>
  <c r="C49" i="35"/>
  <c r="B47" i="35"/>
  <c r="AC43" i="35"/>
  <c r="AD41" i="35"/>
  <c r="B41" i="35"/>
  <c r="C36" i="35" s="1"/>
  <c r="D35" i="35"/>
  <c r="D41" i="35" s="1"/>
  <c r="E41" i="35" s="1"/>
  <c r="D27" i="35"/>
  <c r="C27" i="35"/>
  <c r="W26" i="35"/>
  <c r="BO19" i="35" s="1"/>
  <c r="T26" i="35"/>
  <c r="Q26" i="35"/>
  <c r="Q6" i="35" s="1"/>
  <c r="N26" i="35"/>
  <c r="K26" i="35"/>
  <c r="BK15" i="35" s="1"/>
  <c r="H26" i="35"/>
  <c r="H6" i="35" s="1"/>
  <c r="E26" i="35"/>
  <c r="E6" i="35" s="1"/>
  <c r="BH8" i="35"/>
  <c r="X22" i="35"/>
  <c r="V22" i="35"/>
  <c r="M22" i="35"/>
  <c r="G22" i="35"/>
  <c r="D22" i="35"/>
  <c r="Y20" i="35"/>
  <c r="X20" i="35"/>
  <c r="U20" i="35"/>
  <c r="S20" i="35"/>
  <c r="R20" i="35"/>
  <c r="P20" i="35"/>
  <c r="O20" i="35"/>
  <c r="L20" i="35"/>
  <c r="J20" i="35"/>
  <c r="I20" i="35"/>
  <c r="F20" i="35"/>
  <c r="C20" i="35"/>
  <c r="BH19" i="35"/>
  <c r="BO18" i="35"/>
  <c r="BH18" i="35"/>
  <c r="BH17" i="35"/>
  <c r="BH16" i="35"/>
  <c r="BH15" i="35"/>
  <c r="BH14" i="35"/>
  <c r="Y12" i="35"/>
  <c r="Y22" i="35" s="1"/>
  <c r="X12" i="35"/>
  <c r="U12" i="35"/>
  <c r="U22" i="35" s="1"/>
  <c r="U24" i="35" s="1"/>
  <c r="S12" i="35"/>
  <c r="R12" i="35"/>
  <c r="R22" i="35" s="1"/>
  <c r="P12" i="35"/>
  <c r="P22" i="35" s="1"/>
  <c r="O12" i="35"/>
  <c r="L12" i="35"/>
  <c r="L22" i="35" s="1"/>
  <c r="L24" i="35" s="1"/>
  <c r="J12" i="35"/>
  <c r="I12" i="35"/>
  <c r="F12" i="35"/>
  <c r="F22" i="35" s="1"/>
  <c r="F24" i="35" s="1"/>
  <c r="C12" i="35"/>
  <c r="BH11" i="35"/>
  <c r="BO10" i="35"/>
  <c r="BH10" i="35"/>
  <c r="BK9" i="35"/>
  <c r="BH9" i="35"/>
  <c r="BH7" i="35"/>
  <c r="Y4" i="35"/>
  <c r="W4" i="35"/>
  <c r="V4" i="35"/>
  <c r="U4" i="35"/>
  <c r="T4" i="35"/>
  <c r="S4" i="35"/>
  <c r="Q4" i="35"/>
  <c r="P4" i="35"/>
  <c r="N4" i="35"/>
  <c r="M4" i="35"/>
  <c r="K4" i="35"/>
  <c r="J4" i="35"/>
  <c r="H4" i="35"/>
  <c r="G4" i="35"/>
  <c r="F4" i="35"/>
  <c r="E4" i="35"/>
  <c r="N14" i="35" l="1"/>
  <c r="N15" i="35"/>
  <c r="N11" i="35"/>
  <c r="N10" i="35"/>
  <c r="N6" i="35"/>
  <c r="N9" i="35"/>
  <c r="N7" i="35"/>
  <c r="N19" i="35"/>
  <c r="N8" i="35"/>
  <c r="N18" i="35"/>
  <c r="N16" i="35"/>
  <c r="BK17" i="35"/>
  <c r="BK19" i="35"/>
  <c r="K6" i="35"/>
  <c r="BN19" i="35"/>
  <c r="T6" i="35"/>
  <c r="BI19" i="35"/>
  <c r="BJ14" i="35"/>
  <c r="BK7" i="35"/>
  <c r="BO8" i="35"/>
  <c r="BK11" i="35"/>
  <c r="BO14" i="35"/>
  <c r="BM15" i="35"/>
  <c r="BO16" i="35"/>
  <c r="BL18" i="35"/>
  <c r="BL19" i="35"/>
  <c r="I22" i="35"/>
  <c r="I24" i="35" s="1"/>
  <c r="F57" i="35"/>
  <c r="BI57" i="35" s="1"/>
  <c r="C22" i="35"/>
  <c r="C24" i="35" s="1"/>
  <c r="BO7" i="35"/>
  <c r="BK10" i="35"/>
  <c r="BO11" i="35"/>
  <c r="BO15" i="35"/>
  <c r="BM18" i="35"/>
  <c r="BM19" i="35"/>
  <c r="H57" i="35"/>
  <c r="H65" i="35" s="1"/>
  <c r="P57" i="35"/>
  <c r="BN57" i="35" s="1"/>
  <c r="AN80" i="35"/>
  <c r="AN84" i="35"/>
  <c r="AH84" i="35" s="1"/>
  <c r="AN81" i="35"/>
  <c r="AH81" i="35" s="1"/>
  <c r="AN132" i="35"/>
  <c r="AH132" i="35" s="1"/>
  <c r="AN136" i="35"/>
  <c r="AH136" i="35" s="1"/>
  <c r="AH145" i="35"/>
  <c r="S22" i="35"/>
  <c r="R57" i="35"/>
  <c r="BO57" i="35" s="1"/>
  <c r="BI7" i="35"/>
  <c r="BK8" i="35"/>
  <c r="BO9" i="35"/>
  <c r="BK14" i="35"/>
  <c r="BL15" i="35"/>
  <c r="BK16" i="35"/>
  <c r="BO17" i="35"/>
  <c r="BK18" i="35"/>
  <c r="O22" i="35"/>
  <c r="D57" i="35"/>
  <c r="N57" i="35"/>
  <c r="N65" i="35" s="1"/>
  <c r="BJ10" i="35"/>
  <c r="BI14" i="35"/>
  <c r="BI18" i="35"/>
  <c r="BI11" i="35"/>
  <c r="BI15" i="35"/>
  <c r="BI8" i="35"/>
  <c r="BI9" i="35"/>
  <c r="BI10" i="35"/>
  <c r="BI16" i="35"/>
  <c r="BI17" i="35"/>
  <c r="AE53" i="35"/>
  <c r="BN8" i="35"/>
  <c r="BN9" i="35"/>
  <c r="BN17" i="35"/>
  <c r="BJ7" i="35"/>
  <c r="BJ16" i="35"/>
  <c r="BJ11" i="35"/>
  <c r="AE55" i="35"/>
  <c r="BJ57" i="35"/>
  <c r="BP56" i="35"/>
  <c r="BR56" i="35" s="1"/>
  <c r="BT56" i="35" s="1"/>
  <c r="BW56" i="35" s="1"/>
  <c r="BN56" i="35"/>
  <c r="AE56" i="35"/>
  <c r="BP61" i="35"/>
  <c r="C34" i="35"/>
  <c r="C33" i="35"/>
  <c r="C38" i="35"/>
  <c r="C32" i="35"/>
  <c r="C31" i="35"/>
  <c r="BJ53" i="35"/>
  <c r="BP53" i="35" s="1"/>
  <c r="BR53" i="35" s="1"/>
  <c r="AE59" i="35"/>
  <c r="BJ8" i="35"/>
  <c r="BN10" i="35"/>
  <c r="BJ15" i="35"/>
  <c r="BN15" i="35"/>
  <c r="BJ17" i="35"/>
  <c r="C35" i="35"/>
  <c r="C37" i="35"/>
  <c r="BH59" i="35"/>
  <c r="BP59" i="35" s="1"/>
  <c r="BR59" i="35" s="1"/>
  <c r="BT59" i="35" s="1"/>
  <c r="BW59" i="35" s="1"/>
  <c r="AH80" i="35"/>
  <c r="C39" i="35"/>
  <c r="AE54" i="35"/>
  <c r="R65" i="35"/>
  <c r="BN7" i="35"/>
  <c r="BJ9" i="35"/>
  <c r="BN11" i="35"/>
  <c r="J22" i="35"/>
  <c r="BN14" i="35"/>
  <c r="BN16" i="35"/>
  <c r="BJ18" i="35"/>
  <c r="BN18" i="35"/>
  <c r="BJ19" i="35"/>
  <c r="C40" i="35"/>
  <c r="B49" i="35"/>
  <c r="B52" i="35" s="1"/>
  <c r="BK56" i="35"/>
  <c r="BH57" i="35"/>
  <c r="BP60" i="35"/>
  <c r="BR60" i="35" s="1"/>
  <c r="BT60" i="35" s="1"/>
  <c r="BW60" i="35" s="1"/>
  <c r="F65" i="35"/>
  <c r="AH77" i="35"/>
  <c r="G108" i="35"/>
  <c r="J58" i="35"/>
  <c r="BK58" i="35" s="1"/>
  <c r="BJ58" i="35"/>
  <c r="AE60" i="35"/>
  <c r="AE61" i="35"/>
  <c r="G107" i="35"/>
  <c r="C107" i="35"/>
  <c r="AN148" i="35"/>
  <c r="AN153" i="35"/>
  <c r="AH153" i="35" s="1"/>
  <c r="AN151" i="35"/>
  <c r="AH151" i="35" s="1"/>
  <c r="AN149" i="35"/>
  <c r="AH149" i="35" s="1"/>
  <c r="B27" i="35"/>
  <c r="H19" i="35" s="1"/>
  <c r="J57" i="35"/>
  <c r="BK57" i="35" s="1"/>
  <c r="D58" i="35"/>
  <c r="L58" i="35"/>
  <c r="L65" i="35" s="1"/>
  <c r="P58" i="35"/>
  <c r="BN58" i="35" s="1"/>
  <c r="AJ58" i="35"/>
  <c r="AN135" i="35"/>
  <c r="AH135" i="35" s="1"/>
  <c r="AN138" i="35"/>
  <c r="AH138" i="35" s="1"/>
  <c r="AN133" i="35"/>
  <c r="AH133" i="35" s="1"/>
  <c r="AN131" i="35"/>
  <c r="AH131" i="35" s="1"/>
  <c r="AN130" i="35"/>
  <c r="N12" i="35" l="1"/>
  <c r="K18" i="35"/>
  <c r="K11" i="35"/>
  <c r="K10" i="35"/>
  <c r="K9" i="35"/>
  <c r="K19" i="35"/>
  <c r="K14" i="35"/>
  <c r="K16" i="35"/>
  <c r="K15" i="35"/>
  <c r="Q11" i="35"/>
  <c r="Q19" i="35"/>
  <c r="Q10" i="35"/>
  <c r="Q18" i="35"/>
  <c r="Q9" i="35"/>
  <c r="Q16" i="35"/>
  <c r="Q15" i="35"/>
  <c r="Q14" i="35"/>
  <c r="T10" i="35"/>
  <c r="T9" i="35"/>
  <c r="T16" i="35"/>
  <c r="T14" i="35"/>
  <c r="T15" i="35"/>
  <c r="T11" i="35"/>
  <c r="T19" i="35"/>
  <c r="T18" i="35"/>
  <c r="H14" i="35"/>
  <c r="H11" i="35"/>
  <c r="H15" i="35"/>
  <c r="H16" i="35"/>
  <c r="H9" i="35"/>
  <c r="H10" i="35"/>
  <c r="H18" i="35"/>
  <c r="E19" i="35"/>
  <c r="E11" i="35"/>
  <c r="E18" i="35"/>
  <c r="E10" i="35"/>
  <c r="E9" i="35"/>
  <c r="E16" i="35"/>
  <c r="E15" i="35"/>
  <c r="E14" i="35"/>
  <c r="B9" i="35"/>
  <c r="B18" i="35"/>
  <c r="B16" i="35"/>
  <c r="B11" i="35"/>
  <c r="B14" i="35"/>
  <c r="B15" i="35"/>
  <c r="B10" i="35"/>
  <c r="B19" i="35"/>
  <c r="AN86" i="35"/>
  <c r="AH86" i="35"/>
  <c r="BP57" i="35"/>
  <c r="BR57" i="35" s="1"/>
  <c r="BT57" i="35" s="1"/>
  <c r="BW57" i="35" s="1"/>
  <c r="AE58" i="35"/>
  <c r="BH58" i="35"/>
  <c r="BP58" i="35" s="1"/>
  <c r="BR58" i="35" s="1"/>
  <c r="BT58" i="35" s="1"/>
  <c r="BW58" i="35" s="1"/>
  <c r="J52" i="35"/>
  <c r="J64" i="35" s="1"/>
  <c r="R52" i="35"/>
  <c r="R64" i="35" s="1"/>
  <c r="R66" i="35" s="1"/>
  <c r="N52" i="35"/>
  <c r="N64" i="35" s="1"/>
  <c r="N66" i="35" s="1"/>
  <c r="H52" i="35"/>
  <c r="H64" i="35" s="1"/>
  <c r="H66" i="35" s="1"/>
  <c r="L52" i="35"/>
  <c r="L64" i="35" s="1"/>
  <c r="L66" i="35" s="1"/>
  <c r="P52" i="35"/>
  <c r="P64" i="35" s="1"/>
  <c r="F52" i="35"/>
  <c r="F64" i="35" s="1"/>
  <c r="F66" i="35" s="1"/>
  <c r="D52" i="35"/>
  <c r="BH52" i="35" s="1"/>
  <c r="AJ52" i="35"/>
  <c r="AE57" i="35"/>
  <c r="D161" i="35"/>
  <c r="C41" i="35"/>
  <c r="G109" i="35"/>
  <c r="H109" i="35" s="1"/>
  <c r="AH130" i="35"/>
  <c r="AH139" i="35" s="1"/>
  <c r="AN139" i="35"/>
  <c r="AA26" i="35"/>
  <c r="AN156" i="35"/>
  <c r="AH148" i="35"/>
  <c r="AH156" i="35" s="1"/>
  <c r="C108" i="35"/>
  <c r="AC33" i="35" s="1"/>
  <c r="D65" i="35"/>
  <c r="J65" i="35"/>
  <c r="P65" i="35"/>
  <c r="Q20" i="35" l="1"/>
  <c r="T20" i="35"/>
  <c r="C109" i="35"/>
  <c r="D109" i="35" s="1"/>
  <c r="AE65" i="35"/>
  <c r="BN52" i="35"/>
  <c r="BJ52" i="35"/>
  <c r="BK52" i="35"/>
  <c r="AB33" i="35"/>
  <c r="AC41" i="35"/>
  <c r="AB41" i="35" s="1"/>
  <c r="BI52" i="35"/>
  <c r="BP52" i="35" s="1"/>
  <c r="BR52" i="35" s="1"/>
  <c r="P66" i="35"/>
  <c r="BO52" i="35"/>
  <c r="G114" i="35"/>
  <c r="H114" i="35" s="1"/>
  <c r="G113" i="35"/>
  <c r="H113" i="35" s="1"/>
  <c r="C113" i="35"/>
  <c r="D113" i="35" s="1"/>
  <c r="C114" i="35"/>
  <c r="D114" i="35" s="1"/>
  <c r="AE52" i="35"/>
  <c r="AE64" i="35" s="1"/>
  <c r="D64" i="35"/>
  <c r="D66" i="35" s="1"/>
  <c r="B6" i="35" s="1"/>
  <c r="J66" i="35"/>
  <c r="AE66" i="35" l="1"/>
  <c r="AA14" i="35"/>
  <c r="D115" i="35"/>
  <c r="AA17" i="35"/>
  <c r="H115" i="35"/>
  <c r="Q7" i="35" s="1"/>
  <c r="AA18" i="35"/>
  <c r="AA10" i="35"/>
  <c r="AA6" i="35"/>
  <c r="G117" i="35"/>
  <c r="H117" i="35" s="1"/>
  <c r="C119" i="35"/>
  <c r="D119" i="35" s="1"/>
  <c r="C118" i="35"/>
  <c r="D118" i="35" s="1"/>
  <c r="G119" i="35"/>
  <c r="H119" i="35" s="1"/>
  <c r="C117" i="35"/>
  <c r="D117" i="35" s="1"/>
  <c r="G118" i="35"/>
  <c r="H118" i="35" s="1"/>
  <c r="B7" i="35" l="1"/>
  <c r="K7" i="35"/>
  <c r="C115" i="35"/>
  <c r="T7" i="35"/>
  <c r="W12" i="35"/>
  <c r="E7" i="35"/>
  <c r="H7" i="35"/>
  <c r="G115" i="35"/>
  <c r="AA19" i="35"/>
  <c r="BB71" i="35"/>
  <c r="D120" i="35"/>
  <c r="H120" i="35"/>
  <c r="Q8" i="35" s="1"/>
  <c r="Q12" i="35" s="1"/>
  <c r="AA9" i="35"/>
  <c r="BA75" i="35"/>
  <c r="BA77" i="35" s="1"/>
  <c r="BK77" i="35" s="1"/>
  <c r="AR77" i="35" s="1"/>
  <c r="AA11" i="35"/>
  <c r="AB11" i="35" s="1"/>
  <c r="AC11" i="35" s="1"/>
  <c r="BA92" i="35"/>
  <c r="BA94" i="35" s="1"/>
  <c r="BK94" i="35" s="1"/>
  <c r="AR94" i="35" s="1"/>
  <c r="BB72" i="35"/>
  <c r="BI72" i="35" s="1"/>
  <c r="AB10" i="35"/>
  <c r="AC10" i="35" s="1"/>
  <c r="BA71" i="35"/>
  <c r="BB93" i="35"/>
  <c r="BI93" i="35" s="1"/>
  <c r="BB75" i="35"/>
  <c r="BB92" i="35"/>
  <c r="AD35" i="35"/>
  <c r="AB6" i="35"/>
  <c r="BB76" i="35"/>
  <c r="BI76" i="35" s="1"/>
  <c r="T8" i="35" l="1"/>
  <c r="T12" i="35" s="1"/>
  <c r="K8" i="35"/>
  <c r="E8" i="35"/>
  <c r="E12" i="35" s="1"/>
  <c r="C120" i="35"/>
  <c r="B8" i="35"/>
  <c r="B12" i="35" s="1"/>
  <c r="BB73" i="35"/>
  <c r="BL73" i="35" s="1"/>
  <c r="AS73" i="35" s="1"/>
  <c r="D122" i="35"/>
  <c r="H8" i="35"/>
  <c r="H12" i="35" s="1"/>
  <c r="G120" i="35"/>
  <c r="H122" i="35"/>
  <c r="AB9" i="35"/>
  <c r="AC9" i="35" s="1"/>
  <c r="BB94" i="35"/>
  <c r="BL94" i="35" s="1"/>
  <c r="AS94" i="35" s="1"/>
  <c r="AZ94" i="35" s="1"/>
  <c r="BB77" i="35"/>
  <c r="BL77" i="35" s="1"/>
  <c r="AS77" i="35" s="1"/>
  <c r="AZ77" i="35" s="1"/>
  <c r="AB35" i="35"/>
  <c r="AD43" i="35"/>
  <c r="AB43" i="35" s="1"/>
  <c r="BI92" i="35"/>
  <c r="BI94" i="35" s="1"/>
  <c r="BI75" i="35"/>
  <c r="BI77" i="35" s="1"/>
  <c r="AB22" i="35"/>
  <c r="AC6" i="35"/>
  <c r="AA7" i="35"/>
  <c r="BA73" i="35"/>
  <c r="BK73" i="35" s="1"/>
  <c r="AR73" i="35" s="1"/>
  <c r="AZ73" i="35" s="1"/>
  <c r="BI71" i="35"/>
  <c r="BI73" i="35" s="1"/>
  <c r="K12" i="35" l="1"/>
  <c r="AB7" i="35"/>
  <c r="AC7" i="35" s="1"/>
  <c r="AA8" i="35" l="1"/>
  <c r="AA12" i="35" s="1"/>
  <c r="H20" i="35"/>
  <c r="H22" i="35" s="1"/>
  <c r="H24" i="35" s="1"/>
  <c r="N5" i="36" s="1"/>
  <c r="T22" i="35"/>
  <c r="T24" i="35" s="1"/>
  <c r="R5" i="36" s="1"/>
  <c r="E20" i="35"/>
  <c r="E22" i="35" s="1"/>
  <c r="E24" i="35" s="1"/>
  <c r="M5" i="36" s="1"/>
  <c r="B20" i="35"/>
  <c r="B22" i="35" s="1"/>
  <c r="B24" i="35" s="1"/>
  <c r="L5" i="36" s="1"/>
  <c r="AB8" i="35" l="1"/>
  <c r="AB12" i="35" s="1"/>
  <c r="AC31" i="35" s="1"/>
  <c r="AA15" i="35"/>
  <c r="W22" i="35"/>
  <c r="W24" i="35" s="1"/>
  <c r="S5" i="36" s="1"/>
  <c r="K20" i="35"/>
  <c r="K22" i="35" s="1"/>
  <c r="K24" i="35" s="1"/>
  <c r="O5" i="36" s="1"/>
  <c r="N20" i="35"/>
  <c r="N22" i="35" s="1"/>
  <c r="N24" i="35" s="1"/>
  <c r="P5" i="36" s="1"/>
  <c r="AC8" i="35" l="1"/>
  <c r="AC12" i="35" s="1"/>
  <c r="AC32" i="35" s="1"/>
  <c r="AC34" i="35" s="1"/>
  <c r="AC36" i="35" s="1"/>
  <c r="AB14" i="35"/>
  <c r="AB15" i="35" s="1"/>
  <c r="AC15" i="35" s="1"/>
  <c r="AA16" i="35"/>
  <c r="AA20" i="35" s="1"/>
  <c r="AA22" i="35" s="1"/>
  <c r="Q22" i="35"/>
  <c r="AC39" i="35"/>
  <c r="AC14" i="35" l="1"/>
  <c r="AB16" i="35"/>
  <c r="AC16" i="35" s="1"/>
  <c r="Q24" i="35"/>
  <c r="AC40" i="35"/>
  <c r="Q23" i="35" l="1"/>
  <c r="Q5" i="36"/>
  <c r="AB17" i="35"/>
  <c r="AC17" i="35" s="1"/>
  <c r="AA24" i="35"/>
  <c r="AA23" i="35" s="1"/>
  <c r="AC42" i="35"/>
  <c r="AC44" i="35" s="1"/>
  <c r="AB19" i="35" l="1"/>
  <c r="AC19" i="35" s="1"/>
  <c r="AB18" i="35" l="1"/>
  <c r="AC18" i="35" s="1"/>
  <c r="AC20" i="35" s="1"/>
  <c r="AB20" i="35" l="1"/>
  <c r="AD31" i="35" s="1"/>
  <c r="AD39" i="35" s="1"/>
  <c r="AD32" i="35"/>
  <c r="AC22" i="35"/>
  <c r="AB31" i="35" l="1"/>
  <c r="AD40" i="35"/>
  <c r="AB40" i="35" s="1"/>
  <c r="AB32" i="35"/>
  <c r="AD34" i="35"/>
  <c r="AD36" i="35" s="1"/>
  <c r="AB39" i="35"/>
  <c r="AB34" i="35" l="1"/>
  <c r="AB36" i="35" s="1"/>
  <c r="AB42" i="35"/>
  <c r="AB44" i="35" s="1"/>
  <c r="AD42" i="35"/>
  <c r="AD44" i="35" s="1"/>
  <c r="S21" i="29" l="1"/>
  <c r="X18" i="29"/>
  <c r="W18" i="29"/>
  <c r="Y17" i="29"/>
  <c r="Y16" i="29"/>
  <c r="Y15" i="29"/>
  <c r="Y14" i="29"/>
  <c r="Y13" i="29"/>
  <c r="Y12" i="29"/>
  <c r="X10" i="29"/>
  <c r="X20" i="29" s="1"/>
  <c r="Y21" i="29" s="1"/>
  <c r="W10" i="29"/>
  <c r="W20" i="29" s="1"/>
  <c r="W22" i="29" s="1"/>
  <c r="Y9" i="29"/>
  <c r="Y8" i="29"/>
  <c r="Y7" i="29"/>
  <c r="Y6" i="29"/>
  <c r="Y5" i="29"/>
  <c r="Y4" i="29"/>
  <c r="U18" i="29"/>
  <c r="T18" i="29"/>
  <c r="V17" i="29"/>
  <c r="V16" i="29"/>
  <c r="V15" i="29"/>
  <c r="V14" i="29"/>
  <c r="V13" i="29"/>
  <c r="V12" i="29"/>
  <c r="U10" i="29"/>
  <c r="T10" i="29"/>
  <c r="T20" i="29" s="1"/>
  <c r="T22" i="29" s="1"/>
  <c r="V9" i="29"/>
  <c r="V8" i="29"/>
  <c r="V7" i="29"/>
  <c r="V6" i="29"/>
  <c r="V5" i="29"/>
  <c r="V4" i="29"/>
  <c r="R18" i="29"/>
  <c r="Q18" i="29"/>
  <c r="S17" i="29"/>
  <c r="S16" i="29"/>
  <c r="S15" i="29"/>
  <c r="S14" i="29"/>
  <c r="S13" i="29"/>
  <c r="S12" i="29"/>
  <c r="R10" i="29"/>
  <c r="R20" i="29" s="1"/>
  <c r="Q10" i="29"/>
  <c r="Q20" i="29" s="1"/>
  <c r="Q22" i="29" s="1"/>
  <c r="S9" i="29"/>
  <c r="S8" i="29"/>
  <c r="S7" i="29"/>
  <c r="S6" i="29"/>
  <c r="S5" i="29"/>
  <c r="S4" i="29"/>
  <c r="O18" i="29"/>
  <c r="N18" i="29"/>
  <c r="P17" i="29"/>
  <c r="P16" i="29"/>
  <c r="P15" i="29"/>
  <c r="P14" i="29"/>
  <c r="P13" i="29"/>
  <c r="P12" i="29"/>
  <c r="O10" i="29"/>
  <c r="O20" i="29" s="1"/>
  <c r="N10" i="29"/>
  <c r="N20" i="29" s="1"/>
  <c r="N22" i="29" s="1"/>
  <c r="P9" i="29"/>
  <c r="P8" i="29"/>
  <c r="P7" i="29"/>
  <c r="P6" i="29"/>
  <c r="P5" i="29"/>
  <c r="P4" i="29"/>
  <c r="L18" i="29"/>
  <c r="K18" i="29"/>
  <c r="M17" i="29"/>
  <c r="M16" i="29"/>
  <c r="M15" i="29"/>
  <c r="M14" i="29"/>
  <c r="M13" i="29"/>
  <c r="M12" i="29"/>
  <c r="L10" i="29"/>
  <c r="K10" i="29"/>
  <c r="K20" i="29" s="1"/>
  <c r="K22" i="29" s="1"/>
  <c r="M9" i="29"/>
  <c r="M8" i="29"/>
  <c r="M7" i="29"/>
  <c r="M6" i="29"/>
  <c r="M5" i="29"/>
  <c r="M4" i="29"/>
  <c r="J21" i="29"/>
  <c r="I18" i="29"/>
  <c r="H18" i="29"/>
  <c r="J17" i="29"/>
  <c r="J16" i="29"/>
  <c r="J15" i="29"/>
  <c r="J14" i="29"/>
  <c r="J13" i="29"/>
  <c r="J12" i="29"/>
  <c r="I10" i="29"/>
  <c r="H10" i="29"/>
  <c r="H20" i="29" s="1"/>
  <c r="H22" i="29" s="1"/>
  <c r="J9" i="29"/>
  <c r="J8" i="29"/>
  <c r="J7" i="29"/>
  <c r="J6" i="29"/>
  <c r="J5" i="29"/>
  <c r="J4" i="29"/>
  <c r="U20" i="29" l="1"/>
  <c r="P18" i="29"/>
  <c r="Y18" i="29"/>
  <c r="X22" i="29"/>
  <c r="V21" i="29"/>
  <c r="R22" i="29"/>
  <c r="O22" i="29"/>
  <c r="P21" i="29"/>
  <c r="L20" i="29"/>
  <c r="M21" i="29"/>
  <c r="Y10" i="29"/>
  <c r="Y20" i="29" s="1"/>
  <c r="Y22" i="29" s="1"/>
  <c r="V18" i="29"/>
  <c r="V10" i="29"/>
  <c r="S18" i="29"/>
  <c r="S10" i="29"/>
  <c r="P10" i="29"/>
  <c r="P20" i="29" s="1"/>
  <c r="P22" i="29" s="1"/>
  <c r="M18" i="29"/>
  <c r="M10" i="29"/>
  <c r="J18" i="29"/>
  <c r="I20" i="29"/>
  <c r="I22" i="29" s="1"/>
  <c r="J10" i="29"/>
  <c r="M20" i="29" l="1"/>
  <c r="M22" i="29" s="1"/>
  <c r="V20" i="29"/>
  <c r="V22" i="29"/>
  <c r="U22" i="29"/>
  <c r="S20" i="29"/>
  <c r="S22" i="29" s="1"/>
  <c r="L22" i="29"/>
  <c r="J20" i="29"/>
  <c r="J22" i="29" s="1"/>
  <c r="G21" i="29" l="1"/>
  <c r="F18" i="29"/>
  <c r="E18" i="29"/>
  <c r="G17" i="29"/>
  <c r="G16" i="29"/>
  <c r="G15" i="29"/>
  <c r="G14" i="29"/>
  <c r="G13" i="29"/>
  <c r="G12" i="29"/>
  <c r="F10" i="29"/>
  <c r="E10" i="29"/>
  <c r="G9" i="29"/>
  <c r="G8" i="29"/>
  <c r="G7" i="29"/>
  <c r="G6" i="29"/>
  <c r="G5" i="29"/>
  <c r="G4" i="29"/>
  <c r="D21" i="29"/>
  <c r="D17" i="29"/>
  <c r="D16" i="29"/>
  <c r="D15" i="29"/>
  <c r="D14" i="29"/>
  <c r="D13" i="29"/>
  <c r="D12" i="29"/>
  <c r="D18" i="29" s="1"/>
  <c r="D9" i="29"/>
  <c r="D8" i="29"/>
  <c r="D7" i="29"/>
  <c r="D6" i="29"/>
  <c r="D5" i="29"/>
  <c r="D4" i="29"/>
  <c r="C18" i="29"/>
  <c r="C10" i="29"/>
  <c r="B18" i="29"/>
  <c r="B10" i="29"/>
  <c r="B20" i="29" s="1"/>
  <c r="B22" i="29" s="1"/>
  <c r="C20" i="29" l="1"/>
  <c r="C22" i="29" s="1"/>
  <c r="D10" i="29"/>
  <c r="E20" i="29"/>
  <c r="E22" i="29" s="1"/>
  <c r="G18" i="29"/>
  <c r="F20" i="29"/>
  <c r="F22" i="29" s="1"/>
  <c r="G10" i="29"/>
  <c r="D20" i="29"/>
  <c r="D22" i="29" s="1"/>
  <c r="G20" i="29" l="1"/>
  <c r="G22" i="29" s="1"/>
  <c r="C142" i="28"/>
  <c r="AO155" i="28"/>
  <c r="AN154" i="28" s="1"/>
  <c r="G148" i="28"/>
  <c r="G147" i="28"/>
  <c r="B147" i="28"/>
  <c r="G146" i="28"/>
  <c r="AO144" i="28"/>
  <c r="AP143" i="28" s="1"/>
  <c r="AN144" i="28"/>
  <c r="AO138" i="28"/>
  <c r="AN137" i="28" s="1"/>
  <c r="D127" i="28"/>
  <c r="C127" i="28"/>
  <c r="B127" i="28" s="1"/>
  <c r="F118" i="28"/>
  <c r="B117" i="28"/>
  <c r="F116" i="28"/>
  <c r="B116" i="28"/>
  <c r="F113" i="28"/>
  <c r="F112" i="28"/>
  <c r="B112" i="28"/>
  <c r="H107" i="28"/>
  <c r="H106" i="28"/>
  <c r="H94" i="28"/>
  <c r="A92" i="28"/>
  <c r="A91" i="28"/>
  <c r="A90" i="28"/>
  <c r="AO85" i="28"/>
  <c r="AN82" i="28" s="1"/>
  <c r="D82" i="28"/>
  <c r="F79" i="28"/>
  <c r="F81" i="28" s="1"/>
  <c r="B79" i="28"/>
  <c r="F78" i="28"/>
  <c r="F80" i="28" s="1"/>
  <c r="B78" i="28"/>
  <c r="H72" i="28"/>
  <c r="H74" i="28" s="1"/>
  <c r="D72" i="28"/>
  <c r="D74" i="28" s="1"/>
  <c r="AJ61" i="28"/>
  <c r="R61" i="28"/>
  <c r="P61" i="28"/>
  <c r="N61" i="28"/>
  <c r="L61" i="28"/>
  <c r="J61" i="28"/>
  <c r="H61" i="28"/>
  <c r="BJ61" i="28" s="1"/>
  <c r="F61" i="28"/>
  <c r="BI61" i="28" s="1"/>
  <c r="D61" i="28"/>
  <c r="BH61" i="28" s="1"/>
  <c r="BS60" i="28"/>
  <c r="BV60" i="28" s="1"/>
  <c r="BX60" i="28" s="1"/>
  <c r="AJ60" i="28"/>
  <c r="R60" i="28"/>
  <c r="P60" i="28"/>
  <c r="N60" i="28"/>
  <c r="L60" i="28"/>
  <c r="J60" i="28"/>
  <c r="H60" i="28"/>
  <c r="BJ60" i="28" s="1"/>
  <c r="F60" i="28"/>
  <c r="BI60" i="28" s="1"/>
  <c r="D60" i="28"/>
  <c r="BH60" i="28" s="1"/>
  <c r="BS59" i="28"/>
  <c r="BV59" i="28" s="1"/>
  <c r="BX59" i="28" s="1"/>
  <c r="AJ59" i="28"/>
  <c r="R59" i="28"/>
  <c r="P59" i="28"/>
  <c r="N59" i="28"/>
  <c r="L59" i="28"/>
  <c r="J59" i="28"/>
  <c r="H59" i="28"/>
  <c r="BJ59" i="28" s="1"/>
  <c r="F59" i="28"/>
  <c r="BI59" i="28" s="1"/>
  <c r="D59" i="28"/>
  <c r="BH59" i="28" s="1"/>
  <c r="BS58" i="28"/>
  <c r="BV58" i="28" s="1"/>
  <c r="BX58" i="28" s="1"/>
  <c r="AJ58" i="28"/>
  <c r="R58" i="28"/>
  <c r="P58" i="28"/>
  <c r="N58" i="28"/>
  <c r="L58" i="28"/>
  <c r="J58" i="28"/>
  <c r="H58" i="28"/>
  <c r="BJ58" i="28" s="1"/>
  <c r="F58" i="28"/>
  <c r="BI58" i="28" s="1"/>
  <c r="D58" i="28"/>
  <c r="BH58" i="28" s="1"/>
  <c r="BS57" i="28"/>
  <c r="BV57" i="28" s="1"/>
  <c r="BX57" i="28" s="1"/>
  <c r="AJ57" i="28"/>
  <c r="R57" i="28"/>
  <c r="P57" i="28"/>
  <c r="N57" i="28"/>
  <c r="L57" i="28"/>
  <c r="J57" i="28"/>
  <c r="H57" i="28"/>
  <c r="BJ57" i="28" s="1"/>
  <c r="F57" i="28"/>
  <c r="BI57" i="28" s="1"/>
  <c r="D57" i="28"/>
  <c r="BH57" i="28" s="1"/>
  <c r="BS56" i="28"/>
  <c r="BV56" i="28" s="1"/>
  <c r="BX56" i="28" s="1"/>
  <c r="AJ56" i="28"/>
  <c r="R56" i="28"/>
  <c r="P56" i="28"/>
  <c r="N56" i="28"/>
  <c r="L56" i="28"/>
  <c r="J56" i="28"/>
  <c r="H56" i="28"/>
  <c r="F56" i="28"/>
  <c r="D56" i="28"/>
  <c r="AJ55" i="28"/>
  <c r="R55" i="28"/>
  <c r="P55" i="28"/>
  <c r="N55" i="28"/>
  <c r="L55" i="28"/>
  <c r="J55" i="28"/>
  <c r="H55" i="28"/>
  <c r="BJ55" i="28" s="1"/>
  <c r="F55" i="28"/>
  <c r="BI55" i="28" s="1"/>
  <c r="D55" i="28"/>
  <c r="BH55" i="28" s="1"/>
  <c r="AJ54" i="28"/>
  <c r="R54" i="28"/>
  <c r="P54" i="28"/>
  <c r="N54" i="28"/>
  <c r="L54" i="28"/>
  <c r="J54" i="28"/>
  <c r="H54" i="28"/>
  <c r="BJ54" i="28" s="1"/>
  <c r="F54" i="28"/>
  <c r="BI54" i="28" s="1"/>
  <c r="D54" i="28"/>
  <c r="BH54" i="28" s="1"/>
  <c r="AJ53" i="28"/>
  <c r="R53" i="28"/>
  <c r="P53" i="28"/>
  <c r="N53" i="28"/>
  <c r="L53" i="28"/>
  <c r="J53" i="28"/>
  <c r="H53" i="28"/>
  <c r="BJ53" i="28" s="1"/>
  <c r="F53" i="28"/>
  <c r="BI53" i="28" s="1"/>
  <c r="D53" i="28"/>
  <c r="BH53" i="28" s="1"/>
  <c r="BX52" i="28"/>
  <c r="BW52" i="28"/>
  <c r="BV52" i="28"/>
  <c r="BT52" i="28"/>
  <c r="BS52" i="28"/>
  <c r="Q49" i="28"/>
  <c r="O49" i="28"/>
  <c r="M49" i="28"/>
  <c r="K49" i="28"/>
  <c r="I49" i="28"/>
  <c r="G49" i="28"/>
  <c r="E49" i="28"/>
  <c r="C49" i="28"/>
  <c r="B48" i="28"/>
  <c r="B47" i="28"/>
  <c r="AC43" i="28"/>
  <c r="AD41" i="28"/>
  <c r="B39" i="28"/>
  <c r="W26" i="28" s="1"/>
  <c r="B38" i="28"/>
  <c r="B32" i="28"/>
  <c r="D28" i="28"/>
  <c r="C28" i="28"/>
  <c r="Q26" i="28"/>
  <c r="N26" i="28"/>
  <c r="K26" i="28"/>
  <c r="H26" i="28"/>
  <c r="E26" i="28"/>
  <c r="Y20" i="28"/>
  <c r="X20" i="28"/>
  <c r="V20" i="28"/>
  <c r="U20" i="28"/>
  <c r="S20" i="28"/>
  <c r="R20" i="28"/>
  <c r="P20" i="28"/>
  <c r="O20" i="28"/>
  <c r="M20" i="28"/>
  <c r="L20" i="28"/>
  <c r="J20" i="28"/>
  <c r="I20" i="28"/>
  <c r="G20" i="28"/>
  <c r="F20" i="28"/>
  <c r="D20" i="28"/>
  <c r="C20" i="28"/>
  <c r="AF19" i="28"/>
  <c r="AH19" i="28" s="1"/>
  <c r="AG12" i="28"/>
  <c r="Y12" i="28"/>
  <c r="X12" i="28"/>
  <c r="V12" i="28"/>
  <c r="U12" i="28"/>
  <c r="S12" i="28"/>
  <c r="R12" i="28"/>
  <c r="P12" i="28"/>
  <c r="O12" i="28"/>
  <c r="M12" i="28"/>
  <c r="L12" i="28"/>
  <c r="J12" i="28"/>
  <c r="I12" i="28"/>
  <c r="G12" i="28"/>
  <c r="F12" i="28"/>
  <c r="D12" i="28"/>
  <c r="C12" i="28"/>
  <c r="AF11" i="28"/>
  <c r="AH11" i="28" s="1"/>
  <c r="AF10" i="28"/>
  <c r="AH10" i="28" s="1"/>
  <c r="D65" i="28" l="1"/>
  <c r="L65" i="28"/>
  <c r="B119" i="28"/>
  <c r="BA8" i="28" s="1"/>
  <c r="D22" i="28"/>
  <c r="P22" i="28"/>
  <c r="V22" i="28"/>
  <c r="G22" i="28"/>
  <c r="M22" i="28"/>
  <c r="B142" i="28"/>
  <c r="G107" i="28" s="1"/>
  <c r="AN134" i="28"/>
  <c r="AN152" i="28"/>
  <c r="F22" i="28"/>
  <c r="L22" i="28"/>
  <c r="R22" i="28"/>
  <c r="X22" i="28"/>
  <c r="R65" i="28"/>
  <c r="AN130" i="28"/>
  <c r="AH130" i="28" s="1"/>
  <c r="B49" i="28"/>
  <c r="B52" i="28" s="1"/>
  <c r="P52" i="28" s="1"/>
  <c r="P64" i="28" s="1"/>
  <c r="P65" i="28"/>
  <c r="F119" i="28"/>
  <c r="AY8" i="28" s="1"/>
  <c r="AN148" i="28"/>
  <c r="J65" i="28"/>
  <c r="F114" i="28"/>
  <c r="BC7" i="28" s="1"/>
  <c r="AP142" i="28"/>
  <c r="AP144" i="28" s="1"/>
  <c r="AN151" i="28"/>
  <c r="BE8" i="28"/>
  <c r="BB8" i="28"/>
  <c r="BE11" i="28"/>
  <c r="BE10" i="28"/>
  <c r="BE9" i="28"/>
  <c r="AV26" i="28"/>
  <c r="AP26" i="28"/>
  <c r="AY9" i="28"/>
  <c r="AY10" i="28"/>
  <c r="AY11" i="28"/>
  <c r="AT26" i="28"/>
  <c r="BC11" i="28"/>
  <c r="BC10" i="28"/>
  <c r="BC9" i="28"/>
  <c r="H148" i="28"/>
  <c r="AZ11" i="28"/>
  <c r="AZ10" i="28"/>
  <c r="AZ9" i="28"/>
  <c r="BH56" i="28"/>
  <c r="AN131" i="28"/>
  <c r="AH131" i="28" s="1"/>
  <c r="AN135" i="28"/>
  <c r="AH135" i="28" s="1"/>
  <c r="S22" i="28"/>
  <c r="Y22" i="28"/>
  <c r="BA11" i="28"/>
  <c r="BA10" i="28"/>
  <c r="BA9" i="28"/>
  <c r="AR26" i="28"/>
  <c r="AN132" i="28"/>
  <c r="AH132" i="28" s="1"/>
  <c r="AN136" i="28"/>
  <c r="AH136" i="28" s="1"/>
  <c r="AN149" i="28"/>
  <c r="AN153" i="28"/>
  <c r="C22" i="28"/>
  <c r="I22" i="28"/>
  <c r="O22" i="28"/>
  <c r="U22" i="28"/>
  <c r="B26" i="28"/>
  <c r="AX8" i="28" s="1"/>
  <c r="BB11" i="28"/>
  <c r="BB10" i="28"/>
  <c r="BB9" i="28"/>
  <c r="AS26" i="28"/>
  <c r="AQ26" i="28"/>
  <c r="B114" i="28"/>
  <c r="G106" i="28"/>
  <c r="AN129" i="28"/>
  <c r="AH129" i="28" s="1"/>
  <c r="AN133" i="28"/>
  <c r="AH133" i="28" s="1"/>
  <c r="AN147" i="28"/>
  <c r="AN150" i="28"/>
  <c r="AH137" i="28"/>
  <c r="AH134" i="28"/>
  <c r="AH143" i="28"/>
  <c r="AN76" i="28"/>
  <c r="AN75" i="28"/>
  <c r="AH142" i="28"/>
  <c r="J52" i="28"/>
  <c r="J64" i="28" s="1"/>
  <c r="J66" i="28" s="1"/>
  <c r="K6" i="28" s="1"/>
  <c r="J22" i="28"/>
  <c r="AY76" i="28"/>
  <c r="BF76" i="28" s="1"/>
  <c r="T26" i="28"/>
  <c r="F84" i="28"/>
  <c r="F86" i="28" s="1"/>
  <c r="B41" i="28"/>
  <c r="C38" i="28" s="1"/>
  <c r="F65" i="28"/>
  <c r="BI56" i="28"/>
  <c r="N65" i="28"/>
  <c r="G149" i="28"/>
  <c r="H65" i="28"/>
  <c r="BJ56" i="28"/>
  <c r="AN72" i="28"/>
  <c r="AN71" i="28"/>
  <c r="AN84" i="28"/>
  <c r="AN83" i="28"/>
  <c r="AN81" i="28"/>
  <c r="AN80" i="28"/>
  <c r="AN79" i="28"/>
  <c r="B85" i="28"/>
  <c r="B80" i="28"/>
  <c r="B81" i="28"/>
  <c r="BP59" i="28" l="1"/>
  <c r="BR59" i="28" s="1"/>
  <c r="BT59" i="28" s="1"/>
  <c r="BW59" i="28" s="1"/>
  <c r="D52" i="28"/>
  <c r="BH52" i="28" s="1"/>
  <c r="AZ8" i="28"/>
  <c r="BJ8" i="28" s="1"/>
  <c r="AY7" i="28"/>
  <c r="BI7" i="28" s="1"/>
  <c r="BM7" i="28" s="1"/>
  <c r="BP58" i="28"/>
  <c r="BR58" i="28" s="1"/>
  <c r="BT58" i="28" s="1"/>
  <c r="BW58" i="28" s="1"/>
  <c r="BP60" i="28"/>
  <c r="BR60" i="28" s="1"/>
  <c r="BT60" i="28" s="1"/>
  <c r="BW60" i="28" s="1"/>
  <c r="AZ7" i="28"/>
  <c r="BJ7" i="28" s="1"/>
  <c r="P66" i="28"/>
  <c r="T6" i="28" s="1"/>
  <c r="AE56" i="28"/>
  <c r="BP61" i="28"/>
  <c r="BP57" i="28"/>
  <c r="BR57" i="28" s="1"/>
  <c r="BT57" i="28" s="1"/>
  <c r="BW57" i="28" s="1"/>
  <c r="BP53" i="28"/>
  <c r="BR53" i="28" s="1"/>
  <c r="BO11" i="28"/>
  <c r="F52" i="28"/>
  <c r="F64" i="28" s="1"/>
  <c r="F66" i="28" s="1"/>
  <c r="E6" i="28" s="1"/>
  <c r="H52" i="28"/>
  <c r="H64" i="28" s="1"/>
  <c r="H66" i="28" s="1"/>
  <c r="H6" i="28" s="1"/>
  <c r="AJ52" i="28"/>
  <c r="BK11" i="28"/>
  <c r="BJ11" i="28"/>
  <c r="BP56" i="28"/>
  <c r="BR56" i="28" s="1"/>
  <c r="BT56" i="28" s="1"/>
  <c r="BW56" i="28" s="1"/>
  <c r="L52" i="28"/>
  <c r="L64" i="28" s="1"/>
  <c r="L66" i="28" s="1"/>
  <c r="N6" i="28" s="1"/>
  <c r="R52" i="28"/>
  <c r="R64" i="28" s="1"/>
  <c r="R66" i="28" s="1"/>
  <c r="W6" i="28" s="1"/>
  <c r="N52" i="28"/>
  <c r="N64" i="28" s="1"/>
  <c r="BC8" i="28"/>
  <c r="C32" i="28"/>
  <c r="BD11" i="28"/>
  <c r="BD10" i="28"/>
  <c r="BD9" i="28"/>
  <c r="AU26" i="28"/>
  <c r="AT23" i="28"/>
  <c r="AT22" i="28"/>
  <c r="BI10" i="28"/>
  <c r="BM10" i="28" s="1"/>
  <c r="BI9" i="28"/>
  <c r="BM9" i="28" s="1"/>
  <c r="BI11" i="28"/>
  <c r="BM11" i="28" s="1"/>
  <c r="BI8" i="28"/>
  <c r="BM8" i="28" s="1"/>
  <c r="AN138" i="28"/>
  <c r="AN155" i="28"/>
  <c r="BD7" i="28"/>
  <c r="BA7" i="28"/>
  <c r="BK7" i="28" s="1"/>
  <c r="BE7" i="28"/>
  <c r="BO7" i="28" s="1"/>
  <c r="BB7" i="28"/>
  <c r="AX7" i="28"/>
  <c r="BK8" i="28"/>
  <c r="BK10" i="28"/>
  <c r="BO10" i="28"/>
  <c r="BO8" i="28"/>
  <c r="BD8" i="28"/>
  <c r="B84" i="28"/>
  <c r="B86" i="28" s="1"/>
  <c r="AI14" i="28" s="1"/>
  <c r="N66" i="28"/>
  <c r="Q6" i="28" s="1"/>
  <c r="BK9" i="28"/>
  <c r="BJ9" i="28"/>
  <c r="BO9" i="28"/>
  <c r="B90" i="28"/>
  <c r="AE53" i="28"/>
  <c r="AS23" i="28"/>
  <c r="AS22" i="28"/>
  <c r="AX11" i="28"/>
  <c r="AX10" i="28"/>
  <c r="BF10" i="28" s="1"/>
  <c r="AX9" i="28"/>
  <c r="AO26" i="28"/>
  <c r="BJ10" i="28"/>
  <c r="AH144" i="28"/>
  <c r="B93" i="28"/>
  <c r="F88" i="28"/>
  <c r="AI15" i="28"/>
  <c r="AE58" i="28"/>
  <c r="AN85" i="28"/>
  <c r="AE61" i="28"/>
  <c r="AE60" i="28"/>
  <c r="C148" i="28"/>
  <c r="AE54" i="28"/>
  <c r="H147" i="28"/>
  <c r="D142" i="28"/>
  <c r="H149" i="28" s="1"/>
  <c r="AH138" i="28"/>
  <c r="B91" i="28"/>
  <c r="AY72" i="28"/>
  <c r="BF72" i="28" s="1"/>
  <c r="AE59" i="28"/>
  <c r="AY92" i="28"/>
  <c r="BF92" i="28" s="1"/>
  <c r="AE55" i="28"/>
  <c r="C33" i="28"/>
  <c r="C37" i="28"/>
  <c r="C39" i="28"/>
  <c r="C34" i="28"/>
  <c r="C31" i="28"/>
  <c r="C36" i="28"/>
  <c r="C35" i="28"/>
  <c r="C40" i="28"/>
  <c r="B28" i="28"/>
  <c r="AE57" i="28"/>
  <c r="C106" i="28"/>
  <c r="D64" i="28" l="1"/>
  <c r="D66" i="28" s="1"/>
  <c r="B6" i="28" s="1"/>
  <c r="BJ52" i="28"/>
  <c r="BI52" i="28"/>
  <c r="BP52" i="28" s="1"/>
  <c r="BR52" i="28" s="1"/>
  <c r="AE52" i="28"/>
  <c r="AE64" i="28" s="1"/>
  <c r="BF11" i="28"/>
  <c r="BF9" i="28"/>
  <c r="BN8" i="28"/>
  <c r="BF7" i="28"/>
  <c r="BN7" i="28"/>
  <c r="BF8" i="28"/>
  <c r="BN9" i="28"/>
  <c r="AE65" i="28"/>
  <c r="B92" i="28"/>
  <c r="B94" i="28" s="1"/>
  <c r="BN10" i="28"/>
  <c r="BH10" i="28"/>
  <c r="BL10" i="28" s="1"/>
  <c r="BH9" i="28"/>
  <c r="BL9" i="28" s="1"/>
  <c r="BH11" i="28"/>
  <c r="BL11" i="28" s="1"/>
  <c r="BH8" i="28"/>
  <c r="BL8" i="28" s="1"/>
  <c r="BH7" i="28"/>
  <c r="BL7" i="28" s="1"/>
  <c r="AW26" i="28"/>
  <c r="BN11" i="28"/>
  <c r="AI16" i="28"/>
  <c r="G100" i="28"/>
  <c r="C41" i="28"/>
  <c r="C107" i="28"/>
  <c r="AC33" i="28" s="1"/>
  <c r="E100" i="28"/>
  <c r="D147" i="28"/>
  <c r="H142" i="28"/>
  <c r="E147" i="28"/>
  <c r="H146" i="28"/>
  <c r="H91" i="28"/>
  <c r="H95" i="28" s="1"/>
  <c r="H136" i="28"/>
  <c r="H133" i="28"/>
  <c r="AA26" i="28"/>
  <c r="AA6" i="28" s="1"/>
  <c r="AI19" i="28"/>
  <c r="AJ19" i="28" s="1"/>
  <c r="AI18" i="28"/>
  <c r="AI17" i="28"/>
  <c r="F129" i="28"/>
  <c r="F130" i="28" s="1"/>
  <c r="AI11" i="28"/>
  <c r="AJ11" i="28" s="1"/>
  <c r="AI9" i="28"/>
  <c r="AI10" i="28"/>
  <c r="AJ10" i="28" s="1"/>
  <c r="AY75" i="28"/>
  <c r="AY77" i="28" s="1"/>
  <c r="BI77" i="28" s="1"/>
  <c r="E129" i="28"/>
  <c r="AX75" i="28"/>
  <c r="G108" i="28"/>
  <c r="B148" i="28"/>
  <c r="AF18" i="28"/>
  <c r="AH18" i="28" s="1"/>
  <c r="AE66" i="28" l="1"/>
  <c r="AZ15" i="28"/>
  <c r="BJ15" i="28" s="1"/>
  <c r="BC15" i="28"/>
  <c r="AY15" i="28"/>
  <c r="BI15" i="28" s="1"/>
  <c r="BM15" i="28" s="1"/>
  <c r="AV19" i="28"/>
  <c r="BE19" i="28" s="1"/>
  <c r="BO19" i="28" s="1"/>
  <c r="AR19" i="28"/>
  <c r="BA19" i="28" s="1"/>
  <c r="BK19" i="28" s="1"/>
  <c r="AU19" i="28"/>
  <c r="BD19" i="28" s="1"/>
  <c r="BN19" i="28" s="1"/>
  <c r="AS19" i="28"/>
  <c r="BB19" i="28" s="1"/>
  <c r="AO19" i="28"/>
  <c r="AX19" i="28" s="1"/>
  <c r="BH19" i="28" s="1"/>
  <c r="BL19" i="28" s="1"/>
  <c r="T19" i="28"/>
  <c r="K19" i="28"/>
  <c r="W19" i="28"/>
  <c r="N19" i="28"/>
  <c r="B19" i="28"/>
  <c r="C108" i="28"/>
  <c r="AI8" i="28" s="1"/>
  <c r="AQ19" i="28"/>
  <c r="AZ19" i="28" s="1"/>
  <c r="BJ19" i="28" s="1"/>
  <c r="AP19" i="28"/>
  <c r="AY19" i="28" s="1"/>
  <c r="BI19" i="28" s="1"/>
  <c r="BM19" i="28" s="1"/>
  <c r="AT19" i="28"/>
  <c r="BC19" i="28" s="1"/>
  <c r="H19" i="28"/>
  <c r="Q19" i="28"/>
  <c r="BD15" i="28"/>
  <c r="BN15" i="28" s="1"/>
  <c r="BA15" i="28"/>
  <c r="BK15" i="28" s="1"/>
  <c r="BE15" i="28"/>
  <c r="BO15" i="28" s="1"/>
  <c r="AX15" i="28"/>
  <c r="BH15" i="28" s="1"/>
  <c r="BL15" i="28" s="1"/>
  <c r="BB15" i="28"/>
  <c r="W10" i="28"/>
  <c r="Q10" i="28"/>
  <c r="K10" i="28"/>
  <c r="E10" i="28"/>
  <c r="T10" i="28"/>
  <c r="N10" i="28"/>
  <c r="H10" i="28"/>
  <c r="B10" i="28"/>
  <c r="W11" i="28"/>
  <c r="Q11" i="28"/>
  <c r="K11" i="28"/>
  <c r="E11" i="28"/>
  <c r="T11" i="28"/>
  <c r="N11" i="28"/>
  <c r="H11" i="28"/>
  <c r="B11" i="28"/>
  <c r="AI7" i="28"/>
  <c r="H153" i="28"/>
  <c r="H152" i="28"/>
  <c r="H108" i="28"/>
  <c r="AF7" i="28" s="1"/>
  <c r="B87" i="28"/>
  <c r="B95" i="28"/>
  <c r="H93" i="28"/>
  <c r="AH152" i="28"/>
  <c r="AH150" i="28"/>
  <c r="AH148" i="28"/>
  <c r="AH147" i="28"/>
  <c r="AH154" i="28"/>
  <c r="AH153" i="28"/>
  <c r="AH151" i="28"/>
  <c r="AJ18" i="28"/>
  <c r="AH149" i="28"/>
  <c r="E19" i="28"/>
  <c r="AX77" i="28"/>
  <c r="BH77" i="28" s="1"/>
  <c r="BF75" i="28"/>
  <c r="BF77" i="28" s="1"/>
  <c r="AV11" i="28"/>
  <c r="AR11" i="28"/>
  <c r="AU11" i="28"/>
  <c r="AQ11" i="28"/>
  <c r="AO11" i="28"/>
  <c r="AP11" i="28"/>
  <c r="AT11" i="28"/>
  <c r="AS11" i="28"/>
  <c r="E130" i="28"/>
  <c r="G129" i="28"/>
  <c r="AE6" i="28"/>
  <c r="AB6" i="28"/>
  <c r="AR10" i="28"/>
  <c r="AS10" i="28"/>
  <c r="AO10" i="28"/>
  <c r="AV10" i="28"/>
  <c r="AQ10" i="28"/>
  <c r="AP10" i="28"/>
  <c r="AU10" i="28"/>
  <c r="AT10" i="28"/>
  <c r="AC41" i="28"/>
  <c r="AB41" i="28" s="1"/>
  <c r="AB33" i="28"/>
  <c r="D108" i="28" l="1"/>
  <c r="AC6" i="28"/>
  <c r="AB22" i="28"/>
  <c r="AW11" i="28"/>
  <c r="BG11" i="28" s="1"/>
  <c r="AH7" i="28"/>
  <c r="BF15" i="28"/>
  <c r="G153" i="28"/>
  <c r="E148" i="28"/>
  <c r="B96" i="28"/>
  <c r="AA10" i="28"/>
  <c r="G112" i="28"/>
  <c r="H112" i="28" s="1"/>
  <c r="G113" i="28"/>
  <c r="H113" i="28" s="1"/>
  <c r="C112" i="28"/>
  <c r="D112" i="28" s="1"/>
  <c r="C113" i="28"/>
  <c r="D113" i="28" s="1"/>
  <c r="D148" i="28"/>
  <c r="G152" i="28"/>
  <c r="AW10" i="28"/>
  <c r="BG10" i="28" s="1"/>
  <c r="H129" i="28"/>
  <c r="AF9" i="28"/>
  <c r="AH9" i="28" s="1"/>
  <c r="AJ9" i="28" s="1"/>
  <c r="AW19" i="28"/>
  <c r="AA11" i="28"/>
  <c r="AH155" i="28"/>
  <c r="AX91" i="28"/>
  <c r="B88" i="28"/>
  <c r="AY71" i="28"/>
  <c r="AY73" i="28" s="1"/>
  <c r="BI73" i="28" s="1"/>
  <c r="AX71" i="28"/>
  <c r="AY91" i="28"/>
  <c r="AY93" i="28" s="1"/>
  <c r="BI93" i="28" s="1"/>
  <c r="AQ18" i="28" l="1"/>
  <c r="AZ18" i="28" s="1"/>
  <c r="BJ18" i="28" s="1"/>
  <c r="AP18" i="28"/>
  <c r="AY18" i="28" s="1"/>
  <c r="BI18" i="28" s="1"/>
  <c r="BM18" i="28" s="1"/>
  <c r="AT18" i="28"/>
  <c r="BC18" i="28" s="1"/>
  <c r="Q18" i="28"/>
  <c r="H18" i="28"/>
  <c r="G118" i="28"/>
  <c r="H118" i="28" s="1"/>
  <c r="AF8" i="28"/>
  <c r="AH8" i="28" s="1"/>
  <c r="AJ8" i="28" s="1"/>
  <c r="G117" i="28"/>
  <c r="H117" i="28" s="1"/>
  <c r="C118" i="28"/>
  <c r="D118" i="28" s="1"/>
  <c r="G116" i="28"/>
  <c r="H116" i="28" s="1"/>
  <c r="C117" i="28"/>
  <c r="D117" i="28" s="1"/>
  <c r="C116" i="28"/>
  <c r="D116" i="28" s="1"/>
  <c r="AV18" i="28"/>
  <c r="BE18" i="28" s="1"/>
  <c r="BO18" i="28" s="1"/>
  <c r="AR18" i="28"/>
  <c r="BA18" i="28" s="1"/>
  <c r="BK18" i="28" s="1"/>
  <c r="AU18" i="28"/>
  <c r="BD18" i="28" s="1"/>
  <c r="BN18" i="28" s="1"/>
  <c r="AS18" i="28"/>
  <c r="BB18" i="28" s="1"/>
  <c r="AO18" i="28"/>
  <c r="AX18" i="28" s="1"/>
  <c r="BH18" i="28" s="1"/>
  <c r="BL18" i="28" s="1"/>
  <c r="W18" i="28"/>
  <c r="N18" i="28"/>
  <c r="B18" i="28"/>
  <c r="T18" i="28"/>
  <c r="K18" i="28"/>
  <c r="D114" i="28"/>
  <c r="C114" i="28" s="1"/>
  <c r="W9" i="28"/>
  <c r="K9" i="28"/>
  <c r="T9" i="28"/>
  <c r="H9" i="28"/>
  <c r="Q9" i="28"/>
  <c r="E9" i="28"/>
  <c r="N9" i="28"/>
  <c r="B9" i="28"/>
  <c r="AA19" i="28"/>
  <c r="AE19" i="28" s="1"/>
  <c r="AE11" i="28"/>
  <c r="AB11" i="28"/>
  <c r="AC11" i="28" s="1"/>
  <c r="BF71" i="28"/>
  <c r="BF73" i="28" s="1"/>
  <c r="AX73" i="28"/>
  <c r="BH73" i="28" s="1"/>
  <c r="H114" i="28"/>
  <c r="AJ7" i="28"/>
  <c r="AX93" i="28"/>
  <c r="BH93" i="28" s="1"/>
  <c r="BF91" i="28"/>
  <c r="BF93" i="28" s="1"/>
  <c r="BF19" i="28"/>
  <c r="BG19" i="28" s="1"/>
  <c r="AE10" i="28"/>
  <c r="AB10" i="28"/>
  <c r="AC10" i="28" s="1"/>
  <c r="E18" i="28"/>
  <c r="G154" i="28"/>
  <c r="D154" i="28" s="1"/>
  <c r="E152" i="28"/>
  <c r="E153" i="28"/>
  <c r="G99" i="28"/>
  <c r="E99" i="28"/>
  <c r="AO9" i="28"/>
  <c r="AT9" i="28"/>
  <c r="AP9" i="28"/>
  <c r="AS9" i="28"/>
  <c r="AU9" i="28"/>
  <c r="AR9" i="28"/>
  <c r="AQ9" i="28"/>
  <c r="AV9" i="28"/>
  <c r="AH12" i="28" l="1"/>
  <c r="AF12" i="28"/>
  <c r="BD14" i="28"/>
  <c r="BN14" i="28" s="1"/>
  <c r="BA14" i="28"/>
  <c r="BK14" i="28" s="1"/>
  <c r="BE14" i="28"/>
  <c r="BO14" i="28" s="1"/>
  <c r="AX14" i="28"/>
  <c r="BH14" i="28" s="1"/>
  <c r="BL14" i="28" s="1"/>
  <c r="BB14" i="28"/>
  <c r="D119" i="28"/>
  <c r="D121" i="28" s="1"/>
  <c r="AZ14" i="28"/>
  <c r="BJ14" i="28" s="1"/>
  <c r="AY14" i="28"/>
  <c r="BI14" i="28" s="1"/>
  <c r="BM14" i="28" s="1"/>
  <c r="BC14" i="28"/>
  <c r="AU7" i="28"/>
  <c r="AV7" i="28"/>
  <c r="H119" i="28"/>
  <c r="H121" i="28" s="1"/>
  <c r="BP11" i="28"/>
  <c r="BW11" i="28"/>
  <c r="BS11" i="28"/>
  <c r="BV11" i="28"/>
  <c r="BR11" i="28"/>
  <c r="BU11" i="28"/>
  <c r="BQ11" i="28"/>
  <c r="BX11" i="28"/>
  <c r="BT11" i="28"/>
  <c r="BP10" i="28"/>
  <c r="BW10" i="28"/>
  <c r="BS10" i="28"/>
  <c r="BV10" i="28"/>
  <c r="BR10" i="28"/>
  <c r="BU10" i="28"/>
  <c r="BQ10" i="28"/>
  <c r="BT10" i="28"/>
  <c r="BX10" i="28"/>
  <c r="Q7" i="28"/>
  <c r="H7" i="28"/>
  <c r="W7" i="28"/>
  <c r="B7" i="28"/>
  <c r="T7" i="28"/>
  <c r="N7" i="28"/>
  <c r="K7" i="28"/>
  <c r="D153" i="28"/>
  <c r="D152" i="28"/>
  <c r="E101" i="28"/>
  <c r="E154" i="28"/>
  <c r="G114" i="28"/>
  <c r="E7" i="28"/>
  <c r="AW9" i="28"/>
  <c r="BG9" i="28" s="1"/>
  <c r="AR7" i="28"/>
  <c r="AO7" i="28"/>
  <c r="AS7" i="28"/>
  <c r="AW18" i="28"/>
  <c r="G101" i="28"/>
  <c r="Q8" i="28" l="1"/>
  <c r="H8" i="28"/>
  <c r="G119" i="28"/>
  <c r="E8" i="28"/>
  <c r="E12" i="28" s="1"/>
  <c r="AZ16" i="28"/>
  <c r="BJ16" i="28" s="1"/>
  <c r="AY16" i="28"/>
  <c r="BI16" i="28" s="1"/>
  <c r="BM16" i="28" s="1"/>
  <c r="BC16" i="28"/>
  <c r="BD16" i="28"/>
  <c r="BN16" i="28" s="1"/>
  <c r="BA16" i="28"/>
  <c r="BK16" i="28" s="1"/>
  <c r="BE16" i="28"/>
  <c r="BO16" i="28" s="1"/>
  <c r="AX16" i="28"/>
  <c r="BH16" i="28" s="1"/>
  <c r="BL16" i="28" s="1"/>
  <c r="BB16" i="28"/>
  <c r="T8" i="28"/>
  <c r="T12" i="28" s="1"/>
  <c r="N8" i="28"/>
  <c r="N12" i="28" s="1"/>
  <c r="K8" i="28"/>
  <c r="K12" i="28" s="1"/>
  <c r="W8" i="28"/>
  <c r="W12" i="28" s="1"/>
  <c r="B8" i="28"/>
  <c r="C119" i="28"/>
  <c r="H12" i="28"/>
  <c r="AA9" i="28"/>
  <c r="AB9" i="28" s="1"/>
  <c r="AC9" i="28" s="1"/>
  <c r="AA18" i="28"/>
  <c r="AD35" i="28" s="1"/>
  <c r="AA7" i="28"/>
  <c r="BF14" i="28"/>
  <c r="BF18" i="28"/>
  <c r="BG18" i="28" s="1"/>
  <c r="AQ7" i="28"/>
  <c r="AP7" i="28"/>
  <c r="AT7" i="28"/>
  <c r="Q12" i="28"/>
  <c r="AA8" i="28" l="1"/>
  <c r="AB8" i="28" s="1"/>
  <c r="AC8" i="28" s="1"/>
  <c r="BS8" i="28" s="1"/>
  <c r="AP8" i="28"/>
  <c r="AP12" i="28" s="1"/>
  <c r="AQ8" i="28"/>
  <c r="AQ12" i="28" s="1"/>
  <c r="AT8" i="28"/>
  <c r="B12" i="28"/>
  <c r="AU8" i="28"/>
  <c r="AV8" i="28"/>
  <c r="AR8" i="28"/>
  <c r="AS8" i="28"/>
  <c r="AO8" i="28"/>
  <c r="AO12" i="28" s="1"/>
  <c r="BP9" i="28"/>
  <c r="BW9" i="28"/>
  <c r="BS9" i="28"/>
  <c r="BV9" i="28"/>
  <c r="BR9" i="28"/>
  <c r="BU9" i="28"/>
  <c r="BX9" i="28"/>
  <c r="BT9" i="28"/>
  <c r="BQ9" i="28"/>
  <c r="AW7" i="28"/>
  <c r="AE18" i="28"/>
  <c r="AE9" i="28"/>
  <c r="BF16" i="28"/>
  <c r="AD43" i="28"/>
  <c r="AB43" i="28" s="1"/>
  <c r="AB35" i="28"/>
  <c r="AE7" i="28"/>
  <c r="AB7" i="28"/>
  <c r="BW8" i="28" l="1"/>
  <c r="AA12" i="28"/>
  <c r="BP8" i="28"/>
  <c r="AB12" i="28"/>
  <c r="AC31" i="28" s="1"/>
  <c r="BQ8" i="28"/>
  <c r="BT8" i="28"/>
  <c r="BU8" i="28"/>
  <c r="BX8" i="28"/>
  <c r="BR8" i="28"/>
  <c r="BV8" i="28"/>
  <c r="AE8" i="28"/>
  <c r="AE12" i="28" s="1"/>
  <c r="AW8" i="28"/>
  <c r="BG8" i="28" s="1"/>
  <c r="BG7" i="28"/>
  <c r="AC7" i="28"/>
  <c r="AB14" i="28"/>
  <c r="AW12" i="28" l="1"/>
  <c r="AC12" i="28"/>
  <c r="AC32" i="28" s="1"/>
  <c r="BW7" i="28"/>
  <c r="BS7" i="28"/>
  <c r="BV7" i="28"/>
  <c r="BR7" i="28"/>
  <c r="BX7" i="28"/>
  <c r="BU7" i="28"/>
  <c r="BU12" i="28" s="1"/>
  <c r="BT7" i="28"/>
  <c r="BQ7" i="28"/>
  <c r="BQ12" i="28" s="1"/>
  <c r="BP7" i="28"/>
  <c r="AB15" i="28"/>
  <c r="AC39" i="28"/>
  <c r="BR12" i="28" l="1"/>
  <c r="BT12" i="28"/>
  <c r="BP12" i="28"/>
  <c r="BX12" i="28"/>
  <c r="BV12" i="28"/>
  <c r="BW12" i="28"/>
  <c r="BS12" i="28"/>
  <c r="AB16" i="28"/>
  <c r="AB17" i="28" s="1"/>
  <c r="AC40" i="28"/>
  <c r="AC42" i="28" s="1"/>
  <c r="AC44" i="28" s="1"/>
  <c r="AC34" i="28"/>
  <c r="AC36" i="28" s="1"/>
  <c r="AB19" i="28" l="1"/>
  <c r="AC19" i="28" s="1"/>
  <c r="B31" i="26"/>
  <c r="AF145" i="26"/>
  <c r="AE144" i="26" s="1"/>
  <c r="G138" i="26"/>
  <c r="G137" i="26"/>
  <c r="G139" i="26" s="1"/>
  <c r="C138" i="26" s="1"/>
  <c r="B137" i="26"/>
  <c r="AF134" i="26"/>
  <c r="AG132" i="26" s="1"/>
  <c r="AE134" i="26"/>
  <c r="AF128" i="26"/>
  <c r="G126" i="26"/>
  <c r="W11" i="26" s="1"/>
  <c r="Y11" i="26" s="1"/>
  <c r="G123" i="26"/>
  <c r="D117" i="26"/>
  <c r="C117" i="26"/>
  <c r="F109" i="26"/>
  <c r="B109" i="26"/>
  <c r="B104" i="26"/>
  <c r="F103" i="26"/>
  <c r="F102" i="26"/>
  <c r="F104" i="26" s="1"/>
  <c r="H84" i="26"/>
  <c r="B75" i="26" s="1"/>
  <c r="B83" i="26" s="1"/>
  <c r="A82" i="26"/>
  <c r="A81" i="26"/>
  <c r="A80" i="26"/>
  <c r="AF75" i="26"/>
  <c r="AE71" i="26" s="1"/>
  <c r="D72" i="26"/>
  <c r="F69" i="26"/>
  <c r="F71" i="26" s="1"/>
  <c r="B69" i="26"/>
  <c r="F62" i="26"/>
  <c r="F68" i="26" s="1"/>
  <c r="F70" i="26" s="1"/>
  <c r="B62" i="26"/>
  <c r="AA51" i="26"/>
  <c r="L51" i="26"/>
  <c r="J51" i="26"/>
  <c r="H51" i="26"/>
  <c r="AQ51" i="26" s="1"/>
  <c r="F51" i="26"/>
  <c r="AP51" i="26" s="1"/>
  <c r="D51" i="26"/>
  <c r="AO51" i="26" s="1"/>
  <c r="AU50" i="26"/>
  <c r="AA50" i="26"/>
  <c r="L50" i="26"/>
  <c r="J50" i="26"/>
  <c r="H50" i="26"/>
  <c r="AQ50" i="26" s="1"/>
  <c r="F50" i="26"/>
  <c r="AP50" i="26" s="1"/>
  <c r="D50" i="26"/>
  <c r="AO50" i="26" s="1"/>
  <c r="AU49" i="26"/>
  <c r="AA49" i="26"/>
  <c r="L49" i="26"/>
  <c r="J49" i="26"/>
  <c r="H49" i="26"/>
  <c r="AQ49" i="26" s="1"/>
  <c r="F49" i="26"/>
  <c r="AP49" i="26" s="1"/>
  <c r="D49" i="26"/>
  <c r="AO49" i="26" s="1"/>
  <c r="AU48" i="26"/>
  <c r="AA48" i="26"/>
  <c r="L48" i="26"/>
  <c r="J48" i="26"/>
  <c r="H48" i="26"/>
  <c r="AQ48" i="26" s="1"/>
  <c r="F48" i="26"/>
  <c r="AP48" i="26" s="1"/>
  <c r="D48" i="26"/>
  <c r="AO48" i="26" s="1"/>
  <c r="AU47" i="26"/>
  <c r="AA47" i="26"/>
  <c r="L47" i="26"/>
  <c r="J47" i="26"/>
  <c r="H47" i="26"/>
  <c r="AQ47" i="26" s="1"/>
  <c r="F47" i="26"/>
  <c r="AP47" i="26" s="1"/>
  <c r="D47" i="26"/>
  <c r="AO47" i="26" s="1"/>
  <c r="AU46" i="26"/>
  <c r="AA46" i="26"/>
  <c r="L46" i="26"/>
  <c r="J46" i="26"/>
  <c r="H46" i="26"/>
  <c r="AQ46" i="26" s="1"/>
  <c r="F46" i="26"/>
  <c r="D46" i="26"/>
  <c r="L45" i="26"/>
  <c r="J45" i="26"/>
  <c r="H45" i="26"/>
  <c r="F45" i="26"/>
  <c r="D45" i="26"/>
  <c r="AA44" i="26"/>
  <c r="L44" i="26"/>
  <c r="J44" i="26"/>
  <c r="H44" i="26"/>
  <c r="AQ44" i="26" s="1"/>
  <c r="F44" i="26"/>
  <c r="AP44" i="26" s="1"/>
  <c r="D44" i="26"/>
  <c r="AO44" i="26" s="1"/>
  <c r="AU43" i="26"/>
  <c r="T41" i="26"/>
  <c r="K40" i="26"/>
  <c r="I40" i="26"/>
  <c r="G40" i="26"/>
  <c r="E40" i="26"/>
  <c r="C40" i="26"/>
  <c r="U39" i="26"/>
  <c r="B39" i="26"/>
  <c r="B38" i="26"/>
  <c r="B33" i="26"/>
  <c r="B32" i="26"/>
  <c r="D25" i="26"/>
  <c r="C25" i="26"/>
  <c r="B24" i="26"/>
  <c r="S20" i="26"/>
  <c r="P20" i="26"/>
  <c r="O20" i="26"/>
  <c r="M20" i="26"/>
  <c r="L20" i="26"/>
  <c r="J20" i="26"/>
  <c r="I20" i="26"/>
  <c r="G20" i="26"/>
  <c r="F20" i="26"/>
  <c r="D20" i="26"/>
  <c r="C20" i="26"/>
  <c r="W18" i="26"/>
  <c r="Y18" i="26" s="1"/>
  <c r="X12" i="26"/>
  <c r="P12" i="26"/>
  <c r="O12" i="26"/>
  <c r="M12" i="26"/>
  <c r="L12" i="26"/>
  <c r="L22" i="26" s="1"/>
  <c r="J12" i="26"/>
  <c r="J22" i="26" s="1"/>
  <c r="I12" i="26"/>
  <c r="G12" i="26"/>
  <c r="F12" i="26"/>
  <c r="D12" i="26"/>
  <c r="C12" i="26"/>
  <c r="AJ10" i="26"/>
  <c r="W10" i="26"/>
  <c r="Y10" i="26" s="1"/>
  <c r="L55" i="26" l="1"/>
  <c r="H62" i="26"/>
  <c r="H64" i="26" s="1"/>
  <c r="D22" i="26"/>
  <c r="P22" i="26"/>
  <c r="D55" i="26"/>
  <c r="F22" i="26"/>
  <c r="AE73" i="26"/>
  <c r="AE72" i="26"/>
  <c r="AE74" i="26"/>
  <c r="AG133" i="26"/>
  <c r="AJ8" i="26"/>
  <c r="AO8" i="26" s="1"/>
  <c r="AE138" i="26"/>
  <c r="B40" i="26"/>
  <c r="B43" i="26" s="1"/>
  <c r="AE141" i="26"/>
  <c r="BP19" i="28"/>
  <c r="BW19" i="28"/>
  <c r="BS19" i="28"/>
  <c r="BV19" i="28"/>
  <c r="BR19" i="28"/>
  <c r="BX19" i="28"/>
  <c r="BU19" i="28"/>
  <c r="BT19" i="28"/>
  <c r="BQ19" i="28"/>
  <c r="AB18" i="28"/>
  <c r="AC18" i="28" s="1"/>
  <c r="B138" i="26"/>
  <c r="W19" i="26"/>
  <c r="Y19" i="26" s="1"/>
  <c r="AG134" i="26"/>
  <c r="AJ11" i="26"/>
  <c r="AO11" i="26" s="1"/>
  <c r="AE142" i="26"/>
  <c r="G22" i="26"/>
  <c r="M22" i="26"/>
  <c r="AE137" i="26"/>
  <c r="AE139" i="26"/>
  <c r="AE143" i="26"/>
  <c r="Y143" i="26" s="1"/>
  <c r="AJ9" i="26"/>
  <c r="AO9" i="26" s="1"/>
  <c r="C22" i="26"/>
  <c r="I22" i="26"/>
  <c r="O22" i="26"/>
  <c r="AO46" i="26"/>
  <c r="AE140" i="26"/>
  <c r="AJ7" i="26"/>
  <c r="AO7" i="26" s="1"/>
  <c r="AO10" i="26"/>
  <c r="L43" i="26"/>
  <c r="L54" i="26" s="1"/>
  <c r="L56" i="26" s="1"/>
  <c r="N6" i="26" s="1"/>
  <c r="D43" i="26"/>
  <c r="D54" i="26" s="1"/>
  <c r="D56" i="26" s="1"/>
  <c r="B6" i="26" s="1"/>
  <c r="AA43" i="26"/>
  <c r="J43" i="26"/>
  <c r="J54" i="26" s="1"/>
  <c r="F43" i="26"/>
  <c r="F54" i="26" s="1"/>
  <c r="H43" i="26"/>
  <c r="H54" i="26" s="1"/>
  <c r="B117" i="26"/>
  <c r="B71" i="26"/>
  <c r="Y133" i="26"/>
  <c r="Y132" i="26"/>
  <c r="Y144" i="26"/>
  <c r="H24" i="26"/>
  <c r="AE66" i="26"/>
  <c r="AE65" i="26"/>
  <c r="AF24" i="26"/>
  <c r="B34" i="26"/>
  <c r="F55" i="26"/>
  <c r="AP46" i="26"/>
  <c r="C132" i="26"/>
  <c r="H138" i="26" s="1"/>
  <c r="E24" i="26"/>
  <c r="B25" i="26" s="1"/>
  <c r="AE126" i="26"/>
  <c r="Y126" i="26" s="1"/>
  <c r="AE125" i="26"/>
  <c r="Y125" i="26" s="1"/>
  <c r="AE123" i="26"/>
  <c r="Y123" i="26" s="1"/>
  <c r="AE122" i="26"/>
  <c r="Y122" i="26" s="1"/>
  <c r="AE120" i="26"/>
  <c r="Y120" i="26" s="1"/>
  <c r="AE119" i="26"/>
  <c r="AE127" i="26"/>
  <c r="Y127" i="26" s="1"/>
  <c r="AE124" i="26"/>
  <c r="Y124" i="26" s="1"/>
  <c r="AE121" i="26"/>
  <c r="Y121" i="26" s="1"/>
  <c r="B132" i="26"/>
  <c r="J55" i="26"/>
  <c r="H55" i="26"/>
  <c r="F74" i="26"/>
  <c r="F76" i="26" s="1"/>
  <c r="D62" i="26"/>
  <c r="B68" i="26"/>
  <c r="AE69" i="26"/>
  <c r="AE70" i="26"/>
  <c r="J12" i="25"/>
  <c r="J11" i="25"/>
  <c r="J7" i="25"/>
  <c r="J6" i="25"/>
  <c r="J5" i="25"/>
  <c r="G12" i="25"/>
  <c r="G11" i="25"/>
  <c r="G7" i="25"/>
  <c r="G6" i="25"/>
  <c r="G5" i="25"/>
  <c r="E7" i="25"/>
  <c r="E6" i="25"/>
  <c r="B7" i="25"/>
  <c r="B6" i="25"/>
  <c r="B30" i="24"/>
  <c r="Y141" i="26" l="1"/>
  <c r="Y142" i="26"/>
  <c r="G8" i="25"/>
  <c r="Y138" i="26"/>
  <c r="Y139" i="26"/>
  <c r="Y140" i="26"/>
  <c r="Y137" i="26"/>
  <c r="Y145" i="26" s="1"/>
  <c r="AB20" i="28"/>
  <c r="AD31" i="28" s="1"/>
  <c r="AD39" i="28" s="1"/>
  <c r="BP18" i="28"/>
  <c r="D64" i="26"/>
  <c r="AE61" i="26" s="1"/>
  <c r="AE145" i="26"/>
  <c r="AP43" i="26"/>
  <c r="AG24" i="26"/>
  <c r="AK11" i="26"/>
  <c r="AK10" i="26"/>
  <c r="AR51" i="26"/>
  <c r="AK8" i="26"/>
  <c r="AK9" i="26"/>
  <c r="C96" i="26"/>
  <c r="AR49" i="26"/>
  <c r="AT49" i="26" s="1"/>
  <c r="AE75" i="26"/>
  <c r="AE128" i="26"/>
  <c r="AK66" i="26"/>
  <c r="AM66" i="26" s="1"/>
  <c r="AH24" i="26"/>
  <c r="AL10" i="26"/>
  <c r="AQ10" i="26" s="1"/>
  <c r="AL9" i="26"/>
  <c r="AQ9" i="26" s="1"/>
  <c r="AL11" i="26"/>
  <c r="AQ11" i="26" s="1"/>
  <c r="AL8" i="26"/>
  <c r="AQ8" i="26" s="1"/>
  <c r="G97" i="26"/>
  <c r="B81" i="26"/>
  <c r="AR47" i="26"/>
  <c r="AT47" i="26" s="1"/>
  <c r="Y119" i="26"/>
  <c r="Y128" i="26" s="1"/>
  <c r="H56" i="26"/>
  <c r="H6" i="26" s="1"/>
  <c r="J56" i="26"/>
  <c r="K6" i="26" s="1"/>
  <c r="AQ43" i="26"/>
  <c r="AK62" i="26"/>
  <c r="AM62" i="26" s="1"/>
  <c r="C30" i="26"/>
  <c r="C31" i="26"/>
  <c r="C32" i="26"/>
  <c r="AK82" i="26"/>
  <c r="AM82" i="26" s="1"/>
  <c r="AR48" i="26"/>
  <c r="AT48" i="26" s="1"/>
  <c r="AR44" i="26"/>
  <c r="AT44" i="26" s="1"/>
  <c r="F56" i="26"/>
  <c r="E6" i="26" s="1"/>
  <c r="AE62" i="26"/>
  <c r="AR46" i="26"/>
  <c r="AT46" i="26" s="1"/>
  <c r="B70" i="26"/>
  <c r="B80" i="26" s="1"/>
  <c r="F78" i="26"/>
  <c r="Z15" i="26"/>
  <c r="D132" i="26"/>
  <c r="H137" i="26"/>
  <c r="C33" i="26"/>
  <c r="AR50" i="26"/>
  <c r="AT50" i="26" s="1"/>
  <c r="Y134" i="26"/>
  <c r="AL7" i="26"/>
  <c r="AQ7" i="26" s="1"/>
  <c r="G96" i="26"/>
  <c r="AK7" i="26"/>
  <c r="AO43" i="26"/>
  <c r="J13" i="25"/>
  <c r="J8" i="25"/>
  <c r="J15" i="25" s="1"/>
  <c r="G13" i="25"/>
  <c r="G15" i="25" s="1"/>
  <c r="AF145" i="24"/>
  <c r="AE143" i="24" s="1"/>
  <c r="G138" i="24"/>
  <c r="G137" i="24"/>
  <c r="B137" i="24"/>
  <c r="AF134" i="24"/>
  <c r="AG132" i="24" s="1"/>
  <c r="AE134" i="24"/>
  <c r="AF128" i="24"/>
  <c r="AE121" i="24" s="1"/>
  <c r="G126" i="24"/>
  <c r="W11" i="24" s="1"/>
  <c r="Y11" i="24" s="1"/>
  <c r="G123" i="24"/>
  <c r="D117" i="24"/>
  <c r="C117" i="24"/>
  <c r="F109" i="24"/>
  <c r="B109" i="24"/>
  <c r="B104" i="24"/>
  <c r="F103" i="24"/>
  <c r="F102" i="24"/>
  <c r="H84" i="24"/>
  <c r="A82" i="24"/>
  <c r="A81" i="24"/>
  <c r="A80" i="24"/>
  <c r="AF75" i="24"/>
  <c r="AE72" i="24" s="1"/>
  <c r="B75" i="24"/>
  <c r="D72" i="24"/>
  <c r="F69" i="24"/>
  <c r="F71" i="24" s="1"/>
  <c r="B69" i="24"/>
  <c r="B71" i="24" s="1"/>
  <c r="F62" i="24"/>
  <c r="H62" i="24" s="1"/>
  <c r="H64" i="24" s="1"/>
  <c r="AE65" i="24" s="1"/>
  <c r="B62" i="24"/>
  <c r="AA51" i="24"/>
  <c r="L51" i="24"/>
  <c r="J51" i="24"/>
  <c r="H51" i="24"/>
  <c r="AQ51" i="24" s="1"/>
  <c r="F51" i="24"/>
  <c r="AP51" i="24" s="1"/>
  <c r="D51" i="24"/>
  <c r="AO51" i="24" s="1"/>
  <c r="AU50" i="24"/>
  <c r="AA50" i="24"/>
  <c r="L50" i="24"/>
  <c r="J50" i="24"/>
  <c r="H50" i="24"/>
  <c r="AQ50" i="24" s="1"/>
  <c r="F50" i="24"/>
  <c r="AP50" i="24" s="1"/>
  <c r="D50" i="24"/>
  <c r="AO50" i="24" s="1"/>
  <c r="AU49" i="24"/>
  <c r="AA49" i="24"/>
  <c r="L49" i="24"/>
  <c r="J49" i="24"/>
  <c r="H49" i="24"/>
  <c r="AQ49" i="24" s="1"/>
  <c r="F49" i="24"/>
  <c r="AP49" i="24" s="1"/>
  <c r="D49" i="24"/>
  <c r="AO49" i="24" s="1"/>
  <c r="AU48" i="24"/>
  <c r="AA48" i="24"/>
  <c r="L48" i="24"/>
  <c r="J48" i="24"/>
  <c r="H48" i="24"/>
  <c r="F48" i="24"/>
  <c r="AP48" i="24" s="1"/>
  <c r="D48" i="24"/>
  <c r="AO48" i="24" s="1"/>
  <c r="AU47" i="24"/>
  <c r="AA47" i="24"/>
  <c r="L47" i="24"/>
  <c r="J47" i="24"/>
  <c r="H47" i="24"/>
  <c r="AQ47" i="24" s="1"/>
  <c r="F47" i="24"/>
  <c r="AP47" i="24" s="1"/>
  <c r="D47" i="24"/>
  <c r="AO47" i="24" s="1"/>
  <c r="AU46" i="24"/>
  <c r="AA46" i="24"/>
  <c r="L46" i="24"/>
  <c r="J46" i="24"/>
  <c r="H46" i="24"/>
  <c r="AQ46" i="24" s="1"/>
  <c r="F46" i="24"/>
  <c r="AP46" i="24" s="1"/>
  <c r="D46" i="24"/>
  <c r="L45" i="24"/>
  <c r="J45" i="24"/>
  <c r="H45" i="24"/>
  <c r="F45" i="24"/>
  <c r="D45" i="24"/>
  <c r="AA44" i="24"/>
  <c r="L44" i="24"/>
  <c r="J44" i="24"/>
  <c r="H44" i="24"/>
  <c r="AQ44" i="24" s="1"/>
  <c r="F44" i="24"/>
  <c r="AP44" i="24" s="1"/>
  <c r="D44" i="24"/>
  <c r="AO44" i="24" s="1"/>
  <c r="AU43" i="24"/>
  <c r="T41" i="24"/>
  <c r="K40" i="24"/>
  <c r="I40" i="24"/>
  <c r="G40" i="24"/>
  <c r="E40" i="24"/>
  <c r="C40" i="24"/>
  <c r="U39" i="24"/>
  <c r="B39" i="24"/>
  <c r="B38" i="24"/>
  <c r="B33" i="24"/>
  <c r="H24" i="24" s="1"/>
  <c r="B32" i="24"/>
  <c r="E24" i="24" s="1"/>
  <c r="B31" i="24"/>
  <c r="D25" i="24"/>
  <c r="C25" i="24"/>
  <c r="S20" i="24"/>
  <c r="P20" i="24"/>
  <c r="O20" i="24"/>
  <c r="M20" i="24"/>
  <c r="L20" i="24"/>
  <c r="J20" i="24"/>
  <c r="I20" i="24"/>
  <c r="G20" i="24"/>
  <c r="F20" i="24"/>
  <c r="D20" i="24"/>
  <c r="C20" i="24"/>
  <c r="W18" i="24"/>
  <c r="Y18" i="24" s="1"/>
  <c r="X12" i="24"/>
  <c r="P12" i="24"/>
  <c r="O12" i="24"/>
  <c r="O22" i="24" s="1"/>
  <c r="M12" i="24"/>
  <c r="L12" i="24"/>
  <c r="L22" i="24" s="1"/>
  <c r="J12" i="24"/>
  <c r="J22" i="24" s="1"/>
  <c r="I12" i="24"/>
  <c r="G12" i="24"/>
  <c r="F12" i="24"/>
  <c r="F22" i="24" s="1"/>
  <c r="D12" i="24"/>
  <c r="C12" i="24"/>
  <c r="B31" i="21"/>
  <c r="AI24" i="26" l="1"/>
  <c r="B74" i="26"/>
  <c r="B76" i="26" s="1"/>
  <c r="AG133" i="24"/>
  <c r="AG134" i="24" s="1"/>
  <c r="L55" i="24"/>
  <c r="D22" i="24"/>
  <c r="P22" i="24"/>
  <c r="D55" i="24"/>
  <c r="E12" i="25"/>
  <c r="AL11" i="24"/>
  <c r="B34" i="24"/>
  <c r="C32" i="24" s="1"/>
  <c r="F68" i="24"/>
  <c r="F70" i="24" s="1"/>
  <c r="AE73" i="24"/>
  <c r="AE127" i="24"/>
  <c r="AB31" i="28"/>
  <c r="AB39" i="28"/>
  <c r="E11" i="25"/>
  <c r="AK9" i="24"/>
  <c r="AP9" i="24" s="1"/>
  <c r="AL8" i="24"/>
  <c r="AQ11" i="24"/>
  <c r="G22" i="24"/>
  <c r="AH24" i="24"/>
  <c r="B40" i="24"/>
  <c r="B43" i="24" s="1"/>
  <c r="F43" i="24" s="1"/>
  <c r="F54" i="24" s="1"/>
  <c r="AE139" i="24"/>
  <c r="AL9" i="24"/>
  <c r="AQ9" i="24" s="1"/>
  <c r="C22" i="24"/>
  <c r="AO46" i="24"/>
  <c r="AE124" i="24"/>
  <c r="Y124" i="24" s="1"/>
  <c r="C132" i="24"/>
  <c r="H138" i="24" s="1"/>
  <c r="AE140" i="24"/>
  <c r="B82" i="26"/>
  <c r="B84" i="26" s="1"/>
  <c r="J55" i="24"/>
  <c r="AE137" i="24"/>
  <c r="AR43" i="26"/>
  <c r="AT43" i="26" s="1"/>
  <c r="D137" i="26"/>
  <c r="H136" i="26"/>
  <c r="H139" i="26"/>
  <c r="H132" i="26"/>
  <c r="E137" i="26"/>
  <c r="C34" i="26"/>
  <c r="H81" i="26"/>
  <c r="H85" i="26" s="1"/>
  <c r="Z18" i="26"/>
  <c r="AA18" i="26" s="1"/>
  <c r="Z17" i="26"/>
  <c r="R24" i="26"/>
  <c r="R6" i="26" s="1"/>
  <c r="Z19" i="26"/>
  <c r="AA19" i="26" s="1"/>
  <c r="Z10" i="26"/>
  <c r="AA10" i="26" s="1"/>
  <c r="Z9" i="26"/>
  <c r="Z11" i="26"/>
  <c r="AA11" i="26" s="1"/>
  <c r="E119" i="26"/>
  <c r="AJ65" i="26"/>
  <c r="F119" i="26"/>
  <c r="F120" i="26" s="1"/>
  <c r="H126" i="26"/>
  <c r="H123" i="26"/>
  <c r="AK65" i="26"/>
  <c r="AK67" i="26" s="1"/>
  <c r="AP67" i="26" s="1"/>
  <c r="C97" i="26"/>
  <c r="T31" i="26" s="1"/>
  <c r="Z16" i="26"/>
  <c r="AP9" i="26"/>
  <c r="AM9" i="26"/>
  <c r="AP10" i="26"/>
  <c r="AM10" i="26"/>
  <c r="Z14" i="26"/>
  <c r="AP7" i="26"/>
  <c r="AM7" i="26"/>
  <c r="G98" i="26"/>
  <c r="G90" i="26"/>
  <c r="E90" i="26"/>
  <c r="AP8" i="26"/>
  <c r="AM8" i="26"/>
  <c r="AP11" i="26"/>
  <c r="AM11" i="26"/>
  <c r="AK11" i="24"/>
  <c r="AP11" i="24" s="1"/>
  <c r="AG24" i="24"/>
  <c r="AK66" i="24"/>
  <c r="AM66" i="24" s="1"/>
  <c r="AK10" i="24"/>
  <c r="AP10" i="24" s="1"/>
  <c r="Y133" i="24"/>
  <c r="Y132" i="24"/>
  <c r="Y127" i="24"/>
  <c r="Y121" i="24"/>
  <c r="B117" i="24"/>
  <c r="AQ48" i="24"/>
  <c r="H55" i="24"/>
  <c r="B68" i="24"/>
  <c r="D62" i="24"/>
  <c r="D64" i="24" s="1"/>
  <c r="AL10" i="24"/>
  <c r="AQ10" i="24" s="1"/>
  <c r="AE66" i="24"/>
  <c r="AE71" i="24"/>
  <c r="AE70" i="24"/>
  <c r="AE69" i="24"/>
  <c r="AE74" i="24"/>
  <c r="AK8" i="24"/>
  <c r="AP8" i="24" s="1"/>
  <c r="M22" i="24"/>
  <c r="B132" i="24"/>
  <c r="F55" i="24"/>
  <c r="B83" i="24"/>
  <c r="AE144" i="24"/>
  <c r="AE142" i="24"/>
  <c r="AE141" i="24"/>
  <c r="AE138" i="24"/>
  <c r="AQ8" i="24"/>
  <c r="W10" i="24"/>
  <c r="Y10" i="24" s="1"/>
  <c r="I22" i="24"/>
  <c r="B24" i="24"/>
  <c r="AE126" i="24"/>
  <c r="Y126" i="24" s="1"/>
  <c r="AE125" i="24"/>
  <c r="Y125" i="24" s="1"/>
  <c r="AE123" i="24"/>
  <c r="Y123" i="24" s="1"/>
  <c r="AE122" i="24"/>
  <c r="Y122" i="24" s="1"/>
  <c r="AE120" i="24"/>
  <c r="Y120" i="24" s="1"/>
  <c r="AE119" i="24"/>
  <c r="AK62" i="24"/>
  <c r="AM62" i="24" s="1"/>
  <c r="B81" i="24"/>
  <c r="AK82" i="24"/>
  <c r="AM82" i="24" s="1"/>
  <c r="F104" i="24"/>
  <c r="G139" i="24"/>
  <c r="B33" i="21"/>
  <c r="B32" i="21"/>
  <c r="B30" i="21"/>
  <c r="G138" i="21"/>
  <c r="G126" i="21"/>
  <c r="G123" i="21"/>
  <c r="E13" i="25" l="1"/>
  <c r="C30" i="24"/>
  <c r="C33" i="24"/>
  <c r="C31" i="24"/>
  <c r="F56" i="24"/>
  <c r="E6" i="24" s="1"/>
  <c r="AA43" i="24"/>
  <c r="C34" i="24"/>
  <c r="AE128" i="24"/>
  <c r="AR48" i="24"/>
  <c r="AT48" i="24" s="1"/>
  <c r="E5" i="25"/>
  <c r="E8" i="25" s="1"/>
  <c r="E15" i="25" s="1"/>
  <c r="AE145" i="24"/>
  <c r="D43" i="24"/>
  <c r="D54" i="24" s="1"/>
  <c r="D56" i="24" s="1"/>
  <c r="AP43" i="24"/>
  <c r="J43" i="24"/>
  <c r="J54" i="24" s="1"/>
  <c r="J56" i="24" s="1"/>
  <c r="K6" i="24" s="1"/>
  <c r="H43" i="24"/>
  <c r="H54" i="24" s="1"/>
  <c r="H56" i="24" s="1"/>
  <c r="H6" i="24" s="1"/>
  <c r="L43" i="24"/>
  <c r="L54" i="24" s="1"/>
  <c r="L56" i="24" s="1"/>
  <c r="N6" i="24" s="1"/>
  <c r="T6" i="26"/>
  <c r="V6" i="26"/>
  <c r="S6" i="26"/>
  <c r="S12" i="26" s="1"/>
  <c r="S22" i="26" s="1"/>
  <c r="T39" i="26"/>
  <c r="S39" i="26" s="1"/>
  <c r="S31" i="26"/>
  <c r="AJ15" i="26"/>
  <c r="AH10" i="26"/>
  <c r="AG10" i="26"/>
  <c r="B10" i="26"/>
  <c r="AF10" i="26"/>
  <c r="E10" i="26"/>
  <c r="H10" i="26"/>
  <c r="G119" i="26"/>
  <c r="E120" i="26"/>
  <c r="B77" i="26"/>
  <c r="H83" i="26"/>
  <c r="B85" i="26"/>
  <c r="AF18" i="26"/>
  <c r="B18" i="26"/>
  <c r="Z7" i="26"/>
  <c r="C98" i="26"/>
  <c r="Z8" i="26" s="1"/>
  <c r="AK15" i="26"/>
  <c r="AP15" i="26" s="1"/>
  <c r="AL15" i="26"/>
  <c r="AQ15" i="26" s="1"/>
  <c r="AG11" i="26"/>
  <c r="AF11" i="26"/>
  <c r="E11" i="26"/>
  <c r="AH11" i="26"/>
  <c r="B11" i="26"/>
  <c r="H11" i="26"/>
  <c r="H98" i="26"/>
  <c r="W7" i="26" s="1"/>
  <c r="AM65" i="26"/>
  <c r="AM67" i="26" s="1"/>
  <c r="AJ67" i="26"/>
  <c r="AO67" i="26" s="1"/>
  <c r="AH18" i="26"/>
  <c r="AL18" i="26" s="1"/>
  <c r="AQ18" i="26" s="1"/>
  <c r="AG18" i="26"/>
  <c r="AK18" i="26" s="1"/>
  <c r="AP18" i="26" s="1"/>
  <c r="E18" i="26"/>
  <c r="H18" i="26"/>
  <c r="H142" i="26"/>
  <c r="H143" i="26"/>
  <c r="AE61" i="24"/>
  <c r="AE62" i="24"/>
  <c r="C138" i="24"/>
  <c r="AK7" i="24"/>
  <c r="AP7" i="24" s="1"/>
  <c r="AL7" i="24"/>
  <c r="AQ7" i="24" s="1"/>
  <c r="D132" i="24"/>
  <c r="H139" i="24" s="1"/>
  <c r="H137" i="24"/>
  <c r="F74" i="24"/>
  <c r="F76" i="24" s="1"/>
  <c r="C96" i="24"/>
  <c r="AJ8" i="24"/>
  <c r="G96" i="24"/>
  <c r="AJ11" i="24"/>
  <c r="AJ9" i="24"/>
  <c r="AR50" i="24"/>
  <c r="AT50" i="24" s="1"/>
  <c r="AF24" i="24"/>
  <c r="AI24" i="24" s="1"/>
  <c r="B6" i="24"/>
  <c r="G97" i="24"/>
  <c r="AR46" i="24"/>
  <c r="AT46" i="24" s="1"/>
  <c r="B25" i="24"/>
  <c r="AK65" i="24" s="1"/>
  <c r="AK67" i="24" s="1"/>
  <c r="AP67" i="24" s="1"/>
  <c r="AR51" i="24"/>
  <c r="AJ7" i="24"/>
  <c r="AR49" i="24"/>
  <c r="AT49" i="24" s="1"/>
  <c r="AJ10" i="24"/>
  <c r="AR44" i="24"/>
  <c r="AT44" i="24" s="1"/>
  <c r="AQ43" i="24"/>
  <c r="B70" i="24"/>
  <c r="AE75" i="24"/>
  <c r="AO43" i="24"/>
  <c r="Y119" i="24"/>
  <c r="Y128" i="24" s="1"/>
  <c r="Y134" i="24"/>
  <c r="AR47" i="24"/>
  <c r="AT47" i="24" s="1"/>
  <c r="D72" i="21"/>
  <c r="F62" i="21"/>
  <c r="B62" i="21"/>
  <c r="AR43" i="24" l="1"/>
  <c r="AT43" i="24" s="1"/>
  <c r="B80" i="24"/>
  <c r="B82" i="24" s="1"/>
  <c r="B84" i="24" s="1"/>
  <c r="Z16" i="24" s="1"/>
  <c r="D138" i="26"/>
  <c r="G142" i="26"/>
  <c r="AI11" i="26"/>
  <c r="AN11" i="26" s="1"/>
  <c r="K18" i="26"/>
  <c r="N18" i="26"/>
  <c r="K11" i="26"/>
  <c r="N11" i="26"/>
  <c r="AI18" i="26"/>
  <c r="AJ18" i="26"/>
  <c r="AI10" i="26"/>
  <c r="AN10" i="26" s="1"/>
  <c r="D98" i="26"/>
  <c r="Y7" i="26"/>
  <c r="B86" i="26"/>
  <c r="G143" i="26"/>
  <c r="E138" i="26"/>
  <c r="G103" i="26"/>
  <c r="H103" i="26" s="1"/>
  <c r="C102" i="26"/>
  <c r="D102" i="26" s="1"/>
  <c r="G102" i="26"/>
  <c r="H102" i="26" s="1"/>
  <c r="C103" i="26"/>
  <c r="D103" i="26" s="1"/>
  <c r="AK81" i="26"/>
  <c r="AK83" i="26" s="1"/>
  <c r="AP83" i="26" s="1"/>
  <c r="AJ81" i="26"/>
  <c r="AK61" i="26"/>
  <c r="AK63" i="26" s="1"/>
  <c r="AP63" i="26" s="1"/>
  <c r="AJ61" i="26"/>
  <c r="B78" i="26"/>
  <c r="H119" i="26"/>
  <c r="W9" i="26"/>
  <c r="Y9" i="26" s="1"/>
  <c r="AA9" i="26" s="1"/>
  <c r="K10" i="26"/>
  <c r="N10" i="26"/>
  <c r="AO15" i="26"/>
  <c r="AM15" i="26"/>
  <c r="U6" i="26"/>
  <c r="R24" i="24"/>
  <c r="Z19" i="24"/>
  <c r="Z10" i="24"/>
  <c r="AA10" i="24" s="1"/>
  <c r="Z9" i="24"/>
  <c r="H81" i="24"/>
  <c r="H85" i="24" s="1"/>
  <c r="Z17" i="24"/>
  <c r="Z11" i="24"/>
  <c r="AA11" i="24" s="1"/>
  <c r="Z18" i="24"/>
  <c r="AA18" i="24" s="1"/>
  <c r="F119" i="24"/>
  <c r="F120" i="24" s="1"/>
  <c r="AJ65" i="24"/>
  <c r="E119" i="24"/>
  <c r="H123" i="24"/>
  <c r="H126" i="24"/>
  <c r="G98" i="24"/>
  <c r="H98" i="24" s="1"/>
  <c r="AO11" i="24"/>
  <c r="AM11" i="24"/>
  <c r="AM8" i="24"/>
  <c r="AO8" i="24"/>
  <c r="C97" i="24"/>
  <c r="T31" i="24" s="1"/>
  <c r="R6" i="24"/>
  <c r="AM9" i="24"/>
  <c r="AO9" i="24"/>
  <c r="AO7" i="24"/>
  <c r="AM7" i="24"/>
  <c r="B74" i="24"/>
  <c r="B76" i="24" s="1"/>
  <c r="AM10" i="24"/>
  <c r="AO10" i="24"/>
  <c r="Z15" i="24"/>
  <c r="F78" i="24"/>
  <c r="D137" i="24"/>
  <c r="H136" i="24"/>
  <c r="E137" i="24"/>
  <c r="H132" i="24"/>
  <c r="B138" i="24"/>
  <c r="W19" i="24"/>
  <c r="Y19" i="24" s="1"/>
  <c r="F103" i="21"/>
  <c r="L45" i="21"/>
  <c r="J45" i="21"/>
  <c r="H45" i="21"/>
  <c r="F45" i="21"/>
  <c r="D45" i="21"/>
  <c r="L51" i="21"/>
  <c r="J51" i="21"/>
  <c r="H51" i="21"/>
  <c r="AQ51" i="21" s="1"/>
  <c r="F51" i="21"/>
  <c r="AP51" i="21" s="1"/>
  <c r="D51" i="21"/>
  <c r="AO51" i="21" s="1"/>
  <c r="AA51" i="21"/>
  <c r="L50" i="21"/>
  <c r="L49" i="21"/>
  <c r="L48" i="21"/>
  <c r="L47" i="21"/>
  <c r="L46" i="21"/>
  <c r="L44" i="21"/>
  <c r="J50" i="21"/>
  <c r="J49" i="21"/>
  <c r="J48" i="21"/>
  <c r="J47" i="21"/>
  <c r="J46" i="21"/>
  <c r="J44" i="21"/>
  <c r="H50" i="21"/>
  <c r="H49" i="21"/>
  <c r="H48" i="21"/>
  <c r="H47" i="21"/>
  <c r="H46" i="21"/>
  <c r="H44" i="21"/>
  <c r="K40" i="21"/>
  <c r="I40" i="21"/>
  <c r="B39" i="21"/>
  <c r="B38" i="21"/>
  <c r="H55" i="21" l="1"/>
  <c r="R10" i="26"/>
  <c r="R11" i="26"/>
  <c r="V11" i="26" s="1"/>
  <c r="R18" i="26"/>
  <c r="V18" i="26" s="1"/>
  <c r="V10" i="26"/>
  <c r="AM81" i="26"/>
  <c r="AM83" i="26" s="1"/>
  <c r="AJ83" i="26"/>
  <c r="AO83" i="26" s="1"/>
  <c r="C108" i="26"/>
  <c r="D108" i="26" s="1"/>
  <c r="C107" i="26"/>
  <c r="D107" i="26" s="1"/>
  <c r="C106" i="26"/>
  <c r="D106" i="26" s="1"/>
  <c r="G108" i="26"/>
  <c r="H108" i="26" s="1"/>
  <c r="G107" i="26"/>
  <c r="H107" i="26" s="1"/>
  <c r="G106" i="26"/>
  <c r="H106" i="26" s="1"/>
  <c r="W8" i="26"/>
  <c r="E89" i="26"/>
  <c r="G89" i="26"/>
  <c r="H104" i="26"/>
  <c r="E143" i="26"/>
  <c r="G144" i="26"/>
  <c r="D144" i="26" s="1"/>
  <c r="E142" i="26"/>
  <c r="B9" i="26"/>
  <c r="AH9" i="26"/>
  <c r="AF9" i="26"/>
  <c r="E9" i="26"/>
  <c r="AG9" i="26"/>
  <c r="H9" i="26"/>
  <c r="AG19" i="26"/>
  <c r="AK19" i="26" s="1"/>
  <c r="AP19" i="26" s="1"/>
  <c r="E19" i="26"/>
  <c r="AH19" i="26"/>
  <c r="AL19" i="26" s="1"/>
  <c r="AQ19" i="26" s="1"/>
  <c r="H19" i="26"/>
  <c r="AO18" i="26"/>
  <c r="AM18" i="26"/>
  <c r="AN18" i="26" s="1"/>
  <c r="AJ63" i="26"/>
  <c r="AO63" i="26" s="1"/>
  <c r="AM61" i="26"/>
  <c r="AM63" i="26" s="1"/>
  <c r="D104" i="26"/>
  <c r="AA7" i="26"/>
  <c r="AF19" i="26"/>
  <c r="B19" i="26"/>
  <c r="G103" i="24"/>
  <c r="H103" i="24" s="1"/>
  <c r="C102" i="24"/>
  <c r="D102" i="24" s="1"/>
  <c r="C103" i="24"/>
  <c r="D103" i="24" s="1"/>
  <c r="G102" i="24"/>
  <c r="H102" i="24" s="1"/>
  <c r="AM65" i="24"/>
  <c r="AM67" i="24" s="1"/>
  <c r="AJ67" i="24"/>
  <c r="AO67" i="24" s="1"/>
  <c r="AF18" i="24"/>
  <c r="B18" i="24"/>
  <c r="S31" i="24"/>
  <c r="T39" i="24"/>
  <c r="S39" i="24" s="1"/>
  <c r="AH10" i="24"/>
  <c r="AG10" i="24"/>
  <c r="AF10" i="24"/>
  <c r="E10" i="24"/>
  <c r="H10" i="24"/>
  <c r="B10" i="24"/>
  <c r="Y142" i="24"/>
  <c r="Y140" i="24"/>
  <c r="Y138" i="24"/>
  <c r="Y137" i="24"/>
  <c r="Y144" i="24"/>
  <c r="Y143" i="24"/>
  <c r="Y139" i="24"/>
  <c r="Y141" i="24"/>
  <c r="AA19" i="24"/>
  <c r="E90" i="24"/>
  <c r="G90" i="24"/>
  <c r="Z7" i="24"/>
  <c r="W7" i="24"/>
  <c r="G119" i="24"/>
  <c r="E120" i="24"/>
  <c r="AH18" i="24"/>
  <c r="AL18" i="24" s="1"/>
  <c r="AQ18" i="24" s="1"/>
  <c r="AG18" i="24"/>
  <c r="AK18" i="24" s="1"/>
  <c r="AP18" i="24" s="1"/>
  <c r="H18" i="24"/>
  <c r="E18" i="24"/>
  <c r="Z14" i="24"/>
  <c r="V6" i="24"/>
  <c r="T6" i="24"/>
  <c r="U6" i="24" s="1"/>
  <c r="S6" i="24"/>
  <c r="S12" i="24" s="1"/>
  <c r="S22" i="24" s="1"/>
  <c r="C98" i="24"/>
  <c r="Z8" i="24" s="1"/>
  <c r="H143" i="24"/>
  <c r="H142" i="24"/>
  <c r="AG11" i="24"/>
  <c r="E11" i="24"/>
  <c r="AH11" i="24"/>
  <c r="AF11" i="24"/>
  <c r="H11" i="24"/>
  <c r="B11" i="24"/>
  <c r="H83" i="24"/>
  <c r="B77" i="24"/>
  <c r="B78" i="24" s="1"/>
  <c r="B85" i="24"/>
  <c r="L55" i="21"/>
  <c r="J55" i="21"/>
  <c r="P20" i="21"/>
  <c r="P12" i="21"/>
  <c r="P22" i="21" s="1"/>
  <c r="K7" i="25" s="1"/>
  <c r="O12" i="21"/>
  <c r="O20" i="21"/>
  <c r="M20" i="21"/>
  <c r="L20" i="21"/>
  <c r="D25" i="21"/>
  <c r="C25" i="21"/>
  <c r="M12" i="21"/>
  <c r="L12" i="21"/>
  <c r="DP34" i="22"/>
  <c r="DO32" i="22"/>
  <c r="DP30" i="22"/>
  <c r="DO30" i="22"/>
  <c r="DP29" i="22"/>
  <c r="DO29" i="22"/>
  <c r="DP28" i="22"/>
  <c r="DO28" i="22"/>
  <c r="DP27" i="22"/>
  <c r="DO27" i="22"/>
  <c r="DP26" i="22"/>
  <c r="DO26" i="22"/>
  <c r="DP25" i="22"/>
  <c r="DO25" i="22"/>
  <c r="DP22" i="22"/>
  <c r="DO22" i="22"/>
  <c r="DP21" i="22"/>
  <c r="DO21" i="22"/>
  <c r="DP20" i="22"/>
  <c r="DO20" i="22"/>
  <c r="DP19" i="22"/>
  <c r="DO19" i="22"/>
  <c r="DP18" i="22"/>
  <c r="DO18" i="22"/>
  <c r="DP15" i="22"/>
  <c r="DO15" i="22"/>
  <c r="DP14" i="22"/>
  <c r="DO14" i="22"/>
  <c r="DP13" i="22"/>
  <c r="DO13" i="22"/>
  <c r="DR13" i="22" s="1"/>
  <c r="DP12" i="22"/>
  <c r="DO12" i="22"/>
  <c r="DP11" i="22"/>
  <c r="DO11" i="22"/>
  <c r="DP10" i="22"/>
  <c r="DO10" i="22"/>
  <c r="DP9" i="22"/>
  <c r="DO9" i="22"/>
  <c r="DP8" i="22"/>
  <c r="DO8" i="22"/>
  <c r="DP7" i="22"/>
  <c r="DO7" i="22"/>
  <c r="DP6" i="22"/>
  <c r="DO6" i="22"/>
  <c r="DP5" i="22"/>
  <c r="DO5" i="22"/>
  <c r="DP4" i="22"/>
  <c r="DO4" i="22"/>
  <c r="DP3" i="22"/>
  <c r="DO3" i="22"/>
  <c r="DR3" i="22" s="1"/>
  <c r="DR27" i="22"/>
  <c r="G3" i="22"/>
  <c r="H3" i="22"/>
  <c r="I3" i="22"/>
  <c r="J3" i="22"/>
  <c r="O3" i="22"/>
  <c r="T3" i="22" s="1"/>
  <c r="W3" i="22"/>
  <c r="X3" i="22"/>
  <c r="Y3" i="22"/>
  <c r="Z3" i="22"/>
  <c r="AE3" i="22"/>
  <c r="AM3" i="22"/>
  <c r="AN3" i="22"/>
  <c r="AO3" i="22"/>
  <c r="AP3" i="22"/>
  <c r="AU3" i="22"/>
  <c r="AZ3" i="22" s="1"/>
  <c r="BC3" i="22"/>
  <c r="BD3" i="22"/>
  <c r="BE3" i="22"/>
  <c r="BF3" i="22"/>
  <c r="BK3" i="22"/>
  <c r="BL3" i="22" s="1"/>
  <c r="BS3" i="22"/>
  <c r="BT3" i="22"/>
  <c r="BU3" i="22"/>
  <c r="BV3" i="22"/>
  <c r="CA3" i="22"/>
  <c r="CF3" i="22" s="1"/>
  <c r="CI3" i="22"/>
  <c r="CJ3" i="22"/>
  <c r="CK3" i="22"/>
  <c r="CL3" i="22"/>
  <c r="CQ3" i="22"/>
  <c r="CW3" i="22"/>
  <c r="CX3" i="22"/>
  <c r="G4" i="22"/>
  <c r="H4" i="22"/>
  <c r="I4" i="22"/>
  <c r="M4" i="22"/>
  <c r="J4" i="22" s="1"/>
  <c r="K4" i="22" s="1"/>
  <c r="O4" i="22"/>
  <c r="T4" i="22" s="1"/>
  <c r="W4" i="22"/>
  <c r="X4" i="22"/>
  <c r="Y4" i="22"/>
  <c r="AC4" i="22"/>
  <c r="Z4" i="22" s="1"/>
  <c r="AE4" i="22"/>
  <c r="AM4" i="22"/>
  <c r="AN4" i="22"/>
  <c r="AO4" i="22"/>
  <c r="AS4" i="22"/>
  <c r="AP4" i="22" s="1"/>
  <c r="AU4" i="22"/>
  <c r="BC4" i="22"/>
  <c r="BD4" i="22"/>
  <c r="BE4" i="22"/>
  <c r="BI4" i="22"/>
  <c r="BF4" i="22" s="1"/>
  <c r="BK4" i="22"/>
  <c r="BL4" i="22" s="1"/>
  <c r="BS4" i="22"/>
  <c r="BT4" i="22"/>
  <c r="BU4" i="22"/>
  <c r="BY4" i="22"/>
  <c r="BV4" i="22" s="1"/>
  <c r="CA4" i="22"/>
  <c r="CF4" i="22" s="1"/>
  <c r="CI4" i="22"/>
  <c r="CJ4" i="22"/>
  <c r="CK4" i="22"/>
  <c r="CO4" i="22"/>
  <c r="CL4" i="22" s="1"/>
  <c r="CQ4" i="22"/>
  <c r="CW4" i="22"/>
  <c r="CY4" i="22" s="1"/>
  <c r="CX4" i="22"/>
  <c r="G5" i="22"/>
  <c r="H5" i="22"/>
  <c r="I5" i="22"/>
  <c r="J5" i="22"/>
  <c r="O5" i="22"/>
  <c r="T5" i="22" s="1"/>
  <c r="W5" i="22"/>
  <c r="X5" i="22"/>
  <c r="Y5" i="22"/>
  <c r="Z5" i="22"/>
  <c r="AE5" i="22"/>
  <c r="AM5" i="22"/>
  <c r="AN5" i="22"/>
  <c r="AO5" i="22"/>
  <c r="AP5" i="22"/>
  <c r="AU5" i="22"/>
  <c r="AZ5" i="22" s="1"/>
  <c r="BC5" i="22"/>
  <c r="BD5" i="22"/>
  <c r="BE5" i="22"/>
  <c r="BF5" i="22"/>
  <c r="BK5" i="22"/>
  <c r="BL5" i="22" s="1"/>
  <c r="BS5" i="22"/>
  <c r="BT5" i="22"/>
  <c r="BU5" i="22"/>
  <c r="BV5" i="22"/>
  <c r="CA5" i="22"/>
  <c r="CF5" i="22" s="1"/>
  <c r="CI5" i="22"/>
  <c r="CJ5" i="22"/>
  <c r="CK5" i="22"/>
  <c r="CL5" i="22"/>
  <c r="CQ5" i="22"/>
  <c r="CW5" i="22"/>
  <c r="CY5" i="22" s="1"/>
  <c r="CX5" i="22"/>
  <c r="G6" i="22"/>
  <c r="H6" i="22"/>
  <c r="I6" i="22"/>
  <c r="J6" i="22"/>
  <c r="K6" i="22" s="1"/>
  <c r="O6" i="22"/>
  <c r="T6" i="22" s="1"/>
  <c r="W6" i="22"/>
  <c r="X6" i="22"/>
  <c r="Y6" i="22"/>
  <c r="AC6" i="22"/>
  <c r="Z6" i="22" s="1"/>
  <c r="AG6" i="22" s="1"/>
  <c r="AE6" i="22"/>
  <c r="AJ6" i="22" s="1"/>
  <c r="AM6" i="22"/>
  <c r="AN6" i="22"/>
  <c r="AO6" i="22"/>
  <c r="AS6" i="22"/>
  <c r="AP6" i="22" s="1"/>
  <c r="AU6" i="22"/>
  <c r="BC6" i="22"/>
  <c r="BD6" i="22"/>
  <c r="BE6" i="22"/>
  <c r="BI6" i="22"/>
  <c r="BF6" i="22" s="1"/>
  <c r="BK6" i="22"/>
  <c r="BL6" i="22" s="1"/>
  <c r="BS6" i="22"/>
  <c r="BT6" i="22"/>
  <c r="BU6" i="22"/>
  <c r="BY6" i="22"/>
  <c r="BV6" i="22" s="1"/>
  <c r="BW6" i="22" s="1"/>
  <c r="CA6" i="22"/>
  <c r="CF6" i="22" s="1"/>
  <c r="CI6" i="22"/>
  <c r="CJ6" i="22"/>
  <c r="CK6" i="22"/>
  <c r="CO6" i="22"/>
  <c r="CL6" i="22" s="1"/>
  <c r="CS6" i="22" s="1"/>
  <c r="CU6" i="22" s="1"/>
  <c r="CQ6" i="22"/>
  <c r="CW6" i="22"/>
  <c r="CY6" i="22" s="1"/>
  <c r="CX6" i="22"/>
  <c r="G7" i="22"/>
  <c r="H7" i="22"/>
  <c r="I7" i="22"/>
  <c r="M7" i="22"/>
  <c r="J7" i="22" s="1"/>
  <c r="Q7" i="22" s="1"/>
  <c r="O7" i="22"/>
  <c r="W7" i="22"/>
  <c r="X7" i="22"/>
  <c r="Y7" i="22"/>
  <c r="AC7" i="22"/>
  <c r="Z7" i="22" s="1"/>
  <c r="AE7" i="22"/>
  <c r="AM7" i="22"/>
  <c r="AN7" i="22"/>
  <c r="AO7" i="22"/>
  <c r="AS7" i="22"/>
  <c r="AP7" i="22" s="1"/>
  <c r="AU7" i="22"/>
  <c r="AV7" i="22" s="1"/>
  <c r="BC7" i="22"/>
  <c r="BD7" i="22"/>
  <c r="BE7" i="22"/>
  <c r="BI7" i="22"/>
  <c r="BF7" i="22" s="1"/>
  <c r="BG7" i="22" s="1"/>
  <c r="BK7" i="22"/>
  <c r="BS7" i="22"/>
  <c r="BT7" i="22"/>
  <c r="BU7" i="22"/>
  <c r="BY7" i="22"/>
  <c r="BV7" i="22" s="1"/>
  <c r="CC7" i="22" s="1"/>
  <c r="CE7" i="22" s="1"/>
  <c r="CA7" i="22"/>
  <c r="CB7" i="22" s="1"/>
  <c r="CI7" i="22"/>
  <c r="CJ7" i="22"/>
  <c r="CK7" i="22"/>
  <c r="CO7" i="22"/>
  <c r="CL7" i="22" s="1"/>
  <c r="CQ7" i="22"/>
  <c r="CW7" i="22"/>
  <c r="CX7" i="22"/>
  <c r="G8" i="22"/>
  <c r="H8" i="22"/>
  <c r="I8" i="22"/>
  <c r="M8" i="22"/>
  <c r="J8" i="22" s="1"/>
  <c r="O8" i="22"/>
  <c r="W8" i="22"/>
  <c r="X8" i="22"/>
  <c r="Y8" i="22"/>
  <c r="AC8" i="22"/>
  <c r="Z8" i="22" s="1"/>
  <c r="AE8" i="22"/>
  <c r="AF8" i="22" s="1"/>
  <c r="AM8" i="22"/>
  <c r="AN8" i="22"/>
  <c r="AO8" i="22"/>
  <c r="AS8" i="22"/>
  <c r="AP8" i="22" s="1"/>
  <c r="AU8" i="22"/>
  <c r="AZ8" i="22" s="1"/>
  <c r="BC8" i="22"/>
  <c r="BD8" i="22"/>
  <c r="BE8" i="22"/>
  <c r="BI8" i="22"/>
  <c r="BF8" i="22" s="1"/>
  <c r="BM8" i="22" s="1"/>
  <c r="BO8" i="22" s="1"/>
  <c r="BK8" i="22"/>
  <c r="BS8" i="22"/>
  <c r="BT8" i="22"/>
  <c r="BU8" i="22"/>
  <c r="BY8" i="22"/>
  <c r="BV8" i="22" s="1"/>
  <c r="CA8" i="22"/>
  <c r="CF8" i="22" s="1"/>
  <c r="CI8" i="22"/>
  <c r="CJ8" i="22"/>
  <c r="CK8" i="22"/>
  <c r="CO8" i="22"/>
  <c r="CL8" i="22" s="1"/>
  <c r="CQ8" i="22"/>
  <c r="CW8" i="22"/>
  <c r="CY8" i="22" s="1"/>
  <c r="CX8" i="22"/>
  <c r="G9" i="22"/>
  <c r="H9" i="22"/>
  <c r="I9" i="22"/>
  <c r="M9" i="22"/>
  <c r="J9" i="22" s="1"/>
  <c r="K9" i="22" s="1"/>
  <c r="R9" i="22" s="1"/>
  <c r="O9" i="22"/>
  <c r="W9" i="22"/>
  <c r="X9" i="22"/>
  <c r="AC9" i="22"/>
  <c r="Z9" i="22" s="1"/>
  <c r="AE9" i="22"/>
  <c r="AM9" i="22"/>
  <c r="AN9" i="22"/>
  <c r="AO9" i="22"/>
  <c r="AS9" i="22"/>
  <c r="AP9" i="22" s="1"/>
  <c r="AU9" i="22"/>
  <c r="AV9" i="22" s="1"/>
  <c r="BC9" i="22"/>
  <c r="BD9" i="22"/>
  <c r="BE9" i="22"/>
  <c r="BI9" i="22"/>
  <c r="BF9" i="22" s="1"/>
  <c r="BK9" i="22"/>
  <c r="BS9" i="22"/>
  <c r="BT9" i="22"/>
  <c r="BU9" i="22"/>
  <c r="BY9" i="22"/>
  <c r="BV9" i="22" s="1"/>
  <c r="CC9" i="22" s="1"/>
  <c r="CE9" i="22" s="1"/>
  <c r="CA9" i="22"/>
  <c r="CI9" i="22"/>
  <c r="CJ9" i="22"/>
  <c r="CK9" i="22"/>
  <c r="CO9" i="22"/>
  <c r="CL9" i="22" s="1"/>
  <c r="CQ9" i="22"/>
  <c r="CW9" i="22"/>
  <c r="CX9" i="22"/>
  <c r="G10" i="22"/>
  <c r="H10" i="22"/>
  <c r="I10" i="22"/>
  <c r="J10" i="22"/>
  <c r="O10" i="22"/>
  <c r="T10" i="22" s="1"/>
  <c r="W10" i="22"/>
  <c r="X10" i="22"/>
  <c r="Y10" i="22"/>
  <c r="Z10" i="22"/>
  <c r="AE10" i="22"/>
  <c r="AF10" i="22" s="1"/>
  <c r="AM10" i="22"/>
  <c r="AN10" i="22"/>
  <c r="AO10" i="22"/>
  <c r="AP10" i="22"/>
  <c r="AU10" i="22"/>
  <c r="AV10" i="22" s="1"/>
  <c r="BC10" i="22"/>
  <c r="BD10" i="22"/>
  <c r="BE10" i="22"/>
  <c r="BF10" i="22"/>
  <c r="BK10" i="22"/>
  <c r="BS10" i="22"/>
  <c r="BT10" i="22"/>
  <c r="BU10" i="22"/>
  <c r="BV10" i="22"/>
  <c r="CA10" i="22"/>
  <c r="CB10" i="22" s="1"/>
  <c r="CI10" i="22"/>
  <c r="CJ10" i="22"/>
  <c r="CK10" i="22"/>
  <c r="CL10" i="22"/>
  <c r="CQ10" i="22"/>
  <c r="CV10" i="22" s="1"/>
  <c r="CW10" i="22"/>
  <c r="CX10" i="22"/>
  <c r="G11" i="22"/>
  <c r="H11" i="22"/>
  <c r="I11" i="22"/>
  <c r="M11" i="22"/>
  <c r="J11" i="22" s="1"/>
  <c r="O11" i="22"/>
  <c r="P11" i="22" s="1"/>
  <c r="W11" i="22"/>
  <c r="X11" i="22"/>
  <c r="Y11" i="22"/>
  <c r="AC11" i="22"/>
  <c r="Z11" i="22" s="1"/>
  <c r="AE11" i="22"/>
  <c r="AM11" i="22"/>
  <c r="AN11" i="22"/>
  <c r="AO11" i="22"/>
  <c r="AP11" i="22"/>
  <c r="AQ11" i="22" s="1"/>
  <c r="AU11" i="22"/>
  <c r="BC11" i="22"/>
  <c r="BD11" i="22"/>
  <c r="BE11" i="22"/>
  <c r="BF11" i="22"/>
  <c r="BG11" i="22" s="1"/>
  <c r="BK11" i="22"/>
  <c r="BS11" i="22"/>
  <c r="BT11" i="22"/>
  <c r="BU11" i="22"/>
  <c r="BV11" i="22"/>
  <c r="BW11" i="22" s="1"/>
  <c r="CA11" i="22"/>
  <c r="CI11" i="22"/>
  <c r="CJ11" i="22"/>
  <c r="CK11" i="22"/>
  <c r="CL11" i="22"/>
  <c r="CM11" i="22" s="1"/>
  <c r="CQ11" i="22"/>
  <c r="CW11" i="22"/>
  <c r="CX11" i="22"/>
  <c r="G12" i="22"/>
  <c r="H12" i="22"/>
  <c r="I12" i="22"/>
  <c r="J12" i="22"/>
  <c r="O12" i="22"/>
  <c r="T12" i="22" s="1"/>
  <c r="W12" i="22"/>
  <c r="X12" i="22"/>
  <c r="Y12" i="22"/>
  <c r="Z12" i="22"/>
  <c r="AE12" i="22"/>
  <c r="AF12" i="22" s="1"/>
  <c r="AM12" i="22"/>
  <c r="AN12" i="22"/>
  <c r="AO12" i="22"/>
  <c r="AP12" i="22"/>
  <c r="AU12" i="22"/>
  <c r="AZ12" i="22" s="1"/>
  <c r="BC12" i="22"/>
  <c r="BD12" i="22"/>
  <c r="BE12" i="22"/>
  <c r="BF12" i="22"/>
  <c r="BK12" i="22"/>
  <c r="BL12" i="22" s="1"/>
  <c r="BS12" i="22"/>
  <c r="BT12" i="22"/>
  <c r="BU12" i="22"/>
  <c r="BV12" i="22"/>
  <c r="CA12" i="22"/>
  <c r="CF12" i="22" s="1"/>
  <c r="CI12" i="22"/>
  <c r="CJ12" i="22"/>
  <c r="CK12" i="22"/>
  <c r="CL12" i="22"/>
  <c r="CQ12" i="22"/>
  <c r="CW12" i="22"/>
  <c r="CX12" i="22"/>
  <c r="G13" i="22"/>
  <c r="H13" i="22"/>
  <c r="I13" i="22"/>
  <c r="J13" i="22"/>
  <c r="K13" i="22" s="1"/>
  <c r="O13" i="22"/>
  <c r="T13" i="22" s="1"/>
  <c r="W13" i="22"/>
  <c r="X13" i="22"/>
  <c r="Y13" i="22"/>
  <c r="Z13" i="22"/>
  <c r="AE13" i="22"/>
  <c r="AF13" i="22" s="1"/>
  <c r="AM13" i="22"/>
  <c r="AN13" i="22"/>
  <c r="AO13" i="22"/>
  <c r="AS13" i="22"/>
  <c r="AP13" i="22" s="1"/>
  <c r="AU13" i="22"/>
  <c r="AV13" i="22" s="1"/>
  <c r="BC13" i="22"/>
  <c r="BD13" i="22"/>
  <c r="BE13" i="22"/>
  <c r="BI13" i="22"/>
  <c r="BF13" i="22" s="1"/>
  <c r="BK13" i="22"/>
  <c r="BS13" i="22"/>
  <c r="BT13" i="22"/>
  <c r="BU13" i="22"/>
  <c r="BV13" i="22"/>
  <c r="CA13" i="22"/>
  <c r="CF13" i="22" s="1"/>
  <c r="CI13" i="22"/>
  <c r="CJ13" i="22"/>
  <c r="CK13" i="22"/>
  <c r="CL13" i="22"/>
  <c r="CQ13" i="22"/>
  <c r="CW13" i="22"/>
  <c r="CX13" i="22"/>
  <c r="G14" i="22"/>
  <c r="H14" i="22"/>
  <c r="I14" i="22"/>
  <c r="J14" i="22"/>
  <c r="Q14" i="22" s="1"/>
  <c r="O14" i="22"/>
  <c r="W14" i="22"/>
  <c r="X14" i="22"/>
  <c r="Y14" i="22"/>
  <c r="Z14" i="22"/>
  <c r="AG14" i="22" s="1"/>
  <c r="AI14" i="22" s="1"/>
  <c r="AE14" i="22"/>
  <c r="AM14" i="22"/>
  <c r="AN14" i="22"/>
  <c r="AO14" i="22"/>
  <c r="AP14" i="22"/>
  <c r="AQ14" i="22" s="1"/>
  <c r="AU14" i="22"/>
  <c r="BC14" i="22"/>
  <c r="BD14" i="22"/>
  <c r="BE14" i="22"/>
  <c r="BF14" i="22"/>
  <c r="BG14" i="22" s="1"/>
  <c r="BK14" i="22"/>
  <c r="BS14" i="22"/>
  <c r="BT14" i="22"/>
  <c r="BU14" i="22"/>
  <c r="BV14" i="22"/>
  <c r="BW14" i="22" s="1"/>
  <c r="CA14" i="22"/>
  <c r="CI14" i="22"/>
  <c r="CJ14" i="22"/>
  <c r="CK14" i="22"/>
  <c r="CL14" i="22"/>
  <c r="CM14" i="22" s="1"/>
  <c r="CT14" i="22" s="1"/>
  <c r="CQ14" i="22"/>
  <c r="CW14" i="22"/>
  <c r="CX14" i="22"/>
  <c r="G15" i="22"/>
  <c r="H15" i="22"/>
  <c r="I15" i="22"/>
  <c r="J15" i="22"/>
  <c r="O15" i="22"/>
  <c r="T15" i="22" s="1"/>
  <c r="W15" i="22"/>
  <c r="X15" i="22"/>
  <c r="Y15" i="22"/>
  <c r="Z15" i="22"/>
  <c r="AE15" i="22"/>
  <c r="AJ15" i="22" s="1"/>
  <c r="AM15" i="22"/>
  <c r="AN15" i="22"/>
  <c r="AO15" i="22"/>
  <c r="AP15" i="22"/>
  <c r="AU15" i="22"/>
  <c r="BC15" i="22"/>
  <c r="BD15" i="22"/>
  <c r="BE15" i="22"/>
  <c r="BF15" i="22"/>
  <c r="BK15" i="22"/>
  <c r="BP15" i="22" s="1"/>
  <c r="BS15" i="22"/>
  <c r="BT15" i="22"/>
  <c r="BU15" i="22"/>
  <c r="BV15" i="22"/>
  <c r="CA15" i="22"/>
  <c r="CI15" i="22"/>
  <c r="CJ15" i="22"/>
  <c r="CK15" i="22"/>
  <c r="CL15" i="22"/>
  <c r="CQ15" i="22"/>
  <c r="CR15" i="22" s="1"/>
  <c r="CW15" i="22"/>
  <c r="CX15" i="22"/>
  <c r="F16" i="22"/>
  <c r="F23" i="22" s="1"/>
  <c r="V16" i="22"/>
  <c r="V23" i="22" s="1"/>
  <c r="AL16" i="22"/>
  <c r="AL23" i="22" s="1"/>
  <c r="BB16" i="22"/>
  <c r="BB23" i="22" s="1"/>
  <c r="BR16" i="22"/>
  <c r="BR23" i="22" s="1"/>
  <c r="CH16" i="22"/>
  <c r="CH23" i="22" s="1"/>
  <c r="G18" i="22"/>
  <c r="H18" i="22"/>
  <c r="I18" i="22"/>
  <c r="M18" i="22"/>
  <c r="J18" i="22" s="1"/>
  <c r="O18" i="22"/>
  <c r="P18" i="22" s="1"/>
  <c r="W18" i="22"/>
  <c r="X18" i="22"/>
  <c r="Y18" i="22"/>
  <c r="AC18" i="22"/>
  <c r="Z18" i="22" s="1"/>
  <c r="AE18" i="22"/>
  <c r="AJ18" i="22" s="1"/>
  <c r="AM18" i="22"/>
  <c r="AN18" i="22"/>
  <c r="AO18" i="22"/>
  <c r="AP18" i="22"/>
  <c r="AU18" i="22"/>
  <c r="AZ18" i="22" s="1"/>
  <c r="BC18" i="22"/>
  <c r="BD18" i="22"/>
  <c r="BE18" i="22"/>
  <c r="BF18" i="22"/>
  <c r="BK18" i="22"/>
  <c r="BS18" i="22"/>
  <c r="BT18" i="22"/>
  <c r="BU18" i="22"/>
  <c r="BV18" i="22"/>
  <c r="CA18" i="22"/>
  <c r="CF18" i="22" s="1"/>
  <c r="CI18" i="22"/>
  <c r="CJ18" i="22"/>
  <c r="CK18" i="22"/>
  <c r="CL18" i="22"/>
  <c r="CQ18" i="22"/>
  <c r="CW18" i="22"/>
  <c r="CX18" i="22"/>
  <c r="G19" i="22"/>
  <c r="H19" i="22"/>
  <c r="I19" i="22"/>
  <c r="J19" i="22"/>
  <c r="M19" i="22"/>
  <c r="O19" i="22"/>
  <c r="T19" i="22" s="1"/>
  <c r="W19" i="22"/>
  <c r="X19" i="22"/>
  <c r="Y19" i="22"/>
  <c r="AC19" i="22"/>
  <c r="Z19" i="22" s="1"/>
  <c r="AE19" i="22"/>
  <c r="AM19" i="22"/>
  <c r="AN19" i="22"/>
  <c r="AO19" i="22"/>
  <c r="AP19" i="22"/>
  <c r="AQ19" i="22" s="1"/>
  <c r="AU19" i="22"/>
  <c r="BC19" i="22"/>
  <c r="BD19" i="22"/>
  <c r="BE19" i="22"/>
  <c r="BF19" i="22"/>
  <c r="BG19" i="22" s="1"/>
  <c r="BK19" i="22"/>
  <c r="BS19" i="22"/>
  <c r="BT19" i="22"/>
  <c r="BU19" i="22"/>
  <c r="BV19" i="22"/>
  <c r="BW19" i="22" s="1"/>
  <c r="CA19" i="22"/>
  <c r="CI19" i="22"/>
  <c r="CJ19" i="22"/>
  <c r="CK19" i="22"/>
  <c r="CL19" i="22"/>
  <c r="CM19" i="22" s="1"/>
  <c r="CQ19" i="22"/>
  <c r="CW19" i="22"/>
  <c r="CX19" i="22"/>
  <c r="G20" i="22"/>
  <c r="H20" i="22"/>
  <c r="I20" i="22"/>
  <c r="M20" i="22"/>
  <c r="J20" i="22" s="1"/>
  <c r="O20" i="22"/>
  <c r="W20" i="22"/>
  <c r="X20" i="22"/>
  <c r="Y20" i="22"/>
  <c r="AC20" i="22"/>
  <c r="Z20" i="22" s="1"/>
  <c r="AE20" i="22"/>
  <c r="AF20" i="22" s="1"/>
  <c r="AM20" i="22"/>
  <c r="AN20" i="22"/>
  <c r="AO20" i="22"/>
  <c r="AS20" i="22"/>
  <c r="AP20" i="22" s="1"/>
  <c r="AQ20" i="22" s="1"/>
  <c r="AU20" i="22"/>
  <c r="BC20" i="22"/>
  <c r="BD20" i="22"/>
  <c r="BE20" i="22"/>
  <c r="BI20" i="22"/>
  <c r="BF20" i="22" s="1"/>
  <c r="BK20" i="22"/>
  <c r="BL20" i="22" s="1"/>
  <c r="BS20" i="22"/>
  <c r="BT20" i="22"/>
  <c r="BU20" i="22"/>
  <c r="BY20" i="22"/>
  <c r="BV20" i="22" s="1"/>
  <c r="CA20" i="22"/>
  <c r="CI20" i="22"/>
  <c r="CJ20" i="22"/>
  <c r="CK20" i="22"/>
  <c r="CL20" i="22"/>
  <c r="CM20" i="22" s="1"/>
  <c r="CQ20" i="22"/>
  <c r="CW20" i="22"/>
  <c r="CX20" i="22"/>
  <c r="G21" i="22"/>
  <c r="H21" i="22"/>
  <c r="I21" i="22"/>
  <c r="M21" i="22"/>
  <c r="J21" i="22" s="1"/>
  <c r="O21" i="22"/>
  <c r="W21" i="22"/>
  <c r="X21" i="22"/>
  <c r="Y21" i="22"/>
  <c r="AC21" i="22"/>
  <c r="Z21" i="22" s="1"/>
  <c r="AE21" i="22"/>
  <c r="AF21" i="22" s="1"/>
  <c r="AM21" i="22"/>
  <c r="AN21" i="22"/>
  <c r="AO21" i="22"/>
  <c r="AS21" i="22"/>
  <c r="AP21" i="22" s="1"/>
  <c r="AQ21" i="22" s="1"/>
  <c r="AU21" i="22"/>
  <c r="AZ21" i="22" s="1"/>
  <c r="BC21" i="22"/>
  <c r="BD21" i="22"/>
  <c r="BE21" i="22"/>
  <c r="BI21" i="22"/>
  <c r="BF21" i="22" s="1"/>
  <c r="BM21" i="22" s="1"/>
  <c r="BO21" i="22" s="1"/>
  <c r="BK21" i="22"/>
  <c r="BS21" i="22"/>
  <c r="BT21" i="22"/>
  <c r="BU21" i="22"/>
  <c r="BY21" i="22"/>
  <c r="BV21" i="22" s="1"/>
  <c r="CA21" i="22"/>
  <c r="CI21" i="22"/>
  <c r="CJ21" i="22"/>
  <c r="CK21" i="22"/>
  <c r="CL21" i="22"/>
  <c r="CM21" i="22" s="1"/>
  <c r="CP21" i="22" s="1"/>
  <c r="CQ21" i="22"/>
  <c r="CW21" i="22"/>
  <c r="CX21" i="22"/>
  <c r="G22" i="22"/>
  <c r="H22" i="22"/>
  <c r="I22" i="22"/>
  <c r="M22" i="22"/>
  <c r="J22" i="22" s="1"/>
  <c r="O22" i="22"/>
  <c r="W22" i="22"/>
  <c r="X22" i="22"/>
  <c r="Y22" i="22"/>
  <c r="AC22" i="22"/>
  <c r="Z22" i="22" s="1"/>
  <c r="AE22" i="22"/>
  <c r="AF22" i="22" s="1"/>
  <c r="AM22" i="22"/>
  <c r="AN22" i="22"/>
  <c r="AO22" i="22"/>
  <c r="AS22" i="22"/>
  <c r="AP22" i="22" s="1"/>
  <c r="AU22" i="22"/>
  <c r="AZ22" i="22" s="1"/>
  <c r="BC22" i="22"/>
  <c r="BD22" i="22"/>
  <c r="BE22" i="22"/>
  <c r="BI22" i="22"/>
  <c r="BF22" i="22" s="1"/>
  <c r="BM22" i="22" s="1"/>
  <c r="BO22" i="22" s="1"/>
  <c r="BK22" i="22"/>
  <c r="BS22" i="22"/>
  <c r="BT22" i="22"/>
  <c r="BU22" i="22"/>
  <c r="BY22" i="22"/>
  <c r="BV22" i="22" s="1"/>
  <c r="CA22" i="22"/>
  <c r="CI22" i="22"/>
  <c r="CJ22" i="22"/>
  <c r="CK22" i="22"/>
  <c r="CL22" i="22"/>
  <c r="CM22" i="22" s="1"/>
  <c r="CQ22" i="22"/>
  <c r="CW22" i="22"/>
  <c r="CX22" i="22"/>
  <c r="C23" i="22"/>
  <c r="G25" i="22"/>
  <c r="H25" i="22"/>
  <c r="I25" i="22"/>
  <c r="J25" i="22"/>
  <c r="O25" i="22"/>
  <c r="T25" i="22" s="1"/>
  <c r="W25" i="22"/>
  <c r="X25" i="22"/>
  <c r="Y25" i="22"/>
  <c r="Z25" i="22"/>
  <c r="AE25" i="22"/>
  <c r="AF25" i="22" s="1"/>
  <c r="AM25" i="22"/>
  <c r="AN25" i="22"/>
  <c r="AO25" i="22"/>
  <c r="AP25" i="22"/>
  <c r="AU25" i="22"/>
  <c r="AV25" i="22" s="1"/>
  <c r="BC25" i="22"/>
  <c r="BD25" i="22"/>
  <c r="BE25" i="22"/>
  <c r="BF25" i="22"/>
  <c r="BG25" i="22" s="1"/>
  <c r="BK25" i="22"/>
  <c r="BL25" i="22" s="1"/>
  <c r="BS25" i="22"/>
  <c r="BT25" i="22"/>
  <c r="BU25" i="22"/>
  <c r="BV25" i="22"/>
  <c r="BW25" i="22" s="1"/>
  <c r="CD25" i="22" s="1"/>
  <c r="CA25" i="22"/>
  <c r="CB25" i="22" s="1"/>
  <c r="CI25" i="22"/>
  <c r="CJ25" i="22"/>
  <c r="CK25" i="22"/>
  <c r="CL25" i="22"/>
  <c r="CS25" i="22" s="1"/>
  <c r="CU25" i="22" s="1"/>
  <c r="CQ25" i="22"/>
  <c r="CR25" i="22" s="1"/>
  <c r="CW25" i="22"/>
  <c r="CX25" i="22"/>
  <c r="G26" i="22"/>
  <c r="H26" i="22"/>
  <c r="I26" i="22"/>
  <c r="J26" i="22"/>
  <c r="K26" i="22" s="1"/>
  <c r="O26" i="22"/>
  <c r="W26" i="22"/>
  <c r="X26" i="22"/>
  <c r="Y26" i="22"/>
  <c r="Z26" i="22"/>
  <c r="AA26" i="22" s="1"/>
  <c r="AE26" i="22"/>
  <c r="AM26" i="22"/>
  <c r="AN26" i="22"/>
  <c r="AO26" i="22"/>
  <c r="AP26" i="22"/>
  <c r="AQ26" i="22" s="1"/>
  <c r="AU26" i="22"/>
  <c r="BC26" i="22"/>
  <c r="BD26" i="22"/>
  <c r="BE26" i="22"/>
  <c r="BF26" i="22"/>
  <c r="BG26" i="22" s="1"/>
  <c r="BK26" i="22"/>
  <c r="BS26" i="22"/>
  <c r="BT26" i="22"/>
  <c r="BU26" i="22"/>
  <c r="BV26" i="22"/>
  <c r="BW26" i="22" s="1"/>
  <c r="CA26" i="22"/>
  <c r="CI26" i="22"/>
  <c r="CJ26" i="22"/>
  <c r="CK26" i="22"/>
  <c r="CL26" i="22"/>
  <c r="CM26" i="22" s="1"/>
  <c r="CQ26" i="22"/>
  <c r="CW26" i="22"/>
  <c r="CX26" i="22"/>
  <c r="G27" i="22"/>
  <c r="H27" i="22"/>
  <c r="I27" i="22"/>
  <c r="J27" i="22"/>
  <c r="O27" i="22"/>
  <c r="P27" i="22" s="1"/>
  <c r="W27" i="22"/>
  <c r="X27" i="22"/>
  <c r="Y27" i="22"/>
  <c r="Z27" i="22"/>
  <c r="AE27" i="22"/>
  <c r="AF27" i="22" s="1"/>
  <c r="AM27" i="22"/>
  <c r="AN27" i="22"/>
  <c r="AO27" i="22"/>
  <c r="AP27" i="22"/>
  <c r="AU27" i="22"/>
  <c r="AV27" i="22" s="1"/>
  <c r="BC27" i="22"/>
  <c r="BD27" i="22"/>
  <c r="BE27" i="22"/>
  <c r="BF27" i="22"/>
  <c r="BK27" i="22"/>
  <c r="BL27" i="22" s="1"/>
  <c r="BS27" i="22"/>
  <c r="BT27" i="22"/>
  <c r="BU27" i="22"/>
  <c r="BV27" i="22"/>
  <c r="CA27" i="22"/>
  <c r="CF27" i="22" s="1"/>
  <c r="CI27" i="22"/>
  <c r="CJ27" i="22"/>
  <c r="CK27" i="22"/>
  <c r="CL27" i="22"/>
  <c r="CQ27" i="22"/>
  <c r="CR27" i="22" s="1"/>
  <c r="CW27" i="22"/>
  <c r="CX27" i="22"/>
  <c r="G28" i="22"/>
  <c r="H28" i="22"/>
  <c r="I28" i="22"/>
  <c r="M28" i="22"/>
  <c r="J28" i="22" s="1"/>
  <c r="O28" i="22"/>
  <c r="T28" i="22" s="1"/>
  <c r="W28" i="22"/>
  <c r="X28" i="22"/>
  <c r="Y28" i="22"/>
  <c r="AC28" i="22"/>
  <c r="Z28" i="22" s="1"/>
  <c r="AE28" i="22"/>
  <c r="AM28" i="22"/>
  <c r="AN28" i="22"/>
  <c r="AO28" i="22"/>
  <c r="AS28" i="22"/>
  <c r="AP28" i="22" s="1"/>
  <c r="AU28" i="22"/>
  <c r="AV28" i="22" s="1"/>
  <c r="BC28" i="22"/>
  <c r="BD28" i="22"/>
  <c r="BE28" i="22"/>
  <c r="BI28" i="22"/>
  <c r="BF28" i="22" s="1"/>
  <c r="BG28" i="22" s="1"/>
  <c r="BK28" i="22"/>
  <c r="BL28" i="22" s="1"/>
  <c r="BS28" i="22"/>
  <c r="BT28" i="22"/>
  <c r="BU28" i="22"/>
  <c r="BY28" i="22"/>
  <c r="BV28" i="22" s="1"/>
  <c r="CA28" i="22"/>
  <c r="CB28" i="22" s="1"/>
  <c r="CI28" i="22"/>
  <c r="CJ28" i="22"/>
  <c r="CK28" i="22"/>
  <c r="CL28" i="22"/>
  <c r="CQ28" i="22"/>
  <c r="CV28" i="22" s="1"/>
  <c r="CW28" i="22"/>
  <c r="CX28" i="22"/>
  <c r="G29" i="22"/>
  <c r="H29" i="22"/>
  <c r="I29" i="22"/>
  <c r="J29" i="22"/>
  <c r="K29" i="22" s="1"/>
  <c r="O29" i="22"/>
  <c r="T29" i="22" s="1"/>
  <c r="W29" i="22"/>
  <c r="X29" i="22"/>
  <c r="Y29" i="22"/>
  <c r="Z29" i="22"/>
  <c r="AA29" i="22" s="1"/>
  <c r="AE29" i="22"/>
  <c r="AM29" i="22"/>
  <c r="AN29" i="22"/>
  <c r="AO29" i="22"/>
  <c r="AP29" i="22"/>
  <c r="AQ29" i="22" s="1"/>
  <c r="AU29" i="22"/>
  <c r="AZ29" i="22" s="1"/>
  <c r="BC29" i="22"/>
  <c r="BD29" i="22"/>
  <c r="BE29" i="22"/>
  <c r="BF29" i="22"/>
  <c r="BG29" i="22" s="1"/>
  <c r="BK29" i="22"/>
  <c r="BS29" i="22"/>
  <c r="BT29" i="22"/>
  <c r="BU29" i="22"/>
  <c r="BV29" i="22"/>
  <c r="CC29" i="22" s="1"/>
  <c r="CE29" i="22" s="1"/>
  <c r="CA29" i="22"/>
  <c r="CB29" i="22" s="1"/>
  <c r="CI29" i="22"/>
  <c r="CJ29" i="22"/>
  <c r="CK29" i="22"/>
  <c r="CL29" i="22"/>
  <c r="CQ29" i="22"/>
  <c r="CW29" i="22"/>
  <c r="CX29" i="22"/>
  <c r="G30" i="22"/>
  <c r="H30" i="22"/>
  <c r="I30" i="22"/>
  <c r="M30" i="22"/>
  <c r="J30" i="22" s="1"/>
  <c r="Q30" i="22" s="1"/>
  <c r="S30" i="22" s="1"/>
  <c r="O30" i="22"/>
  <c r="W30" i="22"/>
  <c r="X30" i="22"/>
  <c r="Y30" i="22"/>
  <c r="AC30" i="22"/>
  <c r="Z30" i="22" s="1"/>
  <c r="AG30" i="22" s="1"/>
  <c r="AI30" i="22" s="1"/>
  <c r="AE30" i="22"/>
  <c r="AF30" i="22" s="1"/>
  <c r="AM30" i="22"/>
  <c r="AN30" i="22"/>
  <c r="AO30" i="22"/>
  <c r="AS30" i="22"/>
  <c r="AP30" i="22" s="1"/>
  <c r="AU30" i="22"/>
  <c r="BC30" i="22"/>
  <c r="BD30" i="22"/>
  <c r="BE30" i="22"/>
  <c r="BI30" i="22"/>
  <c r="BF30" i="22" s="1"/>
  <c r="BG30" i="22" s="1"/>
  <c r="BK30" i="22"/>
  <c r="BL30" i="22" s="1"/>
  <c r="BS30" i="22"/>
  <c r="BT30" i="22"/>
  <c r="BU30" i="22"/>
  <c r="BY30" i="22"/>
  <c r="BV30" i="22" s="1"/>
  <c r="CA30" i="22"/>
  <c r="CF30" i="22" s="1"/>
  <c r="CI30" i="22"/>
  <c r="CJ30" i="22"/>
  <c r="CK30" i="22"/>
  <c r="CL30" i="22"/>
  <c r="CM30" i="22" s="1"/>
  <c r="CQ30" i="22"/>
  <c r="CW30" i="22"/>
  <c r="CX30" i="22"/>
  <c r="C31" i="22"/>
  <c r="F31" i="22"/>
  <c r="V31" i="22"/>
  <c r="AL31" i="22"/>
  <c r="BB31" i="22"/>
  <c r="BR31" i="22"/>
  <c r="CH31" i="22"/>
  <c r="CW32" i="22"/>
  <c r="BA35" i="22" s="1"/>
  <c r="I34" i="22"/>
  <c r="Y34" i="22"/>
  <c r="AO34" i="22"/>
  <c r="BE34" i="22"/>
  <c r="BU34" i="22"/>
  <c r="CK34" i="22"/>
  <c r="CX34" i="22"/>
  <c r="CX40" i="22"/>
  <c r="H104" i="24" l="1"/>
  <c r="AZ27" i="22"/>
  <c r="CY18" i="22"/>
  <c r="O22" i="21"/>
  <c r="H7" i="25" s="1"/>
  <c r="P29" i="22"/>
  <c r="CR28" i="22"/>
  <c r="AV21" i="22"/>
  <c r="BP20" i="22"/>
  <c r="P19" i="22"/>
  <c r="AV18" i="22"/>
  <c r="E35" i="22"/>
  <c r="AV29" i="22"/>
  <c r="E144" i="26"/>
  <c r="CB27" i="22"/>
  <c r="AI9" i="26"/>
  <c r="AN9" i="26" s="1"/>
  <c r="CW35" i="22"/>
  <c r="Q29" i="22"/>
  <c r="CG35" i="22"/>
  <c r="U35" i="22"/>
  <c r="P25" i="22"/>
  <c r="CB18" i="22"/>
  <c r="CP14" i="22"/>
  <c r="H109" i="26"/>
  <c r="H8" i="26" s="1"/>
  <c r="D109" i="26"/>
  <c r="D111" i="26" s="1"/>
  <c r="Y8" i="26"/>
  <c r="W12" i="26"/>
  <c r="C104" i="26"/>
  <c r="AF7" i="26" s="1"/>
  <c r="B7" i="26"/>
  <c r="N9" i="26"/>
  <c r="K9" i="26"/>
  <c r="D143" i="26"/>
  <c r="E91" i="26"/>
  <c r="AJ14" i="26"/>
  <c r="K19" i="26"/>
  <c r="N19" i="26"/>
  <c r="G104" i="26"/>
  <c r="E7" i="26"/>
  <c r="H7" i="26"/>
  <c r="E8" i="26"/>
  <c r="C109" i="26"/>
  <c r="AF8" i="26" s="1"/>
  <c r="B8" i="26"/>
  <c r="AJ19" i="26"/>
  <c r="AI19" i="26"/>
  <c r="D142" i="26"/>
  <c r="G91" i="26"/>
  <c r="AL14" i="26"/>
  <c r="AQ14" i="26" s="1"/>
  <c r="AK14" i="26"/>
  <c r="AP14" i="26" s="1"/>
  <c r="G89" i="24"/>
  <c r="E89" i="24"/>
  <c r="D138" i="24"/>
  <c r="G142" i="24"/>
  <c r="G143" i="24"/>
  <c r="E138" i="24"/>
  <c r="AI11" i="24"/>
  <c r="AN11" i="24" s="1"/>
  <c r="D98" i="24"/>
  <c r="AI10" i="24"/>
  <c r="AN10" i="24" s="1"/>
  <c r="AI18" i="24"/>
  <c r="AJ18" i="24"/>
  <c r="D104" i="24"/>
  <c r="AK81" i="24"/>
  <c r="AK83" i="24" s="1"/>
  <c r="AP83" i="24" s="1"/>
  <c r="AJ61" i="24"/>
  <c r="AJ81" i="24"/>
  <c r="AK61" i="24"/>
  <c r="AK63" i="24" s="1"/>
  <c r="AP63" i="24" s="1"/>
  <c r="K11" i="24"/>
  <c r="N11" i="24"/>
  <c r="Y7" i="24"/>
  <c r="AJ15" i="24"/>
  <c r="G104" i="24"/>
  <c r="E7" i="24"/>
  <c r="H7" i="24"/>
  <c r="N18" i="24"/>
  <c r="K18" i="24"/>
  <c r="B86" i="24"/>
  <c r="W9" i="24"/>
  <c r="Y9" i="24" s="1"/>
  <c r="AA9" i="24" s="1"/>
  <c r="H119" i="24"/>
  <c r="AK15" i="24"/>
  <c r="AP15" i="24" s="1"/>
  <c r="AL15" i="24"/>
  <c r="AQ15" i="24" s="1"/>
  <c r="Y145" i="24"/>
  <c r="K10" i="24"/>
  <c r="R10" i="24" s="1"/>
  <c r="N10" i="24"/>
  <c r="L22" i="21"/>
  <c r="H6" i="25" s="1"/>
  <c r="CB8" i="22"/>
  <c r="CZ18" i="22"/>
  <c r="BQ35" i="22"/>
  <c r="CZ27" i="22"/>
  <c r="AK35" i="22"/>
  <c r="BR32" i="22"/>
  <c r="BR33" i="22" s="1"/>
  <c r="BU33" i="22" s="1"/>
  <c r="F32" i="22"/>
  <c r="F33" i="22" s="1"/>
  <c r="I33" i="22" s="1"/>
  <c r="AJ30" i="22"/>
  <c r="DA29" i="22"/>
  <c r="BW29" i="22"/>
  <c r="BZ29" i="22" s="1"/>
  <c r="CY27" i="22"/>
  <c r="CY22" i="22"/>
  <c r="M22" i="21"/>
  <c r="K6" i="25" s="1"/>
  <c r="BM25" i="22"/>
  <c r="BO25" i="22" s="1"/>
  <c r="BP28" i="22"/>
  <c r="DQ8" i="22"/>
  <c r="DA34" i="22"/>
  <c r="AA30" i="22"/>
  <c r="AH30" i="22" s="1"/>
  <c r="AW29" i="22"/>
  <c r="AY29" i="22" s="1"/>
  <c r="CF28" i="22"/>
  <c r="P28" i="22"/>
  <c r="CM25" i="22"/>
  <c r="CP25" i="22" s="1"/>
  <c r="CT21" i="22"/>
  <c r="AL32" i="22"/>
  <c r="AL33" i="22" s="1"/>
  <c r="AO33" i="22" s="1"/>
  <c r="CB12" i="22"/>
  <c r="AJ13" i="22"/>
  <c r="P4" i="22"/>
  <c r="AJ10" i="22"/>
  <c r="CM6" i="22"/>
  <c r="CP6" i="22" s="1"/>
  <c r="AA14" i="22"/>
  <c r="AH14" i="22" s="1"/>
  <c r="Q13" i="22"/>
  <c r="S13" i="22" s="1"/>
  <c r="CB4" i="22"/>
  <c r="CY3" i="22"/>
  <c r="BP3" i="22"/>
  <c r="P12" i="22"/>
  <c r="CB6" i="22"/>
  <c r="AF6" i="22"/>
  <c r="BP5" i="22"/>
  <c r="BM14" i="22"/>
  <c r="BO14" i="22" s="1"/>
  <c r="P13" i="22"/>
  <c r="CR10" i="22"/>
  <c r="CB5" i="22"/>
  <c r="AV5" i="22"/>
  <c r="V32" i="22"/>
  <c r="V33" i="22" s="1"/>
  <c r="Y33" i="22" s="1"/>
  <c r="DS9" i="22"/>
  <c r="DS19" i="22"/>
  <c r="DS25" i="22"/>
  <c r="CY20" i="22"/>
  <c r="DR5" i="22"/>
  <c r="DR28" i="22"/>
  <c r="DS34" i="22"/>
  <c r="DS10" i="22"/>
  <c r="DS20" i="22"/>
  <c r="DS30" i="22"/>
  <c r="BM30" i="22"/>
  <c r="BO30" i="22" s="1"/>
  <c r="CV27" i="22"/>
  <c r="BP27" i="22"/>
  <c r="AJ27" i="22"/>
  <c r="AV22" i="22"/>
  <c r="BG21" i="22"/>
  <c r="BJ21" i="22" s="1"/>
  <c r="AW20" i="22"/>
  <c r="AY20" i="22" s="1"/>
  <c r="BL15" i="22"/>
  <c r="AF15" i="22"/>
  <c r="CB13" i="22"/>
  <c r="AV12" i="22"/>
  <c r="CY10" i="22"/>
  <c r="CY7" i="22"/>
  <c r="CF7" i="22"/>
  <c r="P6" i="22"/>
  <c r="DQ5" i="22"/>
  <c r="P5" i="22"/>
  <c r="CB3" i="22"/>
  <c r="AV3" i="22"/>
  <c r="DR11" i="22"/>
  <c r="DR21" i="22"/>
  <c r="DO35" i="22"/>
  <c r="DS4" i="22"/>
  <c r="DS8" i="22"/>
  <c r="DS12" i="22"/>
  <c r="DS18" i="22"/>
  <c r="DS22" i="22"/>
  <c r="DS28" i="22"/>
  <c r="DS5" i="22"/>
  <c r="DS13" i="22"/>
  <c r="DS29" i="22"/>
  <c r="DR15" i="22"/>
  <c r="DS6" i="22"/>
  <c r="DS14" i="22"/>
  <c r="DS26" i="22"/>
  <c r="CZ28" i="22"/>
  <c r="AO31" i="22"/>
  <c r="BM7" i="22"/>
  <c r="BO7" i="22" s="1"/>
  <c r="P3" i="22"/>
  <c r="DR7" i="22"/>
  <c r="DR19" i="22"/>
  <c r="DR29" i="22"/>
  <c r="DR4" i="22"/>
  <c r="DR6" i="22"/>
  <c r="DR8" i="22"/>
  <c r="DR12" i="22"/>
  <c r="DR14" i="22"/>
  <c r="DR18" i="22"/>
  <c r="DR20" i="22"/>
  <c r="DR30" i="22"/>
  <c r="DS3" i="22"/>
  <c r="DS7" i="22"/>
  <c r="DS11" i="22"/>
  <c r="DS15" i="22"/>
  <c r="DS21" i="22"/>
  <c r="DS27" i="22"/>
  <c r="DQ6" i="22"/>
  <c r="DQ26" i="22"/>
  <c r="BM20" i="22"/>
  <c r="BO20" i="22" s="1"/>
  <c r="BG20" i="22"/>
  <c r="BN20" i="22" s="1"/>
  <c r="DQ9" i="22"/>
  <c r="AG18" i="22"/>
  <c r="AI18" i="22" s="1"/>
  <c r="AA18" i="22"/>
  <c r="AH18" i="22" s="1"/>
  <c r="CC28" i="22"/>
  <c r="CE28" i="22" s="1"/>
  <c r="BW28" i="22"/>
  <c r="CD28" i="22" s="1"/>
  <c r="CR18" i="22"/>
  <c r="CV18" i="22"/>
  <c r="AV15" i="22"/>
  <c r="AZ15" i="22"/>
  <c r="BP10" i="22"/>
  <c r="BL10" i="22"/>
  <c r="BG9" i="22"/>
  <c r="BN9" i="22" s="1"/>
  <c r="BM9" i="22"/>
  <c r="BO9" i="22" s="1"/>
  <c r="CX16" i="22"/>
  <c r="CX23" i="22" s="1"/>
  <c r="DQ27" i="22"/>
  <c r="CY30" i="22"/>
  <c r="AQ25" i="22"/>
  <c r="AW25" i="22"/>
  <c r="AY25" i="22" s="1"/>
  <c r="DQ18" i="22"/>
  <c r="CB15" i="22"/>
  <c r="CF15" i="22"/>
  <c r="CB9" i="22"/>
  <c r="CF9" i="22"/>
  <c r="BJ25" i="22"/>
  <c r="BN25" i="22"/>
  <c r="T18" i="22"/>
  <c r="O16" i="22"/>
  <c r="O23" i="22" s="1"/>
  <c r="CV15" i="22"/>
  <c r="AW14" i="22"/>
  <c r="AY14" i="22" s="1"/>
  <c r="CY13" i="22"/>
  <c r="T11" i="22"/>
  <c r="C32" i="22"/>
  <c r="CB30" i="22"/>
  <c r="CM29" i="22"/>
  <c r="CT29" i="22" s="1"/>
  <c r="CS29" i="22"/>
  <c r="CU29" i="22" s="1"/>
  <c r="CF29" i="22"/>
  <c r="BM29" i="22"/>
  <c r="BO29" i="22" s="1"/>
  <c r="CK31" i="22"/>
  <c r="DQ20" i="22"/>
  <c r="CY19" i="22"/>
  <c r="DQ19" i="22" s="1"/>
  <c r="BL18" i="22"/>
  <c r="BP18" i="22"/>
  <c r="CD14" i="22"/>
  <c r="BZ14" i="22"/>
  <c r="CR12" i="22"/>
  <c r="CV12" i="22"/>
  <c r="CY11" i="22"/>
  <c r="BW9" i="22"/>
  <c r="CD9" i="22" s="1"/>
  <c r="N9" i="22"/>
  <c r="AV8" i="22"/>
  <c r="BW7" i="22"/>
  <c r="BZ7" i="22" s="1"/>
  <c r="K7" i="22"/>
  <c r="R7" i="22" s="1"/>
  <c r="Q6" i="22"/>
  <c r="S6" i="22" s="1"/>
  <c r="DQ4" i="22"/>
  <c r="CZ12" i="22"/>
  <c r="DA30" i="22"/>
  <c r="CY15" i="22"/>
  <c r="DQ15" i="22" s="1"/>
  <c r="I16" i="22"/>
  <c r="I23" i="22" s="1"/>
  <c r="CY14" i="22"/>
  <c r="DQ14" i="22" s="1"/>
  <c r="DR9" i="22"/>
  <c r="DR10" i="22"/>
  <c r="DR22" i="22"/>
  <c r="DR25" i="22"/>
  <c r="DR26" i="22"/>
  <c r="DQ28" i="22"/>
  <c r="CH32" i="22"/>
  <c r="CH33" i="22" s="1"/>
  <c r="CK33" i="22" s="1"/>
  <c r="BW30" i="22"/>
  <c r="CD30" i="22" s="1"/>
  <c r="CC30" i="22"/>
  <c r="CE30" i="22" s="1"/>
  <c r="AJ29" i="22"/>
  <c r="DG29" i="22"/>
  <c r="DH29" i="22" s="1"/>
  <c r="AF29" i="22"/>
  <c r="DB22" i="22"/>
  <c r="DE22" i="22" s="1"/>
  <c r="BJ14" i="22"/>
  <c r="BN14" i="22"/>
  <c r="CC8" i="22"/>
  <c r="CE8" i="22" s="1"/>
  <c r="BW8" i="22"/>
  <c r="CD8" i="22" s="1"/>
  <c r="AO16" i="22"/>
  <c r="AO23" i="22" s="1"/>
  <c r="AO32" i="22" s="1"/>
  <c r="T30" i="22"/>
  <c r="P30" i="22"/>
  <c r="O31" i="22"/>
  <c r="BL29" i="22"/>
  <c r="BP29" i="22"/>
  <c r="Q28" i="22"/>
  <c r="S28" i="22" s="1"/>
  <c r="K28" i="22"/>
  <c r="N28" i="22" s="1"/>
  <c r="DB26" i="22"/>
  <c r="CC25" i="22"/>
  <c r="CE25" i="22" s="1"/>
  <c r="AA25" i="22"/>
  <c r="AG25" i="22"/>
  <c r="AI25" i="22" s="1"/>
  <c r="AA21" i="22"/>
  <c r="AG21" i="22"/>
  <c r="AI21" i="22" s="1"/>
  <c r="DG21" i="22"/>
  <c r="DH21" i="22" s="1"/>
  <c r="CY12" i="22"/>
  <c r="Q11" i="22"/>
  <c r="S11" i="22" s="1"/>
  <c r="K11" i="22"/>
  <c r="R11" i="22" s="1"/>
  <c r="DG10" i="22"/>
  <c r="DH10" i="22" s="1"/>
  <c r="P10" i="22"/>
  <c r="AQ8" i="22"/>
  <c r="AT8" i="22" s="1"/>
  <c r="AW8" i="22"/>
  <c r="AY8" i="22" s="1"/>
  <c r="BP7" i="22"/>
  <c r="BL7" i="22"/>
  <c r="P7" i="22"/>
  <c r="T7" i="22"/>
  <c r="CR5" i="22"/>
  <c r="CV5" i="22"/>
  <c r="AF5" i="22"/>
  <c r="AJ5" i="22"/>
  <c r="CC4" i="22"/>
  <c r="CE4" i="22" s="1"/>
  <c r="BW4" i="22"/>
  <c r="BZ4" i="22" s="1"/>
  <c r="CR3" i="22"/>
  <c r="CV3" i="22"/>
  <c r="AF3" i="22"/>
  <c r="DG3" i="22"/>
  <c r="DH3" i="22" s="1"/>
  <c r="AJ3" i="22"/>
  <c r="BJ30" i="22"/>
  <c r="BN30" i="22"/>
  <c r="CV29" i="22"/>
  <c r="CR29" i="22"/>
  <c r="CY28" i="22"/>
  <c r="Y31" i="22"/>
  <c r="DC26" i="22"/>
  <c r="DF26" i="22" s="1"/>
  <c r="DG25" i="22"/>
  <c r="DH25" i="22" s="1"/>
  <c r="BL21" i="22"/>
  <c r="BP21" i="22"/>
  <c r="AZ20" i="22"/>
  <c r="AV20" i="22"/>
  <c r="DB20" i="22"/>
  <c r="DE20" i="22" s="1"/>
  <c r="Q19" i="22"/>
  <c r="S19" i="22" s="1"/>
  <c r="K19" i="22"/>
  <c r="R19" i="22" s="1"/>
  <c r="DG15" i="22"/>
  <c r="DH15" i="22" s="1"/>
  <c r="P15" i="22"/>
  <c r="CS14" i="22"/>
  <c r="CU14" i="22" s="1"/>
  <c r="CC14" i="22"/>
  <c r="CE14" i="22" s="1"/>
  <c r="AZ14" i="22"/>
  <c r="AV14" i="22"/>
  <c r="DG13" i="22"/>
  <c r="DH13" i="22" s="1"/>
  <c r="CR6" i="22"/>
  <c r="CV6" i="22"/>
  <c r="AV4" i="22"/>
  <c r="AZ4" i="22"/>
  <c r="CS30" i="22"/>
  <c r="CU30" i="22" s="1"/>
  <c r="AG29" i="22"/>
  <c r="AI29" i="22" s="1"/>
  <c r="CY26" i="22"/>
  <c r="CX31" i="22"/>
  <c r="BZ25" i="22"/>
  <c r="AQ22" i="22"/>
  <c r="AT22" i="22" s="1"/>
  <c r="AW22" i="22"/>
  <c r="AY22" i="22" s="1"/>
  <c r="DG18" i="22"/>
  <c r="DH18" i="22" s="1"/>
  <c r="AF18" i="22"/>
  <c r="CA16" i="22"/>
  <c r="CA23" i="22" s="1"/>
  <c r="T14" i="22"/>
  <c r="P14" i="22"/>
  <c r="CR13" i="22"/>
  <c r="CV13" i="22"/>
  <c r="AA13" i="22"/>
  <c r="AG13" i="22"/>
  <c r="AI13" i="22" s="1"/>
  <c r="BP12" i="22"/>
  <c r="AJ12" i="22"/>
  <c r="CF10" i="22"/>
  <c r="AZ10" i="22"/>
  <c r="CY9" i="22"/>
  <c r="BL9" i="22"/>
  <c r="BP9" i="22"/>
  <c r="CV30" i="22"/>
  <c r="CR30" i="22"/>
  <c r="K25" i="22"/>
  <c r="R25" i="22" s="1"/>
  <c r="Q25" i="22"/>
  <c r="S25" i="22" s="1"/>
  <c r="DB25" i="22"/>
  <c r="DE25" i="22" s="1"/>
  <c r="BB32" i="22"/>
  <c r="BB33" i="22" s="1"/>
  <c r="BE33" i="22" s="1"/>
  <c r="BE31" i="22"/>
  <c r="DB29" i="22"/>
  <c r="DE29" i="22" s="1"/>
  <c r="DG27" i="22"/>
  <c r="DH27" i="22" s="1"/>
  <c r="BU31" i="22"/>
  <c r="Y16" i="22"/>
  <c r="Y23" i="22" s="1"/>
  <c r="AA6" i="22"/>
  <c r="AD6" i="22" s="1"/>
  <c r="CA31" i="22"/>
  <c r="T27" i="22"/>
  <c r="CY25" i="22"/>
  <c r="DQ25" i="22" s="1"/>
  <c r="BU16" i="22"/>
  <c r="BU23" i="22" s="1"/>
  <c r="BE16" i="22"/>
  <c r="BE23" i="22" s="1"/>
  <c r="DG5" i="22"/>
  <c r="DH5" i="22" s="1"/>
  <c r="CM28" i="22"/>
  <c r="CS28" i="22"/>
  <c r="CU28" i="22" s="1"/>
  <c r="BW27" i="22"/>
  <c r="CC27" i="22"/>
  <c r="CE27" i="22" s="1"/>
  <c r="K27" i="22"/>
  <c r="Q27" i="22"/>
  <c r="DB27" i="22"/>
  <c r="DE27" i="22" s="1"/>
  <c r="AF26" i="22"/>
  <c r="AJ26" i="22"/>
  <c r="AE31" i="22"/>
  <c r="S14" i="22"/>
  <c r="BW3" i="22"/>
  <c r="CC3" i="22"/>
  <c r="CE3" i="22" s="1"/>
  <c r="K3" i="22"/>
  <c r="Q3" i="22"/>
  <c r="DB3" i="22"/>
  <c r="DE3" i="22" s="1"/>
  <c r="CP30" i="22"/>
  <c r="CT30" i="22"/>
  <c r="AD29" i="22"/>
  <c r="AH29" i="22"/>
  <c r="BJ28" i="22"/>
  <c r="BN28" i="22"/>
  <c r="AF28" i="22"/>
  <c r="AJ28" i="22"/>
  <c r="DG28" i="22"/>
  <c r="DH28" i="22" s="1"/>
  <c r="CM27" i="22"/>
  <c r="CS27" i="22"/>
  <c r="CU27" i="22" s="1"/>
  <c r="AA27" i="22"/>
  <c r="AG27" i="22"/>
  <c r="AI27" i="22" s="1"/>
  <c r="CP26" i="22"/>
  <c r="CT26" i="22"/>
  <c r="BJ26" i="22"/>
  <c r="BN26" i="22"/>
  <c r="AD26" i="22"/>
  <c r="AH26" i="22"/>
  <c r="I31" i="22"/>
  <c r="CR14" i="22"/>
  <c r="CV14" i="22"/>
  <c r="BL14" i="22"/>
  <c r="BP14" i="22"/>
  <c r="BL13" i="22"/>
  <c r="BK16" i="22"/>
  <c r="BK23" i="22" s="1"/>
  <c r="BP13" i="22"/>
  <c r="AV30" i="22"/>
  <c r="AZ30" i="22"/>
  <c r="DG30" i="22"/>
  <c r="DH30" i="22" s="1"/>
  <c r="BL26" i="22"/>
  <c r="BP26" i="22"/>
  <c r="CB21" i="22"/>
  <c r="CF21" i="22"/>
  <c r="AQ18" i="22"/>
  <c r="AW18" i="22"/>
  <c r="AY18" i="22" s="1"/>
  <c r="DB13" i="22"/>
  <c r="DE13" i="22" s="1"/>
  <c r="AQ13" i="22"/>
  <c r="AW13" i="22"/>
  <c r="BK31" i="22"/>
  <c r="CZ30" i="22"/>
  <c r="AQ30" i="22"/>
  <c r="AW30" i="22"/>
  <c r="AY30" i="22" s="1"/>
  <c r="N29" i="22"/>
  <c r="R29" i="22"/>
  <c r="BM28" i="22"/>
  <c r="BO28" i="22" s="1"/>
  <c r="AQ27" i="22"/>
  <c r="AW27" i="22"/>
  <c r="AY27" i="22" s="1"/>
  <c r="CB26" i="22"/>
  <c r="CF26" i="22"/>
  <c r="AV26" i="22"/>
  <c r="AZ26" i="22"/>
  <c r="AU31" i="22"/>
  <c r="P26" i="22"/>
  <c r="T26" i="22"/>
  <c r="DG26" i="22"/>
  <c r="DH26" i="22" s="1"/>
  <c r="BL22" i="22"/>
  <c r="DG22" i="22"/>
  <c r="DH22" i="22" s="1"/>
  <c r="BP22" i="22"/>
  <c r="CR21" i="22"/>
  <c r="CV21" i="22"/>
  <c r="CY29" i="22"/>
  <c r="CZ29" i="22"/>
  <c r="AT29" i="22"/>
  <c r="AX29" i="22"/>
  <c r="AQ28" i="22"/>
  <c r="AW28" i="22"/>
  <c r="AY28" i="22" s="1"/>
  <c r="CR26" i="22"/>
  <c r="CV26" i="22"/>
  <c r="CQ31" i="22"/>
  <c r="CP19" i="22"/>
  <c r="CT19" i="22"/>
  <c r="DB30" i="22"/>
  <c r="DE30" i="22" s="1"/>
  <c r="K30" i="22"/>
  <c r="BJ29" i="22"/>
  <c r="BN29" i="22"/>
  <c r="S29" i="22"/>
  <c r="AA28" i="22"/>
  <c r="AG28" i="22"/>
  <c r="AI28" i="22" s="1"/>
  <c r="BG27" i="22"/>
  <c r="BM27" i="22"/>
  <c r="BO27" i="22" s="1"/>
  <c r="BZ26" i="22"/>
  <c r="CD26" i="22"/>
  <c r="AT26" i="22"/>
  <c r="AX26" i="22"/>
  <c r="N26" i="22"/>
  <c r="R26" i="22"/>
  <c r="CP22" i="22"/>
  <c r="CT22" i="22"/>
  <c r="AA22" i="22"/>
  <c r="AG22" i="22"/>
  <c r="AI22" i="22" s="1"/>
  <c r="CY21" i="22"/>
  <c r="AT21" i="22"/>
  <c r="AX21" i="22"/>
  <c r="P21" i="22"/>
  <c r="T21" i="22"/>
  <c r="K20" i="22"/>
  <c r="Q20" i="22"/>
  <c r="BJ19" i="22"/>
  <c r="BN19" i="22"/>
  <c r="CM15" i="22"/>
  <c r="CS15" i="22"/>
  <c r="CU15" i="22" s="1"/>
  <c r="AA15" i="22"/>
  <c r="AG15" i="22"/>
  <c r="AI15" i="22" s="1"/>
  <c r="CM12" i="22"/>
  <c r="CS12" i="22"/>
  <c r="CU12" i="22" s="1"/>
  <c r="AA12" i="22"/>
  <c r="AG12" i="22"/>
  <c r="AI12" i="22" s="1"/>
  <c r="DA25" i="22"/>
  <c r="BW22" i="22"/>
  <c r="CC22" i="22"/>
  <c r="CE22" i="22" s="1"/>
  <c r="K22" i="22"/>
  <c r="Q22" i="22"/>
  <c r="CR20" i="22"/>
  <c r="CV20" i="22"/>
  <c r="BW20" i="22"/>
  <c r="CC20" i="22"/>
  <c r="CE20" i="22" s="1"/>
  <c r="AA20" i="22"/>
  <c r="AG20" i="22"/>
  <c r="AI20" i="22" s="1"/>
  <c r="CB19" i="22"/>
  <c r="CF19" i="22"/>
  <c r="AV19" i="22"/>
  <c r="AZ19" i="22"/>
  <c r="AA19" i="22"/>
  <c r="AG19" i="22"/>
  <c r="AI19" i="22" s="1"/>
  <c r="DB19" i="22"/>
  <c r="DE19" i="22" s="1"/>
  <c r="BG18" i="22"/>
  <c r="BM18" i="22"/>
  <c r="BO18" i="22" s="1"/>
  <c r="DB18" i="22"/>
  <c r="DE18" i="22" s="1"/>
  <c r="K18" i="22"/>
  <c r="CZ15" i="22"/>
  <c r="AQ15" i="22"/>
  <c r="AW15" i="22"/>
  <c r="AY15" i="22" s="1"/>
  <c r="AF14" i="22"/>
  <c r="AE16" i="22"/>
  <c r="AE23" i="22" s="1"/>
  <c r="DG14" i="22"/>
  <c r="DH14" i="22" s="1"/>
  <c r="CZ13" i="22"/>
  <c r="AQ12" i="22"/>
  <c r="AW12" i="22"/>
  <c r="AY12" i="22" s="1"/>
  <c r="CB11" i="22"/>
  <c r="CF11" i="22"/>
  <c r="CM8" i="22"/>
  <c r="CS8" i="22"/>
  <c r="CU8" i="22" s="1"/>
  <c r="DA3" i="22"/>
  <c r="CZ4" i="22"/>
  <c r="DA5" i="22"/>
  <c r="DA6" i="22"/>
  <c r="CZ7" i="22"/>
  <c r="DA4" i="22"/>
  <c r="DA7" i="22"/>
  <c r="CZ8" i="22"/>
  <c r="CZ3" i="22"/>
  <c r="CZ5" i="22"/>
  <c r="DA8" i="22"/>
  <c r="CZ9" i="22"/>
  <c r="DA10" i="22"/>
  <c r="CZ11" i="22"/>
  <c r="DA12" i="22"/>
  <c r="DA9" i="22"/>
  <c r="DA11" i="22"/>
  <c r="DA13" i="22"/>
  <c r="CZ6" i="22"/>
  <c r="CZ10" i="22"/>
  <c r="CZ14" i="22"/>
  <c r="DA15" i="22"/>
  <c r="DA18" i="22"/>
  <c r="CZ19" i="22"/>
  <c r="CZ20" i="22"/>
  <c r="CZ21" i="22"/>
  <c r="CZ22" i="22"/>
  <c r="DA14" i="22"/>
  <c r="DA19" i="22"/>
  <c r="DA20" i="22"/>
  <c r="DA21" i="22"/>
  <c r="DA22" i="22"/>
  <c r="BP30" i="22"/>
  <c r="DB28" i="22"/>
  <c r="DE28" i="22" s="1"/>
  <c r="AZ28" i="22"/>
  <c r="DA26" i="22"/>
  <c r="CS26" i="22"/>
  <c r="CU26" i="22" s="1"/>
  <c r="CC26" i="22"/>
  <c r="CE26" i="22" s="1"/>
  <c r="BM26" i="22"/>
  <c r="BO26" i="22" s="1"/>
  <c r="AW26" i="22"/>
  <c r="AY26" i="22" s="1"/>
  <c r="AG26" i="22"/>
  <c r="AI26" i="22" s="1"/>
  <c r="Q26" i="22"/>
  <c r="CZ25" i="22"/>
  <c r="CV25" i="22"/>
  <c r="CF25" i="22"/>
  <c r="BP25" i="22"/>
  <c r="AZ25" i="22"/>
  <c r="AJ25" i="22"/>
  <c r="CR22" i="22"/>
  <c r="CV22" i="22"/>
  <c r="CB22" i="22"/>
  <c r="CF22" i="22"/>
  <c r="BG22" i="22"/>
  <c r="P22" i="22"/>
  <c r="T22" i="22"/>
  <c r="DB21" i="22"/>
  <c r="DE21" i="22" s="1"/>
  <c r="AW21" i="22"/>
  <c r="AY21" i="22" s="1"/>
  <c r="DG20" i="22"/>
  <c r="DH20" i="22" s="1"/>
  <c r="CP20" i="22"/>
  <c r="CT20" i="22"/>
  <c r="AT20" i="22"/>
  <c r="AX20" i="22"/>
  <c r="P20" i="22"/>
  <c r="T20" i="22"/>
  <c r="BZ19" i="22"/>
  <c r="CD19" i="22"/>
  <c r="AT19" i="22"/>
  <c r="AX19" i="22"/>
  <c r="BW18" i="22"/>
  <c r="CC18" i="22"/>
  <c r="CE18" i="22" s="1"/>
  <c r="Q18" i="22"/>
  <c r="BG15" i="22"/>
  <c r="BM15" i="22"/>
  <c r="BO15" i="22" s="1"/>
  <c r="CB14" i="22"/>
  <c r="CF14" i="22"/>
  <c r="AT14" i="22"/>
  <c r="AX14" i="22"/>
  <c r="AJ14" i="22"/>
  <c r="BM13" i="22"/>
  <c r="BO13" i="22" s="1"/>
  <c r="BG13" i="22"/>
  <c r="AZ13" i="22"/>
  <c r="BG12" i="22"/>
  <c r="BM12" i="22"/>
  <c r="BO12" i="22" s="1"/>
  <c r="CK16" i="22"/>
  <c r="CK23" i="22" s="1"/>
  <c r="AA11" i="22"/>
  <c r="AG11" i="22"/>
  <c r="AI11" i="22" s="1"/>
  <c r="DB11" i="22"/>
  <c r="DE11" i="22" s="1"/>
  <c r="BG6" i="22"/>
  <c r="BM6" i="22"/>
  <c r="BO6" i="22" s="1"/>
  <c r="AI6" i="22"/>
  <c r="N6" i="22"/>
  <c r="R6" i="22"/>
  <c r="BG4" i="22"/>
  <c r="BM4" i="22"/>
  <c r="BO4" i="22" s="1"/>
  <c r="DA28" i="22"/>
  <c r="DA27" i="22"/>
  <c r="DE26" i="22"/>
  <c r="CZ26" i="22"/>
  <c r="BW21" i="22"/>
  <c r="CC21" i="22"/>
  <c r="CE21" i="22" s="1"/>
  <c r="K21" i="22"/>
  <c r="Q21" i="22"/>
  <c r="CB20" i="22"/>
  <c r="CF20" i="22"/>
  <c r="CR19" i="22"/>
  <c r="CV19" i="22"/>
  <c r="BL19" i="22"/>
  <c r="BP19" i="22"/>
  <c r="AF19" i="22"/>
  <c r="AJ19" i="22"/>
  <c r="DG19" i="22"/>
  <c r="CM18" i="22"/>
  <c r="CS18" i="22"/>
  <c r="CU18" i="22" s="1"/>
  <c r="BW15" i="22"/>
  <c r="CC15" i="22"/>
  <c r="CE15" i="22" s="1"/>
  <c r="K15" i="22"/>
  <c r="Q15" i="22"/>
  <c r="DB15" i="22"/>
  <c r="DE15" i="22" s="1"/>
  <c r="K14" i="22"/>
  <c r="DB14" i="22"/>
  <c r="DE14" i="22" s="1"/>
  <c r="BW13" i="22"/>
  <c r="CC13" i="22"/>
  <c r="CE13" i="22" s="1"/>
  <c r="BW12" i="22"/>
  <c r="CC12" i="22"/>
  <c r="CE12" i="22" s="1"/>
  <c r="K12" i="22"/>
  <c r="Q12" i="22"/>
  <c r="DB12" i="22"/>
  <c r="DE12" i="22" s="1"/>
  <c r="AV11" i="22"/>
  <c r="AZ11" i="22"/>
  <c r="AU16" i="22"/>
  <c r="AU23" i="22" s="1"/>
  <c r="BG10" i="22"/>
  <c r="BM10" i="22"/>
  <c r="BO10" i="22" s="1"/>
  <c r="CR9" i="22"/>
  <c r="CV9" i="22"/>
  <c r="CR7" i="22"/>
  <c r="CV7" i="22"/>
  <c r="CQ16" i="22"/>
  <c r="CQ23" i="22" s="1"/>
  <c r="DG7" i="22"/>
  <c r="DH7" i="22" s="1"/>
  <c r="BZ11" i="22"/>
  <c r="CD11" i="22"/>
  <c r="AT11" i="22"/>
  <c r="AX11" i="22"/>
  <c r="BW10" i="22"/>
  <c r="CC10" i="22"/>
  <c r="CE10" i="22" s="1"/>
  <c r="K10" i="22"/>
  <c r="Q10" i="22"/>
  <c r="DB10" i="22"/>
  <c r="DE10" i="22" s="1"/>
  <c r="AA9" i="22"/>
  <c r="AG9" i="22"/>
  <c r="AI9" i="22" s="1"/>
  <c r="DB9" i="22"/>
  <c r="DE9" i="22" s="1"/>
  <c r="BL8" i="22"/>
  <c r="DG8" i="22"/>
  <c r="DH8" i="22" s="1"/>
  <c r="BP8" i="22"/>
  <c r="BG5" i="22"/>
  <c r="BM5" i="22"/>
  <c r="BO5" i="22" s="1"/>
  <c r="CR4" i="22"/>
  <c r="CV4" i="22"/>
  <c r="CS22" i="22"/>
  <c r="CU22" i="22" s="1"/>
  <c r="AJ22" i="22"/>
  <c r="CS21" i="22"/>
  <c r="CU21" i="22" s="1"/>
  <c r="AJ21" i="22"/>
  <c r="CS20" i="22"/>
  <c r="CU20" i="22" s="1"/>
  <c r="AJ20" i="22"/>
  <c r="CS19" i="22"/>
  <c r="CU19" i="22" s="1"/>
  <c r="CC19" i="22"/>
  <c r="CE19" i="22" s="1"/>
  <c r="BM19" i="22"/>
  <c r="BO19" i="22" s="1"/>
  <c r="AW19" i="22"/>
  <c r="AY19" i="22" s="1"/>
  <c r="CM13" i="22"/>
  <c r="CS13" i="22"/>
  <c r="CU13" i="22" s="1"/>
  <c r="N13" i="22"/>
  <c r="R13" i="22"/>
  <c r="CR11" i="22"/>
  <c r="CV11" i="22"/>
  <c r="BL11" i="22"/>
  <c r="BP11" i="22"/>
  <c r="AF11" i="22"/>
  <c r="AJ11" i="22"/>
  <c r="CM10" i="22"/>
  <c r="CS10" i="22"/>
  <c r="CU10" i="22" s="1"/>
  <c r="AA10" i="22"/>
  <c r="AG10" i="22"/>
  <c r="AI10" i="22" s="1"/>
  <c r="CM9" i="22"/>
  <c r="CS9" i="22"/>
  <c r="CU9" i="22" s="1"/>
  <c r="AQ9" i="22"/>
  <c r="AW9" i="22"/>
  <c r="AY9" i="22" s="1"/>
  <c r="P9" i="22"/>
  <c r="T9" i="22"/>
  <c r="DG9" i="22"/>
  <c r="DH9" i="22" s="1"/>
  <c r="AA8" i="22"/>
  <c r="AG8" i="22"/>
  <c r="AI8" i="22" s="1"/>
  <c r="AA4" i="22"/>
  <c r="AG4" i="22"/>
  <c r="AI4" i="22" s="1"/>
  <c r="N4" i="22"/>
  <c r="R4" i="22"/>
  <c r="DG12" i="22"/>
  <c r="DH12" i="22" s="1"/>
  <c r="DG11" i="22"/>
  <c r="DH11" i="22" s="1"/>
  <c r="CP11" i="22"/>
  <c r="CT11" i="22"/>
  <c r="BJ11" i="22"/>
  <c r="BN11" i="22"/>
  <c r="AQ10" i="22"/>
  <c r="AW10" i="22"/>
  <c r="AY10" i="22" s="1"/>
  <c r="AF9" i="22"/>
  <c r="AJ9" i="22"/>
  <c r="K8" i="22"/>
  <c r="Q8" i="22"/>
  <c r="AA7" i="22"/>
  <c r="AG7" i="22"/>
  <c r="AI7" i="22" s="1"/>
  <c r="BZ6" i="22"/>
  <c r="CD6" i="22"/>
  <c r="AV6" i="22"/>
  <c r="AZ6" i="22"/>
  <c r="DG6" i="22"/>
  <c r="DH6" i="22" s="1"/>
  <c r="BW5" i="22"/>
  <c r="CC5" i="22"/>
  <c r="CE5" i="22" s="1"/>
  <c r="K5" i="22"/>
  <c r="Q5" i="22"/>
  <c r="DB5" i="22"/>
  <c r="DE5" i="22" s="1"/>
  <c r="AQ4" i="22"/>
  <c r="AW4" i="22"/>
  <c r="AY4" i="22" s="1"/>
  <c r="CM3" i="22"/>
  <c r="CS3" i="22"/>
  <c r="CU3" i="22" s="1"/>
  <c r="AA3" i="22"/>
  <c r="AG3" i="22"/>
  <c r="AI3" i="22" s="1"/>
  <c r="CS11" i="22"/>
  <c r="CU11" i="22" s="1"/>
  <c r="CC11" i="22"/>
  <c r="CE11" i="22" s="1"/>
  <c r="BM11" i="22"/>
  <c r="BO11" i="22" s="1"/>
  <c r="AW11" i="22"/>
  <c r="AY11" i="22" s="1"/>
  <c r="AZ9" i="22"/>
  <c r="Q9" i="22"/>
  <c r="DB8" i="22"/>
  <c r="DE8" i="22" s="1"/>
  <c r="CR8" i="22"/>
  <c r="CV8" i="22"/>
  <c r="BG8" i="22"/>
  <c r="P8" i="22"/>
  <c r="T8" i="22"/>
  <c r="DB7" i="22"/>
  <c r="DE7" i="22" s="1"/>
  <c r="CM7" i="22"/>
  <c r="CS7" i="22"/>
  <c r="CU7" i="22" s="1"/>
  <c r="AQ7" i="22"/>
  <c r="AW7" i="22"/>
  <c r="AY7" i="22" s="1"/>
  <c r="S7" i="22"/>
  <c r="CC6" i="22"/>
  <c r="CE6" i="22" s="1"/>
  <c r="CM5" i="22"/>
  <c r="CS5" i="22"/>
  <c r="CU5" i="22" s="1"/>
  <c r="AA5" i="22"/>
  <c r="AG5" i="22"/>
  <c r="AI5" i="22" s="1"/>
  <c r="CM4" i="22"/>
  <c r="CS4" i="22"/>
  <c r="CU4" i="22" s="1"/>
  <c r="AF4" i="22"/>
  <c r="AJ4" i="22"/>
  <c r="DG4" i="22"/>
  <c r="AQ3" i="22"/>
  <c r="AW3" i="22"/>
  <c r="AY3" i="22" s="1"/>
  <c r="BJ7" i="22"/>
  <c r="BN7" i="22"/>
  <c r="AF7" i="22"/>
  <c r="AJ7" i="22"/>
  <c r="AQ6" i="22"/>
  <c r="AW6" i="22"/>
  <c r="AY6" i="22" s="1"/>
  <c r="DB6" i="22"/>
  <c r="DE6" i="22" s="1"/>
  <c r="AQ5" i="22"/>
  <c r="AW5" i="22"/>
  <c r="AY5" i="22" s="1"/>
  <c r="Q4" i="22"/>
  <c r="DB4" i="22"/>
  <c r="DE4" i="22" s="1"/>
  <c r="BG3" i="22"/>
  <c r="BM3" i="22"/>
  <c r="BO3" i="22" s="1"/>
  <c r="BP4" i="22"/>
  <c r="AJ8" i="22"/>
  <c r="AZ7" i="22"/>
  <c r="BP6" i="22"/>
  <c r="AD18" i="22" l="1"/>
  <c r="AD30" i="22"/>
  <c r="CD29" i="22"/>
  <c r="DJ29" i="22" s="1"/>
  <c r="R11" i="24"/>
  <c r="V11" i="24" s="1"/>
  <c r="AU32" i="22"/>
  <c r="I32" i="22"/>
  <c r="R18" i="24"/>
  <c r="V18" i="24" s="1"/>
  <c r="G109" i="26"/>
  <c r="AG8" i="26" s="1"/>
  <c r="H111" i="26"/>
  <c r="R19" i="26"/>
  <c r="U33" i="26" s="1"/>
  <c r="R9" i="26"/>
  <c r="V9" i="26" s="1"/>
  <c r="N8" i="26"/>
  <c r="K8" i="26"/>
  <c r="E12" i="26"/>
  <c r="AJ16" i="26"/>
  <c r="AH7" i="26"/>
  <c r="AG7" i="26"/>
  <c r="AA8" i="26"/>
  <c r="Y12" i="26"/>
  <c r="AM14" i="26"/>
  <c r="AO14" i="26"/>
  <c r="K7" i="26"/>
  <c r="N7" i="26"/>
  <c r="B12" i="26"/>
  <c r="AK16" i="26"/>
  <c r="AP16" i="26" s="1"/>
  <c r="AL16" i="26"/>
  <c r="AQ16" i="26" s="1"/>
  <c r="AO19" i="26"/>
  <c r="AM19" i="26"/>
  <c r="AN19" i="26" s="1"/>
  <c r="H12" i="26"/>
  <c r="AF12" i="26"/>
  <c r="AH19" i="24"/>
  <c r="AL19" i="24" s="1"/>
  <c r="AQ19" i="24" s="1"/>
  <c r="E19" i="24"/>
  <c r="AG19" i="24"/>
  <c r="AK19" i="24" s="1"/>
  <c r="AP19" i="24" s="1"/>
  <c r="H19" i="24"/>
  <c r="E143" i="24"/>
  <c r="AJ83" i="24"/>
  <c r="AO83" i="24" s="1"/>
  <c r="AM81" i="24"/>
  <c r="AM83" i="24" s="1"/>
  <c r="C104" i="24"/>
  <c r="AF7" i="24" s="1"/>
  <c r="B7" i="24"/>
  <c r="C108" i="24"/>
  <c r="D108" i="24" s="1"/>
  <c r="C107" i="24"/>
  <c r="D107" i="24" s="1"/>
  <c r="C106" i="24"/>
  <c r="D106" i="24" s="1"/>
  <c r="G106" i="24"/>
  <c r="H106" i="24" s="1"/>
  <c r="W8" i="24"/>
  <c r="G107" i="24"/>
  <c r="H107" i="24" s="1"/>
  <c r="G108" i="24"/>
  <c r="H108" i="24" s="1"/>
  <c r="G144" i="24"/>
  <c r="D144" i="24" s="1"/>
  <c r="E142" i="24"/>
  <c r="E9" i="24"/>
  <c r="AH9" i="24"/>
  <c r="AF9" i="24"/>
  <c r="AG9" i="24"/>
  <c r="H9" i="24"/>
  <c r="B9" i="24"/>
  <c r="E91" i="24"/>
  <c r="AJ14" i="24"/>
  <c r="V10" i="24"/>
  <c r="AG7" i="24"/>
  <c r="AH7" i="24"/>
  <c r="AM15" i="24"/>
  <c r="AO15" i="24"/>
  <c r="G91" i="24"/>
  <c r="AL14" i="24"/>
  <c r="AQ14" i="24" s="1"/>
  <c r="AK14" i="24"/>
  <c r="AP14" i="24" s="1"/>
  <c r="AA7" i="24"/>
  <c r="AJ63" i="24"/>
  <c r="AO63" i="24" s="1"/>
  <c r="AM61" i="24"/>
  <c r="AM63" i="24" s="1"/>
  <c r="AM18" i="24"/>
  <c r="AN18" i="24" s="1"/>
  <c r="AO18" i="24"/>
  <c r="AF19" i="24"/>
  <c r="B19" i="24"/>
  <c r="CT6" i="22"/>
  <c r="N11" i="22"/>
  <c r="P31" i="22"/>
  <c r="DL15" i="22"/>
  <c r="CP29" i="22"/>
  <c r="BW31" i="22"/>
  <c r="DL5" i="22"/>
  <c r="N19" i="22"/>
  <c r="CD4" i="22"/>
  <c r="N7" i="22"/>
  <c r="AD14" i="22"/>
  <c r="BZ28" i="22"/>
  <c r="DC28" i="22"/>
  <c r="DF28" i="22" s="1"/>
  <c r="BJ20" i="22"/>
  <c r="BL31" i="22"/>
  <c r="DL27" i="22"/>
  <c r="CA32" i="22"/>
  <c r="CT25" i="22"/>
  <c r="DL18" i="22"/>
  <c r="CX32" i="22"/>
  <c r="CX33" i="22" s="1"/>
  <c r="DA33" i="22" s="1"/>
  <c r="DC6" i="22"/>
  <c r="DF6" i="22" s="1"/>
  <c r="BZ9" i="22"/>
  <c r="BZ8" i="22"/>
  <c r="DL3" i="22"/>
  <c r="DL10" i="22"/>
  <c r="BJ9" i="22"/>
  <c r="AH6" i="22"/>
  <c r="CK32" i="22"/>
  <c r="BN21" i="22"/>
  <c r="DL28" i="22"/>
  <c r="BU32" i="22"/>
  <c r="DL6" i="22"/>
  <c r="O32" i="22"/>
  <c r="CF31" i="22"/>
  <c r="DI25" i="22"/>
  <c r="BO31" i="22"/>
  <c r="K31" i="22"/>
  <c r="Y32" i="22"/>
  <c r="N25" i="22"/>
  <c r="BE32" i="22"/>
  <c r="DL29" i="22"/>
  <c r="DK6" i="22"/>
  <c r="DP16" i="22"/>
  <c r="DP23" i="22" s="1"/>
  <c r="DQ3" i="22"/>
  <c r="DQ7" i="22"/>
  <c r="DQ21" i="22"/>
  <c r="DS31" i="22"/>
  <c r="DQ29" i="22"/>
  <c r="DQ13" i="22"/>
  <c r="DQ30" i="22"/>
  <c r="DQ12" i="22"/>
  <c r="DK25" i="22"/>
  <c r="DP31" i="22"/>
  <c r="CD7" i="22"/>
  <c r="AV16" i="22"/>
  <c r="AV23" i="22" s="1"/>
  <c r="CV31" i="22"/>
  <c r="CE31" i="22"/>
  <c r="R28" i="22"/>
  <c r="AF31" i="22"/>
  <c r="CR31" i="22"/>
  <c r="AX25" i="22"/>
  <c r="AT25" i="22"/>
  <c r="BP16" i="22"/>
  <c r="BP23" i="22" s="1"/>
  <c r="DL7" i="22"/>
  <c r="AF16" i="22"/>
  <c r="AF23" i="22" s="1"/>
  <c r="DI7" i="22"/>
  <c r="DI6" i="22"/>
  <c r="DL13" i="22"/>
  <c r="BZ30" i="22"/>
  <c r="CB31" i="22"/>
  <c r="DC29" i="22"/>
  <c r="DF29" i="22" s="1"/>
  <c r="AX22" i="22"/>
  <c r="DL12" i="22"/>
  <c r="DQ22" i="22"/>
  <c r="DQ10" i="22"/>
  <c r="DQ11" i="22"/>
  <c r="BO16" i="22"/>
  <c r="BO23" i="22" s="1"/>
  <c r="DC4" i="22"/>
  <c r="DF4" i="22" s="1"/>
  <c r="CQ32" i="22"/>
  <c r="DL30" i="22"/>
  <c r="CB16" i="22"/>
  <c r="CB23" i="22" s="1"/>
  <c r="DI29" i="22"/>
  <c r="AV31" i="22"/>
  <c r="DI30" i="22"/>
  <c r="DC25" i="22"/>
  <c r="DF25" i="22" s="1"/>
  <c r="AD21" i="22"/>
  <c r="AH21" i="22"/>
  <c r="DL11" i="22"/>
  <c r="AX8" i="22"/>
  <c r="DK29" i="22"/>
  <c r="DK30" i="22"/>
  <c r="BK32" i="22"/>
  <c r="DI14" i="22"/>
  <c r="AH13" i="22"/>
  <c r="AD13" i="22"/>
  <c r="AD25" i="22"/>
  <c r="AH25" i="22"/>
  <c r="DL4" i="22"/>
  <c r="CU31" i="22"/>
  <c r="DK28" i="22"/>
  <c r="AY31" i="22"/>
  <c r="DK14" i="22"/>
  <c r="S12" i="22"/>
  <c r="DK12" i="22" s="1"/>
  <c r="DI12" i="22"/>
  <c r="BZ18" i="22"/>
  <c r="CD18" i="22"/>
  <c r="DA16" i="22"/>
  <c r="DA23" i="22" s="1"/>
  <c r="AT30" i="22"/>
  <c r="AX30" i="22"/>
  <c r="DL25" i="22"/>
  <c r="AD27" i="22"/>
  <c r="AH27" i="22"/>
  <c r="AA31" i="22"/>
  <c r="N3" i="22"/>
  <c r="R3" i="22"/>
  <c r="DC3" i="22"/>
  <c r="K16" i="22"/>
  <c r="K23" i="22" s="1"/>
  <c r="K32" i="22" s="1"/>
  <c r="BJ3" i="22"/>
  <c r="BN3" i="22"/>
  <c r="BG16" i="22"/>
  <c r="BG23" i="22" s="1"/>
  <c r="CP5" i="22"/>
  <c r="CT5" i="22"/>
  <c r="AI16" i="22"/>
  <c r="AI23" i="22" s="1"/>
  <c r="AD7" i="22"/>
  <c r="AH7" i="22"/>
  <c r="DC7" i="22"/>
  <c r="DF7" i="22" s="1"/>
  <c r="AD8" i="22"/>
  <c r="AH8" i="22"/>
  <c r="AD10" i="22"/>
  <c r="AH10" i="22"/>
  <c r="CT13" i="22"/>
  <c r="CP13" i="22"/>
  <c r="CR16" i="22"/>
  <c r="CR23" i="22" s="1"/>
  <c r="N10" i="22"/>
  <c r="R10" i="22"/>
  <c r="DC10" i="22"/>
  <c r="DF10" i="22" s="1"/>
  <c r="DI11" i="22"/>
  <c r="N12" i="22"/>
  <c r="R12" i="22"/>
  <c r="DC12" i="22"/>
  <c r="DF12" i="22" s="1"/>
  <c r="BZ13" i="22"/>
  <c r="CD13" i="22"/>
  <c r="S15" i="22"/>
  <c r="DK15" i="22" s="1"/>
  <c r="DI15" i="22"/>
  <c r="BN13" i="22"/>
  <c r="BJ13" i="22"/>
  <c r="BJ15" i="22"/>
  <c r="BN15" i="22"/>
  <c r="DK19" i="22"/>
  <c r="DL20" i="22"/>
  <c r="AJ31" i="22"/>
  <c r="DI26" i="22"/>
  <c r="S26" i="22"/>
  <c r="AE32" i="22"/>
  <c r="AH20" i="22"/>
  <c r="AD20" i="22"/>
  <c r="BZ20" i="22"/>
  <c r="CD20" i="22"/>
  <c r="DI22" i="22"/>
  <c r="S22" i="22"/>
  <c r="DK22" i="22" s="1"/>
  <c r="CP12" i="22"/>
  <c r="CT12" i="22"/>
  <c r="DI20" i="22"/>
  <c r="S20" i="22"/>
  <c r="DK20" i="22" s="1"/>
  <c r="AD22" i="22"/>
  <c r="AH22" i="22"/>
  <c r="AD28" i="22"/>
  <c r="AH28" i="22"/>
  <c r="AT28" i="22"/>
  <c r="AX28" i="22"/>
  <c r="AT13" i="22"/>
  <c r="AX13" i="22"/>
  <c r="DC13" i="22"/>
  <c r="DF13" i="22" s="1"/>
  <c r="DG31" i="22"/>
  <c r="N27" i="22"/>
  <c r="R27" i="22"/>
  <c r="DC27" i="22"/>
  <c r="DF27" i="22" s="1"/>
  <c r="CP4" i="22"/>
  <c r="CT4" i="22"/>
  <c r="DL8" i="22"/>
  <c r="T16" i="22"/>
  <c r="T23" i="22" s="1"/>
  <c r="CP3" i="22"/>
  <c r="CT3" i="22"/>
  <c r="CM16" i="22"/>
  <c r="CM23" i="22" s="1"/>
  <c r="S5" i="22"/>
  <c r="DK5" i="22" s="1"/>
  <c r="DI5" i="22"/>
  <c r="CV16" i="22"/>
  <c r="CV23" i="22" s="1"/>
  <c r="CV32" i="22" s="1"/>
  <c r="DK11" i="22"/>
  <c r="BZ15" i="22"/>
  <c r="CD15" i="22"/>
  <c r="R21" i="22"/>
  <c r="N21" i="22"/>
  <c r="DC21" i="22"/>
  <c r="DF21" i="22" s="1"/>
  <c r="BJ4" i="22"/>
  <c r="BN4" i="22"/>
  <c r="AT15" i="22"/>
  <c r="AX15" i="22"/>
  <c r="AD19" i="22"/>
  <c r="AH19" i="22"/>
  <c r="DJ19" i="22" s="1"/>
  <c r="S27" i="22"/>
  <c r="DK27" i="22" s="1"/>
  <c r="DI27" i="22"/>
  <c r="AT3" i="22"/>
  <c r="AX3" i="22"/>
  <c r="AQ16" i="22"/>
  <c r="AQ23" i="22" s="1"/>
  <c r="P16" i="22"/>
  <c r="P23" i="22" s="1"/>
  <c r="N5" i="22"/>
  <c r="R5" i="22"/>
  <c r="DC5" i="22"/>
  <c r="DF5" i="22" s="1"/>
  <c r="DG16" i="22"/>
  <c r="DG23" i="22" s="1"/>
  <c r="AX7" i="22"/>
  <c r="AT7" i="22"/>
  <c r="CP7" i="22"/>
  <c r="CT7" i="22"/>
  <c r="BJ8" i="22"/>
  <c r="BN8" i="22"/>
  <c r="DI9" i="22"/>
  <c r="S9" i="22"/>
  <c r="DK9" i="22" s="1"/>
  <c r="AD3" i="22"/>
  <c r="AH3" i="22"/>
  <c r="AA16" i="22"/>
  <c r="AA23" i="22" s="1"/>
  <c r="AX4" i="22"/>
  <c r="AT4" i="22"/>
  <c r="AZ16" i="22"/>
  <c r="AZ23" i="22" s="1"/>
  <c r="DI8" i="22"/>
  <c r="S8" i="22"/>
  <c r="DK8" i="22" s="1"/>
  <c r="AX9" i="22"/>
  <c r="AT9" i="22"/>
  <c r="CP9" i="22"/>
  <c r="CT9" i="22"/>
  <c r="BL16" i="22"/>
  <c r="BL23" i="22" s="1"/>
  <c r="BL32" i="22" s="1"/>
  <c r="AD9" i="22"/>
  <c r="AH9" i="22"/>
  <c r="DC9" i="22"/>
  <c r="DF9" i="22" s="1"/>
  <c r="N15" i="22"/>
  <c r="R15" i="22"/>
  <c r="DC15" i="22"/>
  <c r="DF15" i="22" s="1"/>
  <c r="CD21" i="22"/>
  <c r="BZ21" i="22"/>
  <c r="S18" i="22"/>
  <c r="DI18" i="22"/>
  <c r="DI19" i="22"/>
  <c r="DL22" i="22"/>
  <c r="AZ31" i="22"/>
  <c r="AI31" i="22"/>
  <c r="CP8" i="22"/>
  <c r="CT8" i="22"/>
  <c r="AT12" i="22"/>
  <c r="AX12" i="22"/>
  <c r="N18" i="22"/>
  <c r="R18" i="22"/>
  <c r="DC18" i="22"/>
  <c r="BJ18" i="22"/>
  <c r="BN18" i="22"/>
  <c r="N22" i="22"/>
  <c r="DC22" i="22"/>
  <c r="DF22" i="22" s="1"/>
  <c r="R22" i="22"/>
  <c r="DA31" i="22"/>
  <c r="CP15" i="22"/>
  <c r="CT15" i="22"/>
  <c r="N20" i="22"/>
  <c r="R20" i="22"/>
  <c r="DC20" i="22"/>
  <c r="DF20" i="22" s="1"/>
  <c r="DI28" i="22"/>
  <c r="T31" i="22"/>
  <c r="DL26" i="22"/>
  <c r="AT27" i="22"/>
  <c r="AX27" i="22"/>
  <c r="AQ31" i="22"/>
  <c r="CP27" i="22"/>
  <c r="CT27" i="22"/>
  <c r="CM31" i="22"/>
  <c r="CP28" i="22"/>
  <c r="CT28" i="22"/>
  <c r="S10" i="22"/>
  <c r="DK10" i="22" s="1"/>
  <c r="DI10" i="22"/>
  <c r="CP18" i="22"/>
  <c r="CT18" i="22"/>
  <c r="DH31" i="22"/>
  <c r="AD11" i="22"/>
  <c r="AH11" i="22"/>
  <c r="DJ11" i="22" s="1"/>
  <c r="DC11" i="22"/>
  <c r="DF11" i="22" s="1"/>
  <c r="BJ22" i="22"/>
  <c r="BN22" i="22"/>
  <c r="BZ22" i="22"/>
  <c r="CD22" i="22"/>
  <c r="AD15" i="22"/>
  <c r="AH15" i="22"/>
  <c r="DI13" i="22"/>
  <c r="AY13" i="22"/>
  <c r="DK13" i="22" s="1"/>
  <c r="BZ3" i="22"/>
  <c r="CD3" i="22"/>
  <c r="BW16" i="22"/>
  <c r="BW23" i="22" s="1"/>
  <c r="AT5" i="22"/>
  <c r="AX5" i="22"/>
  <c r="DI4" i="22"/>
  <c r="S4" i="22"/>
  <c r="DK4" i="22" s="1"/>
  <c r="AT6" i="22"/>
  <c r="AX6" i="22"/>
  <c r="AJ16" i="22"/>
  <c r="AJ23" i="22" s="1"/>
  <c r="AD5" i="22"/>
  <c r="AH5" i="22"/>
  <c r="DK7" i="22"/>
  <c r="CU16" i="22"/>
  <c r="CU23" i="22" s="1"/>
  <c r="BZ5" i="22"/>
  <c r="CD5" i="22"/>
  <c r="N8" i="22"/>
  <c r="R8" i="22"/>
  <c r="DC8" i="22"/>
  <c r="DF8" i="22" s="1"/>
  <c r="AT10" i="22"/>
  <c r="AX10" i="22"/>
  <c r="AD4" i="22"/>
  <c r="AH4" i="22"/>
  <c r="DL9" i="22"/>
  <c r="CP10" i="22"/>
  <c r="CT10" i="22"/>
  <c r="BJ5" i="22"/>
  <c r="BN5" i="22"/>
  <c r="BZ10" i="22"/>
  <c r="CD10" i="22"/>
  <c r="BJ10" i="22"/>
  <c r="BN10" i="22"/>
  <c r="BZ12" i="22"/>
  <c r="CD12" i="22"/>
  <c r="N14" i="22"/>
  <c r="R14" i="22"/>
  <c r="DJ14" i="22" s="1"/>
  <c r="DC14" i="22"/>
  <c r="DF14" i="22" s="1"/>
  <c r="DL19" i="22"/>
  <c r="DI21" i="22"/>
  <c r="S21" i="22"/>
  <c r="DK21" i="22" s="1"/>
  <c r="BJ6" i="22"/>
  <c r="BN6" i="22"/>
  <c r="BJ12" i="22"/>
  <c r="BN12" i="22"/>
  <c r="DL14" i="22"/>
  <c r="DC19" i="22"/>
  <c r="DF19" i="22" s="1"/>
  <c r="BP31" i="22"/>
  <c r="DH4" i="22"/>
  <c r="DH16" i="22" s="1"/>
  <c r="CF16" i="22"/>
  <c r="CF23" i="22" s="1"/>
  <c r="DH19" i="22"/>
  <c r="AD12" i="22"/>
  <c r="AH12" i="22"/>
  <c r="DL21" i="22"/>
  <c r="DJ26" i="22"/>
  <c r="BJ27" i="22"/>
  <c r="BJ31" i="22" s="1"/>
  <c r="BN27" i="22"/>
  <c r="BN31" i="22" s="1"/>
  <c r="N30" i="22"/>
  <c r="R30" i="22"/>
  <c r="DC30" i="22"/>
  <c r="DF30" i="22" s="1"/>
  <c r="AT18" i="22"/>
  <c r="AX18" i="22"/>
  <c r="BG31" i="22"/>
  <c r="S3" i="22"/>
  <c r="DI3" i="22"/>
  <c r="CE16" i="22"/>
  <c r="CE23" i="22" s="1"/>
  <c r="BZ27" i="22"/>
  <c r="CD27" i="22"/>
  <c r="CD31" i="22" s="1"/>
  <c r="BZ31" i="22" l="1"/>
  <c r="CR32" i="22"/>
  <c r="BO32" i="22"/>
  <c r="K12" i="26"/>
  <c r="P32" i="22"/>
  <c r="BW32" i="22"/>
  <c r="DJ25" i="22"/>
  <c r="V19" i="26"/>
  <c r="R8" i="26"/>
  <c r="V8" i="26" s="1"/>
  <c r="AH8" i="26"/>
  <c r="AI8" i="26" s="1"/>
  <c r="AN8" i="26" s="1"/>
  <c r="N12" i="26"/>
  <c r="R7" i="26"/>
  <c r="V7" i="26" s="1"/>
  <c r="S33" i="26"/>
  <c r="U41" i="26"/>
  <c r="S41" i="26" s="1"/>
  <c r="AG12" i="26"/>
  <c r="AM16" i="26"/>
  <c r="AO16" i="26"/>
  <c r="AI7" i="26"/>
  <c r="E144" i="24"/>
  <c r="AK16" i="24"/>
  <c r="AP16" i="24" s="1"/>
  <c r="AL16" i="24"/>
  <c r="AQ16" i="24" s="1"/>
  <c r="AI9" i="24"/>
  <c r="AN9" i="24" s="1"/>
  <c r="N9" i="24"/>
  <c r="K9" i="24"/>
  <c r="D142" i="24"/>
  <c r="H109" i="24"/>
  <c r="K7" i="24"/>
  <c r="N7" i="24"/>
  <c r="D143" i="24"/>
  <c r="AJ19" i="24"/>
  <c r="AI19" i="24"/>
  <c r="AM14" i="24"/>
  <c r="AO14" i="24"/>
  <c r="Y8" i="24"/>
  <c r="W12" i="24"/>
  <c r="K19" i="24"/>
  <c r="N19" i="24"/>
  <c r="AJ16" i="24"/>
  <c r="D109" i="24"/>
  <c r="AI7" i="24"/>
  <c r="DF31" i="22"/>
  <c r="AV32" i="22"/>
  <c r="DJ7" i="22"/>
  <c r="DJ30" i="22"/>
  <c r="DJ4" i="22"/>
  <c r="N31" i="22"/>
  <c r="DG32" i="22"/>
  <c r="T32" i="22"/>
  <c r="DJ28" i="22"/>
  <c r="CB32" i="22"/>
  <c r="AF32" i="22"/>
  <c r="CF32" i="22"/>
  <c r="DJ13" i="22"/>
  <c r="DP32" i="22"/>
  <c r="DP33" i="22" s="1"/>
  <c r="DS33" i="22" s="1"/>
  <c r="CE32" i="22"/>
  <c r="DJ6" i="22"/>
  <c r="AA32" i="22"/>
  <c r="AQ32" i="22"/>
  <c r="R31" i="22"/>
  <c r="DL16" i="22"/>
  <c r="DL23" i="22" s="1"/>
  <c r="CT31" i="22"/>
  <c r="AT31" i="22"/>
  <c r="DS16" i="22"/>
  <c r="DS23" i="22" s="1"/>
  <c r="DS32" i="22" s="1"/>
  <c r="CP31" i="22"/>
  <c r="DJ20" i="22"/>
  <c r="AZ32" i="22"/>
  <c r="AY16" i="22"/>
  <c r="AY23" i="22" s="1"/>
  <c r="AY32" i="22" s="1"/>
  <c r="DC31" i="22"/>
  <c r="AD31" i="22"/>
  <c r="DA32" i="22"/>
  <c r="DJ8" i="22"/>
  <c r="CU32" i="22"/>
  <c r="AJ32" i="22"/>
  <c r="CD16" i="22"/>
  <c r="CD23" i="22" s="1"/>
  <c r="CD32" i="22" s="1"/>
  <c r="AX31" i="22"/>
  <c r="DH23" i="22"/>
  <c r="DH32" i="22" s="1"/>
  <c r="CP16" i="22"/>
  <c r="CP23" i="22" s="1"/>
  <c r="DL31" i="22"/>
  <c r="DK18" i="22"/>
  <c r="AH16" i="22"/>
  <c r="AH23" i="22" s="1"/>
  <c r="DJ5" i="22"/>
  <c r="AX16" i="22"/>
  <c r="AX23" i="22" s="1"/>
  <c r="DC16" i="22"/>
  <c r="DC23" i="22" s="1"/>
  <c r="DF3" i="22"/>
  <c r="DF16" i="22" s="1"/>
  <c r="AH31" i="22"/>
  <c r="DK3" i="22"/>
  <c r="DK16" i="22" s="1"/>
  <c r="S16" i="22"/>
  <c r="S23" i="22" s="1"/>
  <c r="BP32" i="22"/>
  <c r="BZ16" i="22"/>
  <c r="BZ23" i="22" s="1"/>
  <c r="BZ32" i="22" s="1"/>
  <c r="CM32" i="22"/>
  <c r="DJ22" i="22"/>
  <c r="BG32" i="22"/>
  <c r="DF18" i="22"/>
  <c r="DJ9" i="22"/>
  <c r="AD16" i="22"/>
  <c r="AD23" i="22" s="1"/>
  <c r="AD32" i="22" s="1"/>
  <c r="AT16" i="22"/>
  <c r="AT23" i="22" s="1"/>
  <c r="DJ21" i="22"/>
  <c r="DJ27" i="22"/>
  <c r="DJ12" i="22"/>
  <c r="DJ10" i="22"/>
  <c r="AI32" i="22"/>
  <c r="BN16" i="22"/>
  <c r="BN23" i="22" s="1"/>
  <c r="BN32" i="22" s="1"/>
  <c r="DJ3" i="22"/>
  <c r="R16" i="22"/>
  <c r="R23" i="22" s="1"/>
  <c r="DJ18" i="22"/>
  <c r="DJ15" i="22"/>
  <c r="CT16" i="22"/>
  <c r="CT23" i="22" s="1"/>
  <c r="CT32" i="22" s="1"/>
  <c r="DK26" i="22"/>
  <c r="DK31" i="22" s="1"/>
  <c r="S31" i="22"/>
  <c r="BJ16" i="22"/>
  <c r="BJ23" i="22" s="1"/>
  <c r="BJ32" i="22" s="1"/>
  <c r="N16" i="22"/>
  <c r="N23" i="22" s="1"/>
  <c r="N32" i="22" s="1"/>
  <c r="R9" i="24" l="1"/>
  <c r="V9" i="24" s="1"/>
  <c r="R7" i="24"/>
  <c r="V7" i="24" s="1"/>
  <c r="V12" i="26"/>
  <c r="AH12" i="26"/>
  <c r="R12" i="26"/>
  <c r="AN7" i="26"/>
  <c r="AI12" i="26"/>
  <c r="R19" i="24"/>
  <c r="U33" i="24" s="1"/>
  <c r="AN7" i="24"/>
  <c r="AA8" i="24"/>
  <c r="Y12" i="24"/>
  <c r="C109" i="24"/>
  <c r="AF8" i="24" s="1"/>
  <c r="B8" i="24"/>
  <c r="D111" i="24"/>
  <c r="AO16" i="24"/>
  <c r="AM16" i="24"/>
  <c r="AO19" i="24"/>
  <c r="AM19" i="24"/>
  <c r="AN19" i="24" s="1"/>
  <c r="G109" i="24"/>
  <c r="E8" i="24"/>
  <c r="E12" i="24" s="1"/>
  <c r="H8" i="24"/>
  <c r="H12" i="24" s="1"/>
  <c r="H111" i="24"/>
  <c r="DJ31" i="22"/>
  <c r="AX32" i="22"/>
  <c r="R32" i="22"/>
  <c r="AT32" i="22"/>
  <c r="DC32" i="22"/>
  <c r="DF23" i="22"/>
  <c r="DF32" i="22" s="1"/>
  <c r="CP32" i="22"/>
  <c r="S32" i="22"/>
  <c r="DL32" i="22"/>
  <c r="AH32" i="22"/>
  <c r="DJ16" i="22"/>
  <c r="DJ23" i="22" s="1"/>
  <c r="DK23" i="22"/>
  <c r="DK32" i="22" s="1"/>
  <c r="V19" i="24" l="1"/>
  <c r="DJ32" i="22"/>
  <c r="AH8" i="24"/>
  <c r="AH12" i="24" s="1"/>
  <c r="AG8" i="24"/>
  <c r="AG12" i="24" s="1"/>
  <c r="AF12" i="24"/>
  <c r="U41" i="24"/>
  <c r="S41" i="24" s="1"/>
  <c r="S33" i="24"/>
  <c r="K8" i="24"/>
  <c r="K12" i="24" s="1"/>
  <c r="N8" i="24"/>
  <c r="N12" i="24" s="1"/>
  <c r="B12" i="24"/>
  <c r="AF145" i="21"/>
  <c r="AE141" i="21" s="1"/>
  <c r="G137" i="21"/>
  <c r="G139" i="21" s="1"/>
  <c r="C138" i="21" s="1"/>
  <c r="AF134" i="21"/>
  <c r="AG132" i="21" s="1"/>
  <c r="AE134" i="21"/>
  <c r="AF128" i="21"/>
  <c r="AE123" i="21"/>
  <c r="D117" i="21"/>
  <c r="C117" i="21"/>
  <c r="F109" i="21"/>
  <c r="B109" i="21"/>
  <c r="F102" i="21"/>
  <c r="H84" i="21"/>
  <c r="A82" i="21"/>
  <c r="A81" i="21"/>
  <c r="A80" i="21"/>
  <c r="AF75" i="21"/>
  <c r="AE72" i="21" s="1"/>
  <c r="F69" i="21"/>
  <c r="B69" i="21"/>
  <c r="AU50" i="21"/>
  <c r="AA50" i="21"/>
  <c r="AQ50" i="21"/>
  <c r="F50" i="21"/>
  <c r="AP50" i="21" s="1"/>
  <c r="D50" i="21"/>
  <c r="AO50" i="21" s="1"/>
  <c r="AU49" i="21"/>
  <c r="AQ49" i="21"/>
  <c r="AA49" i="21"/>
  <c r="F49" i="21"/>
  <c r="AP49" i="21" s="1"/>
  <c r="D49" i="21"/>
  <c r="AO49" i="21" s="1"/>
  <c r="AU48" i="21"/>
  <c r="AA48" i="21"/>
  <c r="AQ48" i="21"/>
  <c r="F48" i="21"/>
  <c r="AP48" i="21" s="1"/>
  <c r="D48" i="21"/>
  <c r="AO48" i="21" s="1"/>
  <c r="AU47" i="21"/>
  <c r="AA47" i="21"/>
  <c r="AQ47" i="21"/>
  <c r="F47" i="21"/>
  <c r="AP47" i="21" s="1"/>
  <c r="D47" i="21"/>
  <c r="AO47" i="21" s="1"/>
  <c r="AU46" i="21"/>
  <c r="AA46" i="21"/>
  <c r="AQ46" i="21"/>
  <c r="F46" i="21"/>
  <c r="D46" i="21"/>
  <c r="AA44" i="21"/>
  <c r="AQ44" i="21"/>
  <c r="F44" i="21"/>
  <c r="AP44" i="21" s="1"/>
  <c r="D44" i="21"/>
  <c r="AO44" i="21" s="1"/>
  <c r="AU43" i="21"/>
  <c r="T41" i="21"/>
  <c r="G40" i="21"/>
  <c r="E40" i="21"/>
  <c r="C40" i="21"/>
  <c r="U39" i="21"/>
  <c r="H24" i="21"/>
  <c r="B24" i="21"/>
  <c r="B5" i="25" s="1"/>
  <c r="B8" i="25" s="1"/>
  <c r="S20" i="21"/>
  <c r="J20" i="21"/>
  <c r="I20" i="21"/>
  <c r="G20" i="21"/>
  <c r="F20" i="21"/>
  <c r="D20" i="21"/>
  <c r="C20" i="21"/>
  <c r="W18" i="21"/>
  <c r="Y18" i="21" s="1"/>
  <c r="X12" i="21"/>
  <c r="J12" i="21"/>
  <c r="I12" i="21"/>
  <c r="G12" i="21"/>
  <c r="F12" i="21"/>
  <c r="D12" i="21"/>
  <c r="C12" i="21"/>
  <c r="W11" i="21"/>
  <c r="Y11" i="21" s="1"/>
  <c r="W10" i="21"/>
  <c r="Y10" i="21" s="1"/>
  <c r="AE70" i="21" l="1"/>
  <c r="F55" i="21"/>
  <c r="R8" i="24"/>
  <c r="V8" i="24" s="1"/>
  <c r="V12" i="24" s="1"/>
  <c r="AL8" i="21"/>
  <c r="AQ8" i="21" s="1"/>
  <c r="AL11" i="21"/>
  <c r="AQ11" i="21" s="1"/>
  <c r="B12" i="25"/>
  <c r="D55" i="21"/>
  <c r="AI8" i="24"/>
  <c r="AN8" i="24" s="1"/>
  <c r="R12" i="24"/>
  <c r="AJ10" i="21"/>
  <c r="AO10" i="21" s="1"/>
  <c r="B138" i="21"/>
  <c r="W19" i="21"/>
  <c r="Y19" i="21" s="1"/>
  <c r="Y139" i="21" s="1"/>
  <c r="AE71" i="21"/>
  <c r="AG133" i="21"/>
  <c r="AG134" i="21" s="1"/>
  <c r="AE69" i="21"/>
  <c r="AH24" i="21"/>
  <c r="AL9" i="21"/>
  <c r="AQ9" i="21" s="1"/>
  <c r="AL10" i="21"/>
  <c r="AQ10" i="21" s="1"/>
  <c r="B40" i="21"/>
  <c r="B43" i="21" s="1"/>
  <c r="AJ8" i="21"/>
  <c r="D22" i="21"/>
  <c r="K5" i="25" s="1"/>
  <c r="C22" i="21"/>
  <c r="H5" i="25" s="1"/>
  <c r="F22" i="21"/>
  <c r="H11" i="25" s="1"/>
  <c r="I22" i="21"/>
  <c r="H12" i="25" s="1"/>
  <c r="J22" i="21"/>
  <c r="K12" i="25" s="1"/>
  <c r="G22" i="21"/>
  <c r="K11" i="25" s="1"/>
  <c r="F71" i="21"/>
  <c r="AO8" i="21"/>
  <c r="Y123" i="21"/>
  <c r="Y132" i="21"/>
  <c r="Y133" i="21"/>
  <c r="AF24" i="21"/>
  <c r="AO46" i="21"/>
  <c r="AE74" i="21"/>
  <c r="AE73" i="21"/>
  <c r="B75" i="21"/>
  <c r="AE139" i="21"/>
  <c r="AE143" i="21"/>
  <c r="AJ9" i="21"/>
  <c r="B71" i="21"/>
  <c r="B81" i="21" s="1"/>
  <c r="AE124" i="21"/>
  <c r="Y124" i="21" s="1"/>
  <c r="AE127" i="21"/>
  <c r="Y127" i="21" s="1"/>
  <c r="AE122" i="21"/>
  <c r="Y122" i="21" s="1"/>
  <c r="AE120" i="21"/>
  <c r="Y120" i="21" s="1"/>
  <c r="AE119" i="21"/>
  <c r="Y119" i="21" s="1"/>
  <c r="AE121" i="21"/>
  <c r="Y121" i="21" s="1"/>
  <c r="AE126" i="21"/>
  <c r="Y126" i="21" s="1"/>
  <c r="B132" i="21"/>
  <c r="C132" i="21"/>
  <c r="H138" i="21" s="1"/>
  <c r="E24" i="21"/>
  <c r="B34" i="21"/>
  <c r="C32" i="21" s="1"/>
  <c r="AE142" i="21"/>
  <c r="Y142" i="21" s="1"/>
  <c r="AE140" i="21"/>
  <c r="Y140" i="21" s="1"/>
  <c r="AE138" i="21"/>
  <c r="AE137" i="21"/>
  <c r="AE144" i="21"/>
  <c r="Y144" i="21" s="1"/>
  <c r="AJ11" i="21"/>
  <c r="B104" i="21"/>
  <c r="AE125" i="21"/>
  <c r="Y125" i="21" s="1"/>
  <c r="B137" i="21"/>
  <c r="F68" i="21"/>
  <c r="H62" i="21"/>
  <c r="H64" i="21" s="1"/>
  <c r="F104" i="21"/>
  <c r="D62" i="21"/>
  <c r="D64" i="21" s="1"/>
  <c r="B68" i="21"/>
  <c r="AP46" i="21"/>
  <c r="B117" i="21"/>
  <c r="N4" i="19"/>
  <c r="N3" i="19"/>
  <c r="AE75" i="21" l="1"/>
  <c r="AI12" i="24"/>
  <c r="C96" i="21"/>
  <c r="C97" i="21" s="1"/>
  <c r="T31" i="21" s="1"/>
  <c r="B11" i="25"/>
  <c r="B13" i="25" s="1"/>
  <c r="B15" i="25" s="1"/>
  <c r="Y143" i="21"/>
  <c r="AR51" i="21"/>
  <c r="Y141" i="21"/>
  <c r="AE128" i="21"/>
  <c r="F43" i="21"/>
  <c r="H43" i="21"/>
  <c r="J43" i="21"/>
  <c r="L43" i="21"/>
  <c r="Y138" i="21"/>
  <c r="Y134" i="21"/>
  <c r="AA43" i="21"/>
  <c r="D43" i="21"/>
  <c r="AR47" i="21"/>
  <c r="AT47" i="21" s="1"/>
  <c r="B25" i="21"/>
  <c r="AR46" i="21"/>
  <c r="AT46" i="21" s="1"/>
  <c r="AK82" i="21"/>
  <c r="AM82" i="21" s="1"/>
  <c r="AK66" i="21"/>
  <c r="AM66" i="21" s="1"/>
  <c r="AE62" i="21"/>
  <c r="AE61" i="21"/>
  <c r="AE66" i="21"/>
  <c r="AE65" i="21"/>
  <c r="Y128" i="21"/>
  <c r="H137" i="21"/>
  <c r="D132" i="21"/>
  <c r="B83" i="21"/>
  <c r="AE145" i="21"/>
  <c r="AG24" i="21"/>
  <c r="AI24" i="21" s="1"/>
  <c r="AK8" i="21"/>
  <c r="AK10" i="21"/>
  <c r="AK11" i="21"/>
  <c r="AP11" i="21" s="1"/>
  <c r="AK9" i="21"/>
  <c r="AP9" i="21" s="1"/>
  <c r="Y137" i="21"/>
  <c r="AR49" i="21"/>
  <c r="AT49" i="21" s="1"/>
  <c r="C33" i="21"/>
  <c r="C31" i="21"/>
  <c r="C30" i="21"/>
  <c r="G97" i="21"/>
  <c r="AK62" i="21"/>
  <c r="AM62" i="21" s="1"/>
  <c r="AR50" i="21"/>
  <c r="AT50" i="21" s="1"/>
  <c r="AO9" i="21"/>
  <c r="AL7" i="21"/>
  <c r="AQ7" i="21" s="1"/>
  <c r="AK7" i="21"/>
  <c r="AP7" i="21" s="1"/>
  <c r="AJ7" i="21"/>
  <c r="B70" i="21"/>
  <c r="F70" i="21"/>
  <c r="F74" i="21" s="1"/>
  <c r="F76" i="21" s="1"/>
  <c r="G96" i="21"/>
  <c r="AR44" i="21"/>
  <c r="AT44" i="21" s="1"/>
  <c r="AO11" i="21"/>
  <c r="AR48" i="21"/>
  <c r="AT48" i="21" s="1"/>
  <c r="N18" i="19"/>
  <c r="N16" i="19"/>
  <c r="N15" i="19"/>
  <c r="D54" i="21" l="1"/>
  <c r="D56" i="21" s="1"/>
  <c r="B6" i="21" s="1"/>
  <c r="L54" i="21"/>
  <c r="L56" i="21" s="1"/>
  <c r="N6" i="21" s="1"/>
  <c r="J54" i="21"/>
  <c r="J56" i="21" s="1"/>
  <c r="K6" i="21" s="1"/>
  <c r="H54" i="21"/>
  <c r="H56" i="21" s="1"/>
  <c r="H6" i="21" s="1"/>
  <c r="F54" i="21"/>
  <c r="F56" i="21" s="1"/>
  <c r="E6" i="21" s="1"/>
  <c r="Y145" i="21"/>
  <c r="AP43" i="21"/>
  <c r="AO43" i="21"/>
  <c r="AQ43" i="21"/>
  <c r="AM11" i="21"/>
  <c r="AK65" i="21"/>
  <c r="AK67" i="21" s="1"/>
  <c r="AP67" i="21" s="1"/>
  <c r="AJ65" i="21"/>
  <c r="AJ67" i="21" s="1"/>
  <c r="AO67" i="21" s="1"/>
  <c r="B80" i="21"/>
  <c r="B82" i="21" s="1"/>
  <c r="B84" i="21" s="1"/>
  <c r="Z16" i="21" s="1"/>
  <c r="F78" i="21"/>
  <c r="Z15" i="21"/>
  <c r="AM7" i="21"/>
  <c r="AO7" i="21"/>
  <c r="C34" i="21"/>
  <c r="G98" i="21"/>
  <c r="H98" i="21" s="1"/>
  <c r="B74" i="21"/>
  <c r="B76" i="21" s="1"/>
  <c r="C98" i="21"/>
  <c r="AM9" i="21"/>
  <c r="H123" i="21"/>
  <c r="H10" i="21" s="1"/>
  <c r="H81" i="21"/>
  <c r="H85" i="21" s="1"/>
  <c r="H126" i="21"/>
  <c r="H11" i="21" s="1"/>
  <c r="R24" i="21"/>
  <c r="Z19" i="21"/>
  <c r="AA19" i="21" s="1"/>
  <c r="Z17" i="21"/>
  <c r="Z9" i="21"/>
  <c r="E119" i="21"/>
  <c r="Z18" i="21"/>
  <c r="AA18" i="21" s="1"/>
  <c r="Z11" i="21"/>
  <c r="AA11" i="21" s="1"/>
  <c r="Z10" i="21"/>
  <c r="AA10" i="21" s="1"/>
  <c r="F119" i="21"/>
  <c r="F120" i="21" s="1"/>
  <c r="AP10" i="21"/>
  <c r="AM10" i="21"/>
  <c r="T39" i="21"/>
  <c r="S39" i="21" s="1"/>
  <c r="S31" i="21"/>
  <c r="AP8" i="21"/>
  <c r="AM8" i="21"/>
  <c r="H136" i="21"/>
  <c r="H132" i="21"/>
  <c r="E137" i="21"/>
  <c r="H18" i="21" s="1"/>
  <c r="D137" i="21"/>
  <c r="H139" i="21"/>
  <c r="M17" i="19"/>
  <c r="L17" i="19"/>
  <c r="K17" i="19"/>
  <c r="J17" i="19"/>
  <c r="I17" i="19"/>
  <c r="H17" i="19"/>
  <c r="G17" i="19"/>
  <c r="F17" i="19"/>
  <c r="E17" i="19"/>
  <c r="D17" i="19"/>
  <c r="C17" i="19"/>
  <c r="B17" i="19"/>
  <c r="O16" i="19"/>
  <c r="O15" i="19"/>
  <c r="N14" i="19"/>
  <c r="R6" i="21" l="1"/>
  <c r="V6" i="21" s="1"/>
  <c r="AR43" i="21"/>
  <c r="AT43" i="21" s="1"/>
  <c r="AM65" i="21"/>
  <c r="AM67" i="21" s="1"/>
  <c r="C103" i="21"/>
  <c r="D103" i="21" s="1"/>
  <c r="G103" i="21"/>
  <c r="H103" i="21" s="1"/>
  <c r="C102" i="21"/>
  <c r="D102" i="21" s="1"/>
  <c r="G102" i="21"/>
  <c r="H102" i="21" s="1"/>
  <c r="W7" i="21"/>
  <c r="Z7" i="21"/>
  <c r="AF18" i="21"/>
  <c r="B18" i="21"/>
  <c r="AG10" i="21"/>
  <c r="AH10" i="21"/>
  <c r="AF10" i="21"/>
  <c r="E10" i="21"/>
  <c r="B10" i="21"/>
  <c r="AG18" i="21"/>
  <c r="AK18" i="21" s="1"/>
  <c r="AP18" i="21" s="1"/>
  <c r="AH18" i="21"/>
  <c r="AL18" i="21" s="1"/>
  <c r="AQ18" i="21" s="1"/>
  <c r="E18" i="21"/>
  <c r="E120" i="21"/>
  <c r="G119" i="21"/>
  <c r="AF11" i="21"/>
  <c r="AH11" i="21"/>
  <c r="E11" i="21"/>
  <c r="AG11" i="21"/>
  <c r="B11" i="21"/>
  <c r="Z8" i="21"/>
  <c r="D98" i="21"/>
  <c r="H143" i="21"/>
  <c r="H142" i="21"/>
  <c r="B77" i="21"/>
  <c r="B78" i="21" s="1"/>
  <c r="B85" i="21"/>
  <c r="H83" i="21"/>
  <c r="Z14" i="21"/>
  <c r="G90" i="21"/>
  <c r="E90" i="21"/>
  <c r="P16" i="19"/>
  <c r="E21" i="19"/>
  <c r="E23" i="19"/>
  <c r="E22" i="19"/>
  <c r="I21" i="19"/>
  <c r="I23" i="19"/>
  <c r="I22" i="19"/>
  <c r="B22" i="19"/>
  <c r="B21" i="19"/>
  <c r="B23" i="19"/>
  <c r="F23" i="19"/>
  <c r="F22" i="19"/>
  <c r="F21" i="19"/>
  <c r="J23" i="19"/>
  <c r="J22" i="19"/>
  <c r="J21" i="19"/>
  <c r="C23" i="19"/>
  <c r="C22" i="19"/>
  <c r="C21" i="19"/>
  <c r="G23" i="19"/>
  <c r="G22" i="19"/>
  <c r="G21" i="19"/>
  <c r="K23" i="19"/>
  <c r="K22" i="19"/>
  <c r="K21" i="19"/>
  <c r="P15" i="19"/>
  <c r="D22" i="19"/>
  <c r="D21" i="19"/>
  <c r="D23" i="19"/>
  <c r="H22" i="19"/>
  <c r="H21" i="19"/>
  <c r="H23" i="19"/>
  <c r="N17" i="19"/>
  <c r="O14" i="19"/>
  <c r="S6" i="21" l="1"/>
  <c r="S12" i="21" s="1"/>
  <c r="S22" i="21" s="1"/>
  <c r="K11" i="21"/>
  <c r="N11" i="21"/>
  <c r="K10" i="21"/>
  <c r="N10" i="21"/>
  <c r="K18" i="21"/>
  <c r="N18" i="21"/>
  <c r="T6" i="21"/>
  <c r="U6" i="21" s="1"/>
  <c r="H104" i="21"/>
  <c r="AK15" i="21"/>
  <c r="AP15" i="21" s="1"/>
  <c r="AL15" i="21"/>
  <c r="AQ15" i="21" s="1"/>
  <c r="G89" i="21"/>
  <c r="E89" i="21"/>
  <c r="B86" i="21"/>
  <c r="H119" i="21"/>
  <c r="H9" i="21" s="1"/>
  <c r="W9" i="21"/>
  <c r="Y9" i="21" s="1"/>
  <c r="AA9" i="21" s="1"/>
  <c r="Y7" i="21"/>
  <c r="D104" i="21"/>
  <c r="AJ81" i="21"/>
  <c r="AK61" i="21"/>
  <c r="AK63" i="21" s="1"/>
  <c r="AP63" i="21" s="1"/>
  <c r="AK81" i="21"/>
  <c r="AK83" i="21" s="1"/>
  <c r="AP83" i="21" s="1"/>
  <c r="AJ61" i="21"/>
  <c r="C108" i="21"/>
  <c r="D108" i="21" s="1"/>
  <c r="C107" i="21"/>
  <c r="D107" i="21" s="1"/>
  <c r="C106" i="21"/>
  <c r="D106" i="21" s="1"/>
  <c r="G107" i="21"/>
  <c r="H107" i="21" s="1"/>
  <c r="G108" i="21"/>
  <c r="H108" i="21" s="1"/>
  <c r="G106" i="21"/>
  <c r="H106" i="21" s="1"/>
  <c r="W8" i="21"/>
  <c r="Y8" i="21" s="1"/>
  <c r="AA8" i="21" s="1"/>
  <c r="AI10" i="21"/>
  <c r="AN10" i="21" s="1"/>
  <c r="G142" i="21"/>
  <c r="D138" i="21"/>
  <c r="AI18" i="21"/>
  <c r="AJ18" i="21"/>
  <c r="AJ15" i="21"/>
  <c r="E138" i="21"/>
  <c r="H19" i="21" s="1"/>
  <c r="G143" i="21"/>
  <c r="AI11" i="21"/>
  <c r="AN11" i="21" s="1"/>
  <c r="N22" i="19"/>
  <c r="N19" i="19"/>
  <c r="N23" i="19"/>
  <c r="N21" i="19"/>
  <c r="P14" i="19"/>
  <c r="O17" i="19"/>
  <c r="R18" i="21" l="1"/>
  <c r="V18" i="21" s="1"/>
  <c r="R11" i="21"/>
  <c r="V11" i="21" s="1"/>
  <c r="R10" i="21"/>
  <c r="V10" i="21" s="1"/>
  <c r="E7" i="21"/>
  <c r="H7" i="21"/>
  <c r="G104" i="21"/>
  <c r="AG7" i="21" s="1"/>
  <c r="W12" i="21"/>
  <c r="E143" i="21"/>
  <c r="G144" i="21"/>
  <c r="D144" i="21" s="1"/>
  <c r="E142" i="21"/>
  <c r="H109" i="21"/>
  <c r="H8" i="21" s="1"/>
  <c r="C104" i="21"/>
  <c r="AF7" i="21" s="1"/>
  <c r="B7" i="21"/>
  <c r="AH19" i="21"/>
  <c r="AL19" i="21" s="1"/>
  <c r="AQ19" i="21" s="1"/>
  <c r="E19" i="21"/>
  <c r="AG19" i="21"/>
  <c r="AK19" i="21" s="1"/>
  <c r="AP19" i="21" s="1"/>
  <c r="AM18" i="21"/>
  <c r="AN18" i="21" s="1"/>
  <c r="AO18" i="21"/>
  <c r="AJ83" i="21"/>
  <c r="AO83" i="21" s="1"/>
  <c r="AM81" i="21"/>
  <c r="AM83" i="21" s="1"/>
  <c r="Y12" i="21"/>
  <c r="AA7" i="21"/>
  <c r="E91" i="21"/>
  <c r="AJ14" i="21"/>
  <c r="AM15" i="21"/>
  <c r="AO15" i="21"/>
  <c r="AM61" i="21"/>
  <c r="AM63" i="21" s="1"/>
  <c r="AJ63" i="21"/>
  <c r="AO63" i="21" s="1"/>
  <c r="AH9" i="21"/>
  <c r="E9" i="21"/>
  <c r="AF9" i="21"/>
  <c r="AG9" i="21"/>
  <c r="B9" i="21"/>
  <c r="G91" i="21"/>
  <c r="AL14" i="21"/>
  <c r="AQ14" i="21" s="1"/>
  <c r="AK14" i="21"/>
  <c r="AP14" i="21" s="1"/>
  <c r="AF19" i="21"/>
  <c r="B19" i="21"/>
  <c r="D109" i="21"/>
  <c r="P17" i="19"/>
  <c r="P21" i="19" s="1"/>
  <c r="K7" i="21" l="1"/>
  <c r="N7" i="21"/>
  <c r="N19" i="21"/>
  <c r="K19" i="21"/>
  <c r="N9" i="21"/>
  <c r="K9" i="21"/>
  <c r="H12" i="21"/>
  <c r="AH7" i="21"/>
  <c r="AI7" i="21" s="1"/>
  <c r="AI9" i="21"/>
  <c r="AN9" i="21" s="1"/>
  <c r="E144" i="21"/>
  <c r="AJ16" i="21"/>
  <c r="C109" i="21"/>
  <c r="AF8" i="21" s="1"/>
  <c r="AF12" i="21" s="1"/>
  <c r="B8" i="21"/>
  <c r="AL16" i="21"/>
  <c r="AQ16" i="21" s="1"/>
  <c r="AK16" i="21"/>
  <c r="AP16" i="21" s="1"/>
  <c r="D111" i="21"/>
  <c r="D142" i="21"/>
  <c r="D143" i="21"/>
  <c r="G109" i="21"/>
  <c r="E8" i="21"/>
  <c r="E12" i="21" s="1"/>
  <c r="H111" i="21"/>
  <c r="AJ19" i="21"/>
  <c r="AI19" i="21"/>
  <c r="AM14" i="21"/>
  <c r="AO14" i="21"/>
  <c r="P19" i="19"/>
  <c r="P23" i="19"/>
  <c r="P22" i="19"/>
  <c r="H49" i="16"/>
  <c r="F49" i="16"/>
  <c r="D49" i="16"/>
  <c r="H48" i="16"/>
  <c r="F48" i="16"/>
  <c r="D48" i="16"/>
  <c r="H47" i="16"/>
  <c r="F47" i="16"/>
  <c r="D47" i="16"/>
  <c r="H46" i="16"/>
  <c r="F46" i="16"/>
  <c r="D46" i="16"/>
  <c r="H45" i="16"/>
  <c r="F45" i="16"/>
  <c r="D45" i="16"/>
  <c r="H44" i="16"/>
  <c r="F44" i="16"/>
  <c r="D44" i="16"/>
  <c r="F49" i="20"/>
  <c r="F48" i="20"/>
  <c r="R19" i="21" l="1"/>
  <c r="V19" i="21" s="1"/>
  <c r="R9" i="21"/>
  <c r="V9" i="21" s="1"/>
  <c r="K8" i="21"/>
  <c r="N8" i="21"/>
  <c r="N12" i="21" s="1"/>
  <c r="R7" i="21"/>
  <c r="V7" i="21" s="1"/>
  <c r="B12" i="21"/>
  <c r="AN7" i="21"/>
  <c r="AO19" i="21"/>
  <c r="AM19" i="21"/>
  <c r="AN19" i="21" s="1"/>
  <c r="AM16" i="21"/>
  <c r="AO16" i="21"/>
  <c r="AG8" i="21"/>
  <c r="AG12" i="21" s="1"/>
  <c r="AH8" i="21"/>
  <c r="AH12" i="21" s="1"/>
  <c r="AA143" i="16"/>
  <c r="Z139" i="16" s="1"/>
  <c r="AA143" i="20"/>
  <c r="Z139" i="20" s="1"/>
  <c r="AA143" i="15"/>
  <c r="Z139" i="15" s="1"/>
  <c r="AA143" i="18"/>
  <c r="Z139" i="18" s="1"/>
  <c r="AA143" i="10"/>
  <c r="Z135" i="10" s="1"/>
  <c r="AA132" i="16"/>
  <c r="AB130" i="16" s="1"/>
  <c r="Z132" i="16"/>
  <c r="AA132" i="20"/>
  <c r="AB131" i="20" s="1"/>
  <c r="Z132" i="20"/>
  <c r="AA132" i="15"/>
  <c r="AB131" i="15" s="1"/>
  <c r="Z132" i="15"/>
  <c r="AA132" i="18"/>
  <c r="AB131" i="18" s="1"/>
  <c r="Z132" i="18"/>
  <c r="AA132" i="10"/>
  <c r="AB131" i="10" s="1"/>
  <c r="Z135" i="16" l="1"/>
  <c r="Z135" i="18"/>
  <c r="Z135" i="15"/>
  <c r="Z139" i="10"/>
  <c r="Z135" i="20"/>
  <c r="U33" i="21"/>
  <c r="R8" i="21"/>
  <c r="V8" i="21" s="1"/>
  <c r="V12" i="21" s="1"/>
  <c r="K12" i="21"/>
  <c r="AI8" i="21"/>
  <c r="AB131" i="16"/>
  <c r="AB132" i="16"/>
  <c r="AB130" i="10"/>
  <c r="AB132" i="10" s="1"/>
  <c r="AB130" i="20"/>
  <c r="AB132" i="20" s="1"/>
  <c r="AB130" i="15"/>
  <c r="AB132" i="15" s="1"/>
  <c r="AB130" i="18"/>
  <c r="AB132" i="18" s="1"/>
  <c r="BP19" i="9"/>
  <c r="BP18" i="9"/>
  <c r="BP17" i="9"/>
  <c r="BP15" i="9"/>
  <c r="BP11" i="9"/>
  <c r="BP10" i="9"/>
  <c r="BP9" i="9"/>
  <c r="BP8" i="9"/>
  <c r="BP7" i="9"/>
  <c r="U41" i="21" l="1"/>
  <c r="S41" i="21" s="1"/>
  <c r="S33" i="21"/>
  <c r="R12" i="21"/>
  <c r="AN8" i="21"/>
  <c r="AI12" i="21"/>
  <c r="BP12" i="9"/>
  <c r="T9" i="9"/>
  <c r="F148" i="16" s="1"/>
  <c r="C134" i="16" s="1"/>
  <c r="T7" i="9"/>
  <c r="F148" i="20" s="1"/>
  <c r="C134" i="20" s="1"/>
  <c r="T5" i="9"/>
  <c r="T4" i="9"/>
  <c r="F148" i="18" s="1"/>
  <c r="C134" i="18" s="1"/>
  <c r="G60" i="16"/>
  <c r="F60" i="16"/>
  <c r="C60" i="16"/>
  <c r="B60" i="16"/>
  <c r="G60" i="20"/>
  <c r="F60" i="20"/>
  <c r="C60" i="20"/>
  <c r="B60" i="20"/>
  <c r="G60" i="15"/>
  <c r="F60" i="15"/>
  <c r="C60" i="15"/>
  <c r="B60" i="15"/>
  <c r="F148" i="10"/>
  <c r="C134" i="10" s="1"/>
  <c r="G60" i="18"/>
  <c r="F60" i="18"/>
  <c r="C60" i="18"/>
  <c r="B60" i="18"/>
  <c r="G60" i="10"/>
  <c r="F60" i="10"/>
  <c r="C60" i="10"/>
  <c r="B60" i="10"/>
  <c r="F160" i="28" l="1"/>
  <c r="C146" i="28" s="1"/>
  <c r="C73" i="28"/>
  <c r="G73" i="28"/>
  <c r="F73" i="28"/>
  <c r="F148" i="15"/>
  <c r="C134" i="15" s="1"/>
  <c r="F150" i="26"/>
  <c r="F150" i="24"/>
  <c r="F150" i="21"/>
  <c r="D60" i="15"/>
  <c r="D60" i="20"/>
  <c r="D60" i="16"/>
  <c r="D60" i="18"/>
  <c r="G61" i="16"/>
  <c r="F61" i="16"/>
  <c r="C61" i="16"/>
  <c r="B61" i="16"/>
  <c r="G61" i="20"/>
  <c r="F61" i="20"/>
  <c r="C61" i="20"/>
  <c r="B61" i="20"/>
  <c r="C61" i="15"/>
  <c r="B61" i="15"/>
  <c r="G61" i="18"/>
  <c r="F61" i="18"/>
  <c r="C61" i="18"/>
  <c r="B61" i="18"/>
  <c r="G61" i="10"/>
  <c r="F61" i="10"/>
  <c r="C61" i="10"/>
  <c r="B61" i="10"/>
  <c r="B73" i="28" l="1"/>
  <c r="F61" i="15"/>
  <c r="G61" i="15"/>
  <c r="AF17" i="28"/>
  <c r="AH17" i="28" s="1"/>
  <c r="AJ17" i="28" s="1"/>
  <c r="B146" i="28"/>
  <c r="D146" i="28"/>
  <c r="E146" i="28"/>
  <c r="G80" i="28"/>
  <c r="H80" i="28" s="1"/>
  <c r="H73" i="28"/>
  <c r="G78" i="28"/>
  <c r="H78" i="28" s="1"/>
  <c r="G81" i="28"/>
  <c r="H81" i="28" s="1"/>
  <c r="G79" i="28"/>
  <c r="H79" i="28" s="1"/>
  <c r="F94" i="28"/>
  <c r="D73" i="28"/>
  <c r="G94" i="28"/>
  <c r="C80" i="28"/>
  <c r="D80" i="28" s="1"/>
  <c r="D85" i="28"/>
  <c r="C85" i="28" s="1"/>
  <c r="C78" i="28"/>
  <c r="D78" i="28" s="1"/>
  <c r="D93" i="28"/>
  <c r="C93" i="28" s="1"/>
  <c r="H90" i="28"/>
  <c r="C81" i="28"/>
  <c r="D81" i="28" s="1"/>
  <c r="C79" i="28"/>
  <c r="D79" i="28" s="1"/>
  <c r="G63" i="24"/>
  <c r="F63" i="24"/>
  <c r="C63" i="24"/>
  <c r="C136" i="24"/>
  <c r="B63" i="24"/>
  <c r="C136" i="26"/>
  <c r="F63" i="26"/>
  <c r="C63" i="26"/>
  <c r="B63" i="26"/>
  <c r="G63" i="26"/>
  <c r="C136" i="21"/>
  <c r="G63" i="21"/>
  <c r="F63" i="21"/>
  <c r="C63" i="21"/>
  <c r="B63" i="21"/>
  <c r="D61" i="15"/>
  <c r="D61" i="20"/>
  <c r="D61" i="16"/>
  <c r="D61" i="18"/>
  <c r="AP17" i="28" l="1"/>
  <c r="AY17" i="28" s="1"/>
  <c r="BI17" i="28" s="1"/>
  <c r="BM17" i="28" s="1"/>
  <c r="AQ17" i="28"/>
  <c r="AZ17" i="28" s="1"/>
  <c r="BJ17" i="28" s="1"/>
  <c r="AT17" i="28"/>
  <c r="BC17" i="28" s="1"/>
  <c r="E17" i="28"/>
  <c r="H17" i="28"/>
  <c r="Q17" i="28"/>
  <c r="E149" i="28"/>
  <c r="D84" i="28"/>
  <c r="D90" i="28"/>
  <c r="H84" i="28"/>
  <c r="AV17" i="28"/>
  <c r="BE17" i="28" s="1"/>
  <c r="BO17" i="28" s="1"/>
  <c r="B17" i="28"/>
  <c r="AO17" i="28"/>
  <c r="AR17" i="28"/>
  <c r="BA17" i="28" s="1"/>
  <c r="BK17" i="28" s="1"/>
  <c r="AU17" i="28"/>
  <c r="BD17" i="28" s="1"/>
  <c r="BN17" i="28" s="1"/>
  <c r="K17" i="28"/>
  <c r="AS17" i="28"/>
  <c r="BB17" i="28" s="1"/>
  <c r="T17" i="28"/>
  <c r="N17" i="28"/>
  <c r="W17" i="28"/>
  <c r="D149" i="28"/>
  <c r="D91" i="28"/>
  <c r="C91" i="28" s="1"/>
  <c r="F84" i="21"/>
  <c r="D75" i="21"/>
  <c r="C75" i="21" s="1"/>
  <c r="C68" i="21"/>
  <c r="D68" i="21" s="1"/>
  <c r="D63" i="21"/>
  <c r="G84" i="21"/>
  <c r="C70" i="21"/>
  <c r="D70" i="21" s="1"/>
  <c r="D83" i="21"/>
  <c r="C83" i="21" s="1"/>
  <c r="H80" i="21"/>
  <c r="G70" i="26"/>
  <c r="H70" i="26" s="1"/>
  <c r="G68" i="26"/>
  <c r="H68" i="26" s="1"/>
  <c r="H63" i="26"/>
  <c r="C69" i="21"/>
  <c r="D69" i="21" s="1"/>
  <c r="C71" i="21"/>
  <c r="D71" i="21" s="1"/>
  <c r="W17" i="26"/>
  <c r="Y17" i="26" s="1"/>
  <c r="AA17" i="26" s="1"/>
  <c r="B136" i="26"/>
  <c r="D136" i="26"/>
  <c r="E136" i="26"/>
  <c r="H63" i="24"/>
  <c r="G70" i="24"/>
  <c r="H70" i="24" s="1"/>
  <c r="G68" i="24"/>
  <c r="H68" i="24" s="1"/>
  <c r="H63" i="21"/>
  <c r="G68" i="21"/>
  <c r="H68" i="21" s="1"/>
  <c r="G70" i="21"/>
  <c r="H70" i="21" s="1"/>
  <c r="C68" i="26"/>
  <c r="D68" i="26" s="1"/>
  <c r="D83" i="26"/>
  <c r="C83" i="26" s="1"/>
  <c r="C70" i="26"/>
  <c r="D70" i="26" s="1"/>
  <c r="G84" i="26"/>
  <c r="D75" i="26"/>
  <c r="C75" i="26" s="1"/>
  <c r="F84" i="26"/>
  <c r="D63" i="26"/>
  <c r="H80" i="26"/>
  <c r="C68" i="24"/>
  <c r="D68" i="24" s="1"/>
  <c r="F84" i="24"/>
  <c r="C70" i="24"/>
  <c r="D70" i="24" s="1"/>
  <c r="D75" i="24"/>
  <c r="C75" i="24" s="1"/>
  <c r="D63" i="24"/>
  <c r="G84" i="24"/>
  <c r="D83" i="24"/>
  <c r="C83" i="24" s="1"/>
  <c r="H80" i="24"/>
  <c r="G71" i="24"/>
  <c r="H71" i="24" s="1"/>
  <c r="G69" i="24"/>
  <c r="H69" i="24" s="1"/>
  <c r="B136" i="21"/>
  <c r="W17" i="21"/>
  <c r="Y17" i="21" s="1"/>
  <c r="AA17" i="21" s="1"/>
  <c r="D136" i="21"/>
  <c r="E136" i="21"/>
  <c r="C71" i="24"/>
  <c r="D71" i="24" s="1"/>
  <c r="C69" i="24"/>
  <c r="D69" i="24" s="1"/>
  <c r="G71" i="26"/>
  <c r="H71" i="26" s="1"/>
  <c r="G69" i="26"/>
  <c r="H69" i="26" s="1"/>
  <c r="G69" i="21"/>
  <c r="H69" i="21" s="1"/>
  <c r="G71" i="21"/>
  <c r="H71" i="21" s="1"/>
  <c r="C71" i="26"/>
  <c r="D71" i="26" s="1"/>
  <c r="C69" i="26"/>
  <c r="D69" i="26" s="1"/>
  <c r="B136" i="24"/>
  <c r="W17" i="24"/>
  <c r="Y17" i="24" s="1"/>
  <c r="AA17" i="24" s="1"/>
  <c r="E136" i="24"/>
  <c r="D136" i="24"/>
  <c r="B32" i="20"/>
  <c r="E24" i="20" s="1"/>
  <c r="B30" i="20"/>
  <c r="E8" i="9"/>
  <c r="F8" i="9" s="1"/>
  <c r="E7" i="9"/>
  <c r="F7" i="9" s="1"/>
  <c r="Z141" i="20"/>
  <c r="G136" i="20"/>
  <c r="G135" i="20"/>
  <c r="C135" i="20"/>
  <c r="R18" i="20" s="1"/>
  <c r="T18" i="20" s="1"/>
  <c r="B134" i="20"/>
  <c r="D115" i="20"/>
  <c r="C115" i="20"/>
  <c r="F107" i="20"/>
  <c r="B107" i="20"/>
  <c r="F101" i="20"/>
  <c r="F100" i="20"/>
  <c r="B100" i="20"/>
  <c r="B102" i="20" s="1"/>
  <c r="H82" i="20"/>
  <c r="G82" i="20" s="1"/>
  <c r="A80" i="20"/>
  <c r="A79" i="20"/>
  <c r="A78" i="20"/>
  <c r="AA73" i="20"/>
  <c r="Z71" i="20" s="1"/>
  <c r="D70" i="20"/>
  <c r="G69" i="20"/>
  <c r="C69" i="20"/>
  <c r="G68" i="20"/>
  <c r="C68" i="20"/>
  <c r="G67" i="20"/>
  <c r="F67" i="20"/>
  <c r="F69" i="20" s="1"/>
  <c r="C67" i="20"/>
  <c r="B67" i="20"/>
  <c r="G66" i="20"/>
  <c r="F66" i="20"/>
  <c r="C66" i="20"/>
  <c r="B66" i="20"/>
  <c r="D62" i="20"/>
  <c r="Z59" i="20" s="1"/>
  <c r="H60" i="20"/>
  <c r="AP49" i="20"/>
  <c r="AK49" i="20"/>
  <c r="V49" i="20"/>
  <c r="H49" i="20"/>
  <c r="AL49" i="20" s="1"/>
  <c r="D49" i="20"/>
  <c r="AJ49" i="20" s="1"/>
  <c r="AP48" i="20"/>
  <c r="V48" i="20"/>
  <c r="H48" i="20"/>
  <c r="AL48" i="20" s="1"/>
  <c r="AK48" i="20"/>
  <c r="D48" i="20"/>
  <c r="AJ48" i="20" s="1"/>
  <c r="AP47" i="20"/>
  <c r="V47" i="20"/>
  <c r="H47" i="20"/>
  <c r="AL47" i="20" s="1"/>
  <c r="F47" i="20"/>
  <c r="AK47" i="20" s="1"/>
  <c r="D47" i="20"/>
  <c r="AJ47" i="20" s="1"/>
  <c r="AP46" i="20"/>
  <c r="V46" i="20"/>
  <c r="H46" i="20"/>
  <c r="AL46" i="20" s="1"/>
  <c r="F46" i="20"/>
  <c r="AK46" i="20" s="1"/>
  <c r="D46" i="20"/>
  <c r="AP45" i="20"/>
  <c r="V45" i="20"/>
  <c r="H45" i="20"/>
  <c r="F45" i="20"/>
  <c r="D45" i="20"/>
  <c r="AJ45" i="20" s="1"/>
  <c r="V44" i="20"/>
  <c r="H44" i="20"/>
  <c r="AL44" i="20" s="1"/>
  <c r="F44" i="20"/>
  <c r="AK44" i="20" s="1"/>
  <c r="D44" i="20"/>
  <c r="AJ44" i="20" s="1"/>
  <c r="AP43" i="20"/>
  <c r="O41" i="20"/>
  <c r="G40" i="20"/>
  <c r="E40" i="20"/>
  <c r="C40" i="20"/>
  <c r="P39" i="20"/>
  <c r="D25" i="20"/>
  <c r="C25" i="20"/>
  <c r="H24" i="20"/>
  <c r="AL10" i="20" s="1"/>
  <c r="N20" i="20"/>
  <c r="J20" i="20"/>
  <c r="I20" i="20"/>
  <c r="G20" i="20"/>
  <c r="F20" i="20"/>
  <c r="D20" i="20"/>
  <c r="C20" i="20"/>
  <c r="R17" i="20"/>
  <c r="T17" i="20" s="1"/>
  <c r="S12" i="20"/>
  <c r="J12" i="20"/>
  <c r="I12" i="20"/>
  <c r="I22" i="20" s="1"/>
  <c r="G12" i="20"/>
  <c r="F12" i="20"/>
  <c r="D12" i="20"/>
  <c r="C12" i="20"/>
  <c r="R11" i="20"/>
  <c r="T11" i="20" s="1"/>
  <c r="R10" i="20"/>
  <c r="T10" i="20" s="1"/>
  <c r="M5" i="19"/>
  <c r="L5" i="19"/>
  <c r="K5" i="19"/>
  <c r="J5" i="19"/>
  <c r="I5" i="19"/>
  <c r="H5" i="19"/>
  <c r="G5" i="19"/>
  <c r="F5" i="19"/>
  <c r="E5" i="19"/>
  <c r="D5" i="19"/>
  <c r="C5" i="19"/>
  <c r="B5" i="19"/>
  <c r="N2" i="19"/>
  <c r="D81" i="26" l="1"/>
  <c r="C81" i="26" s="1"/>
  <c r="AA17" i="28"/>
  <c r="C84" i="28"/>
  <c r="D86" i="28"/>
  <c r="C86" i="28" s="1"/>
  <c r="H74" i="24"/>
  <c r="G74" i="24" s="1"/>
  <c r="G84" i="28"/>
  <c r="H86" i="28"/>
  <c r="AX17" i="28"/>
  <c r="AW17" i="28"/>
  <c r="D92" i="28"/>
  <c r="C90" i="28"/>
  <c r="AG17" i="21"/>
  <c r="AK17" i="21" s="1"/>
  <c r="AP17" i="21" s="1"/>
  <c r="H17" i="21"/>
  <c r="E17" i="21"/>
  <c r="AH17" i="21"/>
  <c r="AL17" i="21" s="1"/>
  <c r="AQ17" i="21" s="1"/>
  <c r="E139" i="21"/>
  <c r="D80" i="21"/>
  <c r="E17" i="24"/>
  <c r="AH17" i="24"/>
  <c r="AL17" i="24" s="1"/>
  <c r="AQ17" i="24" s="1"/>
  <c r="AG17" i="24"/>
  <c r="AK17" i="24" s="1"/>
  <c r="AP17" i="24" s="1"/>
  <c r="H17" i="24"/>
  <c r="E139" i="24"/>
  <c r="AF17" i="21"/>
  <c r="B17" i="21"/>
  <c r="D139" i="21"/>
  <c r="D80" i="24"/>
  <c r="D74" i="24"/>
  <c r="D80" i="26"/>
  <c r="D74" i="26"/>
  <c r="H74" i="26"/>
  <c r="D74" i="21"/>
  <c r="H74" i="21"/>
  <c r="B17" i="26"/>
  <c r="AF17" i="26"/>
  <c r="D139" i="26"/>
  <c r="D81" i="21"/>
  <c r="C81" i="21" s="1"/>
  <c r="AF17" i="24"/>
  <c r="B17" i="24"/>
  <c r="D139" i="24"/>
  <c r="G137" i="20"/>
  <c r="D81" i="24"/>
  <c r="C81" i="24" s="1"/>
  <c r="H17" i="26"/>
  <c r="AH17" i="26"/>
  <c r="AL17" i="26" s="1"/>
  <c r="AQ17" i="26" s="1"/>
  <c r="E17" i="26"/>
  <c r="AG17" i="26"/>
  <c r="AK17" i="26" s="1"/>
  <c r="AP17" i="26" s="1"/>
  <c r="E139" i="26"/>
  <c r="O4" i="19"/>
  <c r="E9" i="19"/>
  <c r="E10" i="19"/>
  <c r="E11" i="19"/>
  <c r="I9" i="19"/>
  <c r="I10" i="19"/>
  <c r="I11" i="19"/>
  <c r="M9" i="19"/>
  <c r="M10" i="19"/>
  <c r="M11" i="19"/>
  <c r="B10" i="19"/>
  <c r="B9" i="19"/>
  <c r="B11" i="19"/>
  <c r="F10" i="19"/>
  <c r="F11" i="19"/>
  <c r="F9" i="19"/>
  <c r="J10" i="19"/>
  <c r="J11" i="19"/>
  <c r="J9" i="19"/>
  <c r="O2" i="19"/>
  <c r="C11" i="19"/>
  <c r="C9" i="19"/>
  <c r="C10" i="19"/>
  <c r="G11" i="19"/>
  <c r="G9" i="19"/>
  <c r="G10" i="19"/>
  <c r="K11" i="19"/>
  <c r="K9" i="19"/>
  <c r="K10" i="19"/>
  <c r="O3" i="19"/>
  <c r="D9" i="19"/>
  <c r="D10" i="19"/>
  <c r="D11" i="19"/>
  <c r="H9" i="19"/>
  <c r="H10" i="19"/>
  <c r="H11" i="19"/>
  <c r="L9" i="19"/>
  <c r="L10" i="19"/>
  <c r="L11" i="19"/>
  <c r="N5" i="19"/>
  <c r="H7" i="20"/>
  <c r="Z138" i="20"/>
  <c r="G22" i="20"/>
  <c r="H16" i="20"/>
  <c r="AL9" i="20"/>
  <c r="B73" i="20"/>
  <c r="B81" i="20" s="1"/>
  <c r="D81" i="20" s="1"/>
  <c r="C81" i="20" s="1"/>
  <c r="F22" i="20"/>
  <c r="F82" i="20"/>
  <c r="AG8" i="20"/>
  <c r="H10" i="20"/>
  <c r="D22" i="20"/>
  <c r="J22" i="20"/>
  <c r="H18" i="20"/>
  <c r="H9" i="20"/>
  <c r="H6" i="20"/>
  <c r="AG9" i="20"/>
  <c r="H53" i="20"/>
  <c r="Z70" i="20"/>
  <c r="Z60" i="20"/>
  <c r="H69" i="20"/>
  <c r="D66" i="20"/>
  <c r="D67" i="20"/>
  <c r="B69" i="20"/>
  <c r="B79" i="20" s="1"/>
  <c r="H67" i="20"/>
  <c r="C130" i="20"/>
  <c r="H136" i="20" s="1"/>
  <c r="AF64" i="20"/>
  <c r="AH64" i="20" s="1"/>
  <c r="AF9" i="20"/>
  <c r="AB24" i="20"/>
  <c r="AF10" i="20"/>
  <c r="AF11" i="20"/>
  <c r="AF8" i="20"/>
  <c r="T131" i="20"/>
  <c r="T130" i="20"/>
  <c r="AK45" i="20"/>
  <c r="F53" i="20"/>
  <c r="AL19" i="20"/>
  <c r="H19" i="20"/>
  <c r="AL16" i="20"/>
  <c r="AL15" i="20"/>
  <c r="H15" i="20"/>
  <c r="D73" i="20"/>
  <c r="C73" i="20" s="1"/>
  <c r="AA126" i="20"/>
  <c r="Z117" i="20" s="1"/>
  <c r="C136" i="20"/>
  <c r="H8" i="20"/>
  <c r="AL8" i="20"/>
  <c r="AG11" i="20"/>
  <c r="H17" i="20"/>
  <c r="AL17" i="20"/>
  <c r="D53" i="20"/>
  <c r="C22" i="20"/>
  <c r="AL7" i="20"/>
  <c r="AG10" i="20"/>
  <c r="H11" i="20"/>
  <c r="AL11" i="20"/>
  <c r="H14" i="20"/>
  <c r="AL14" i="20"/>
  <c r="AL18" i="20"/>
  <c r="AC24" i="20"/>
  <c r="B24" i="20"/>
  <c r="B34" i="20"/>
  <c r="C30" i="20" s="1"/>
  <c r="AL45" i="20"/>
  <c r="H62" i="20"/>
  <c r="H61" i="20"/>
  <c r="F68" i="20"/>
  <c r="F72" i="20" s="1"/>
  <c r="F74" i="20" s="1"/>
  <c r="H66" i="20"/>
  <c r="Z69" i="20"/>
  <c r="Z68" i="20"/>
  <c r="Z67" i="20"/>
  <c r="Z72" i="20"/>
  <c r="F102" i="20"/>
  <c r="B115" i="20"/>
  <c r="B130" i="20"/>
  <c r="B68" i="20"/>
  <c r="B78" i="20" s="1"/>
  <c r="B135" i="20"/>
  <c r="AJ46" i="20"/>
  <c r="Z142" i="20"/>
  <c r="Z140" i="20"/>
  <c r="Z137" i="20"/>
  <c r="Z136" i="20"/>
  <c r="H76" i="24" l="1"/>
  <c r="W15" i="24" s="1"/>
  <c r="Y15" i="24" s="1"/>
  <c r="BH17" i="28"/>
  <c r="BL17" i="28" s="1"/>
  <c r="BF17" i="28"/>
  <c r="BG17" i="28" s="1"/>
  <c r="F95" i="28"/>
  <c r="F93" i="28" s="1"/>
  <c r="D87" i="28"/>
  <c r="AG14" i="28" s="1"/>
  <c r="D88" i="28"/>
  <c r="AF14" i="28" s="1"/>
  <c r="F99" i="28"/>
  <c r="H99" i="28"/>
  <c r="G86" i="28"/>
  <c r="AF15" i="28"/>
  <c r="AH15" i="28" s="1"/>
  <c r="C92" i="28"/>
  <c r="D94" i="28"/>
  <c r="C94" i="28" s="1"/>
  <c r="AE17" i="28"/>
  <c r="AC17" i="28"/>
  <c r="AI17" i="26"/>
  <c r="AJ17" i="26"/>
  <c r="D76" i="26"/>
  <c r="C76" i="26" s="1"/>
  <c r="C74" i="26"/>
  <c r="C80" i="21"/>
  <c r="D82" i="21"/>
  <c r="AJ17" i="24"/>
  <c r="AI17" i="24"/>
  <c r="D82" i="26"/>
  <c r="C80" i="26"/>
  <c r="N17" i="21"/>
  <c r="R17" i="21" s="1"/>
  <c r="V17" i="21" s="1"/>
  <c r="K17" i="21"/>
  <c r="G74" i="21"/>
  <c r="H76" i="21"/>
  <c r="G74" i="26"/>
  <c r="H76" i="26"/>
  <c r="C74" i="24"/>
  <c r="D76" i="24"/>
  <c r="C76" i="24" s="1"/>
  <c r="AJ17" i="21"/>
  <c r="AI17" i="21"/>
  <c r="K17" i="24"/>
  <c r="N17" i="24"/>
  <c r="N17" i="26"/>
  <c r="K17" i="26"/>
  <c r="C74" i="21"/>
  <c r="D76" i="21"/>
  <c r="C76" i="21" s="1"/>
  <c r="D82" i="24"/>
  <c r="C80" i="24"/>
  <c r="G76" i="24"/>
  <c r="N7" i="19"/>
  <c r="O5" i="19"/>
  <c r="N10" i="19"/>
  <c r="N9" i="19"/>
  <c r="N11" i="19"/>
  <c r="Z143" i="20"/>
  <c r="AF60" i="20"/>
  <c r="AH60" i="20" s="1"/>
  <c r="T132" i="20"/>
  <c r="AK11" i="20"/>
  <c r="BF7" i="9"/>
  <c r="AK10" i="20"/>
  <c r="BE7" i="9"/>
  <c r="AK8" i="20"/>
  <c r="BC7" i="9"/>
  <c r="AK9" i="20"/>
  <c r="BD7" i="9"/>
  <c r="AF80" i="20"/>
  <c r="AH80" i="20" s="1"/>
  <c r="AM47" i="20"/>
  <c r="AO47" i="20" s="1"/>
  <c r="B72" i="20"/>
  <c r="B74" i="20" s="1"/>
  <c r="U14" i="20" s="1"/>
  <c r="D69" i="20"/>
  <c r="D79" i="20" s="1"/>
  <c r="C79" i="20" s="1"/>
  <c r="B80" i="20"/>
  <c r="B82" i="20" s="1"/>
  <c r="U16" i="20" s="1"/>
  <c r="AM46" i="20"/>
  <c r="AO46" i="20" s="1"/>
  <c r="AM49" i="20"/>
  <c r="AO49" i="20" s="1"/>
  <c r="C94" i="20"/>
  <c r="C95" i="20" s="1"/>
  <c r="O31" i="20" s="1"/>
  <c r="C32" i="20"/>
  <c r="H12" i="20"/>
  <c r="AM44" i="20"/>
  <c r="AO44" i="20" s="1"/>
  <c r="T117" i="20"/>
  <c r="U15" i="20"/>
  <c r="F76" i="20"/>
  <c r="Z73" i="20"/>
  <c r="H20" i="20"/>
  <c r="C33" i="20"/>
  <c r="C31" i="20"/>
  <c r="AC23" i="20"/>
  <c r="AC22" i="20"/>
  <c r="B136" i="20"/>
  <c r="R19" i="20"/>
  <c r="T19" i="20" s="1"/>
  <c r="D130" i="20"/>
  <c r="H135" i="20"/>
  <c r="AG7" i="20"/>
  <c r="AF7" i="20"/>
  <c r="H68" i="20"/>
  <c r="H72" i="20" s="1"/>
  <c r="G94" i="20"/>
  <c r="G95" i="20"/>
  <c r="B25" i="20"/>
  <c r="AE63" i="20" s="1"/>
  <c r="AA24" i="20"/>
  <c r="AD24" i="20" s="1"/>
  <c r="AE8" i="20"/>
  <c r="BC8" i="9" s="1"/>
  <c r="AE10" i="20"/>
  <c r="BE8" i="9" s="1"/>
  <c r="AE9" i="20"/>
  <c r="BD8" i="9" s="1"/>
  <c r="AE7" i="20"/>
  <c r="BB8" i="9" s="1"/>
  <c r="AM45" i="20"/>
  <c r="AO45" i="20" s="1"/>
  <c r="AE11" i="20"/>
  <c r="BF8" i="9" s="1"/>
  <c r="D68" i="20"/>
  <c r="Z64" i="20"/>
  <c r="Z63" i="20"/>
  <c r="Z123" i="20"/>
  <c r="T123" i="20" s="1"/>
  <c r="Z121" i="20"/>
  <c r="T121" i="20" s="1"/>
  <c r="Z124" i="20"/>
  <c r="T124" i="20" s="1"/>
  <c r="Z119" i="20"/>
  <c r="T119" i="20" s="1"/>
  <c r="Z122" i="20"/>
  <c r="T122" i="20" s="1"/>
  <c r="Z125" i="20"/>
  <c r="T125" i="20" s="1"/>
  <c r="Z118" i="20"/>
  <c r="T118" i="20" s="1"/>
  <c r="Z120" i="20"/>
  <c r="T120" i="20" s="1"/>
  <c r="AM48" i="20"/>
  <c r="AO48" i="20" s="1"/>
  <c r="R17" i="26" l="1"/>
  <c r="V17" i="26" s="1"/>
  <c r="F100" i="28"/>
  <c r="H88" i="28"/>
  <c r="H87" i="28"/>
  <c r="H100" i="28"/>
  <c r="R17" i="24"/>
  <c r="V17" i="24" s="1"/>
  <c r="G95" i="28"/>
  <c r="G93" i="28" s="1"/>
  <c r="D95" i="28"/>
  <c r="AG16" i="28" s="1"/>
  <c r="AG20" i="28" s="1"/>
  <c r="AG21" i="28" s="1"/>
  <c r="D96" i="28"/>
  <c r="AF16" i="28" s="1"/>
  <c r="F101" i="28"/>
  <c r="H101" i="28"/>
  <c r="AP14" i="28"/>
  <c r="Q14" i="28"/>
  <c r="AQ14" i="28"/>
  <c r="E14" i="28"/>
  <c r="AT14" i="28"/>
  <c r="H14" i="28"/>
  <c r="AU14" i="28"/>
  <c r="T14" i="28"/>
  <c r="N14" i="28"/>
  <c r="AR14" i="28"/>
  <c r="B14" i="28"/>
  <c r="AO14" i="28"/>
  <c r="K14" i="28"/>
  <c r="AS14" i="28"/>
  <c r="AV14" i="28"/>
  <c r="W14" i="28"/>
  <c r="BS17" i="28"/>
  <c r="BU17" i="28"/>
  <c r="BW17" i="28"/>
  <c r="BX17" i="28"/>
  <c r="BV17" i="28"/>
  <c r="BT17" i="28"/>
  <c r="BP17" i="28"/>
  <c r="BR17" i="28"/>
  <c r="BQ17" i="28"/>
  <c r="AH76" i="28"/>
  <c r="AJ15" i="28"/>
  <c r="AH75" i="28"/>
  <c r="AF20" i="28"/>
  <c r="AF21" i="28" s="1"/>
  <c r="AH14" i="28"/>
  <c r="D84" i="24"/>
  <c r="C84" i="24" s="1"/>
  <c r="C82" i="24"/>
  <c r="W15" i="26"/>
  <c r="Y15" i="26" s="1"/>
  <c r="G76" i="26"/>
  <c r="H77" i="24"/>
  <c r="H78" i="24"/>
  <c r="F90" i="24"/>
  <c r="H90" i="24"/>
  <c r="AO17" i="21"/>
  <c r="AM17" i="21"/>
  <c r="AN17" i="21" s="1"/>
  <c r="D84" i="21"/>
  <c r="C84" i="21" s="1"/>
  <c r="C82" i="21"/>
  <c r="AO17" i="26"/>
  <c r="AM17" i="26"/>
  <c r="AN17" i="26" s="1"/>
  <c r="F85" i="21"/>
  <c r="F83" i="21" s="1"/>
  <c r="D78" i="21"/>
  <c r="W14" i="21" s="1"/>
  <c r="D77" i="21"/>
  <c r="X14" i="21" s="1"/>
  <c r="F89" i="21"/>
  <c r="H89" i="21"/>
  <c r="C82" i="26"/>
  <c r="D84" i="26"/>
  <c r="C84" i="26" s="1"/>
  <c r="F85" i="26"/>
  <c r="F83" i="26" s="1"/>
  <c r="D77" i="26"/>
  <c r="X14" i="26" s="1"/>
  <c r="D78" i="26"/>
  <c r="W14" i="26" s="1"/>
  <c r="H89" i="26"/>
  <c r="F89" i="26"/>
  <c r="T139" i="20"/>
  <c r="T135" i="20"/>
  <c r="Y65" i="24"/>
  <c r="AA15" i="24"/>
  <c r="Y66" i="24"/>
  <c r="F85" i="24"/>
  <c r="F83" i="24" s="1"/>
  <c r="D78" i="24"/>
  <c r="W14" i="24" s="1"/>
  <c r="D77" i="24"/>
  <c r="X14" i="24" s="1"/>
  <c r="H89" i="24"/>
  <c r="F89" i="24"/>
  <c r="G76" i="21"/>
  <c r="W15" i="21"/>
  <c r="Y15" i="21" s="1"/>
  <c r="AM17" i="24"/>
  <c r="AN17" i="24" s="1"/>
  <c r="AO17" i="24"/>
  <c r="AK7" i="20"/>
  <c r="BB7" i="9"/>
  <c r="G88" i="20"/>
  <c r="AF15" i="20" s="1"/>
  <c r="E88" i="20"/>
  <c r="AE15" i="20" s="1"/>
  <c r="BH8" i="9" s="1"/>
  <c r="C34" i="20"/>
  <c r="H22" i="20"/>
  <c r="AF63" i="20"/>
  <c r="AF65" i="20" s="1"/>
  <c r="AK65" i="20" s="1"/>
  <c r="C96" i="20"/>
  <c r="U8" i="20" s="1"/>
  <c r="H74" i="20"/>
  <c r="G72" i="20"/>
  <c r="AH7" i="20"/>
  <c r="AJ7" i="20"/>
  <c r="G96" i="20"/>
  <c r="H96" i="20" s="1"/>
  <c r="Z126" i="20"/>
  <c r="AJ10" i="20"/>
  <c r="AH10" i="20"/>
  <c r="AE65" i="20"/>
  <c r="AJ65" i="20" s="1"/>
  <c r="H130" i="20"/>
  <c r="H134" i="20"/>
  <c r="D135" i="20"/>
  <c r="E134" i="20"/>
  <c r="D134" i="20"/>
  <c r="H137" i="20"/>
  <c r="E135" i="20"/>
  <c r="AH11" i="20"/>
  <c r="AJ11" i="20"/>
  <c r="AJ9" i="20"/>
  <c r="AH9" i="20"/>
  <c r="H79" i="20"/>
  <c r="H83" i="20" s="1"/>
  <c r="U18" i="20"/>
  <c r="V18" i="20" s="1"/>
  <c r="M24" i="20"/>
  <c r="U19" i="20"/>
  <c r="V19" i="20" s="1"/>
  <c r="U10" i="20"/>
  <c r="V10" i="20" s="1"/>
  <c r="U11" i="20"/>
  <c r="V11" i="20" s="1"/>
  <c r="H124" i="20"/>
  <c r="H121" i="20"/>
  <c r="U17" i="20"/>
  <c r="V17" i="20" s="1"/>
  <c r="U9" i="20"/>
  <c r="E117" i="20"/>
  <c r="F117" i="20"/>
  <c r="F118" i="20" s="1"/>
  <c r="AH8" i="20"/>
  <c r="AJ8" i="20"/>
  <c r="D78" i="20"/>
  <c r="D72" i="20"/>
  <c r="T141" i="20"/>
  <c r="T138" i="20"/>
  <c r="T142" i="20"/>
  <c r="T140" i="20"/>
  <c r="T137" i="20"/>
  <c r="T136" i="20"/>
  <c r="N31" i="20"/>
  <c r="O39" i="20"/>
  <c r="N39" i="20" s="1"/>
  <c r="T126" i="20"/>
  <c r="AH16" i="28" l="1"/>
  <c r="AJ16" i="28" s="1"/>
  <c r="AQ15" i="28"/>
  <c r="Q15" i="28"/>
  <c r="AT15" i="28"/>
  <c r="H15" i="28"/>
  <c r="AP15" i="28"/>
  <c r="E15" i="28"/>
  <c r="Y67" i="24"/>
  <c r="AH77" i="28"/>
  <c r="AW14" i="28"/>
  <c r="AT16" i="28"/>
  <c r="Q16" i="28"/>
  <c r="E16" i="28"/>
  <c r="AQ16" i="28"/>
  <c r="H16" i="28"/>
  <c r="AP16" i="28"/>
  <c r="AA14" i="28"/>
  <c r="AO16" i="28"/>
  <c r="T16" i="28"/>
  <c r="AU16" i="28"/>
  <c r="W16" i="28"/>
  <c r="AS16" i="28"/>
  <c r="AV16" i="28"/>
  <c r="N16" i="28"/>
  <c r="B16" i="28"/>
  <c r="AR16" i="28"/>
  <c r="K16" i="28"/>
  <c r="AH71" i="28"/>
  <c r="AH20" i="28"/>
  <c r="AH21" i="28" s="1"/>
  <c r="AH72" i="28"/>
  <c r="AJ14" i="28"/>
  <c r="AH82" i="28"/>
  <c r="AH80" i="28"/>
  <c r="AH84" i="28"/>
  <c r="AH79" i="28"/>
  <c r="AH81" i="28"/>
  <c r="AH83" i="28"/>
  <c r="AU15" i="28"/>
  <c r="K15" i="28"/>
  <c r="B15" i="28"/>
  <c r="AR15" i="28"/>
  <c r="W15" i="28"/>
  <c r="W20" i="28" s="1"/>
  <c r="N15" i="28"/>
  <c r="AS15" i="28"/>
  <c r="AV15" i="28"/>
  <c r="T15" i="28"/>
  <c r="AO15" i="28"/>
  <c r="AA15" i="21"/>
  <c r="Y65" i="21"/>
  <c r="Y66" i="21"/>
  <c r="AF14" i="21"/>
  <c r="B14" i="21"/>
  <c r="Y65" i="26"/>
  <c r="Y66" i="26"/>
  <c r="AA15" i="26"/>
  <c r="H78" i="21"/>
  <c r="H77" i="21"/>
  <c r="H90" i="21"/>
  <c r="F90" i="21"/>
  <c r="G85" i="26"/>
  <c r="G83" i="26" s="1"/>
  <c r="D85" i="26"/>
  <c r="X16" i="26" s="1"/>
  <c r="X20" i="26" s="1"/>
  <c r="X21" i="26" s="1"/>
  <c r="D86" i="26"/>
  <c r="W16" i="26" s="1"/>
  <c r="Y16" i="26" s="1"/>
  <c r="F91" i="26"/>
  <c r="H91" i="26"/>
  <c r="AF14" i="24"/>
  <c r="B14" i="24"/>
  <c r="Y14" i="26"/>
  <c r="Y14" i="21"/>
  <c r="AF15" i="24"/>
  <c r="B15" i="24"/>
  <c r="AF14" i="26"/>
  <c r="B14" i="26"/>
  <c r="Y14" i="24"/>
  <c r="E14" i="26"/>
  <c r="AH14" i="26"/>
  <c r="AG14" i="26"/>
  <c r="H14" i="26"/>
  <c r="AG15" i="24"/>
  <c r="E15" i="24"/>
  <c r="H15" i="24"/>
  <c r="AH15" i="24"/>
  <c r="AH14" i="24"/>
  <c r="H14" i="24"/>
  <c r="AG14" i="24"/>
  <c r="E14" i="24"/>
  <c r="H14" i="21"/>
  <c r="AH14" i="21"/>
  <c r="AG14" i="21"/>
  <c r="E14" i="21"/>
  <c r="G85" i="21"/>
  <c r="G83" i="21" s="1"/>
  <c r="D85" i="21"/>
  <c r="X16" i="21" s="1"/>
  <c r="X20" i="21" s="1"/>
  <c r="X21" i="21" s="1"/>
  <c r="D86" i="21"/>
  <c r="W16" i="21" s="1"/>
  <c r="H91" i="21"/>
  <c r="F91" i="21"/>
  <c r="H77" i="26"/>
  <c r="H78" i="26"/>
  <c r="H90" i="26"/>
  <c r="F90" i="26"/>
  <c r="G85" i="24"/>
  <c r="G83" i="24" s="1"/>
  <c r="D85" i="24"/>
  <c r="X16" i="24" s="1"/>
  <c r="X20" i="24" s="1"/>
  <c r="X21" i="24" s="1"/>
  <c r="D86" i="24"/>
  <c r="W16" i="24" s="1"/>
  <c r="Y16" i="24" s="1"/>
  <c r="H91" i="24"/>
  <c r="F91" i="24"/>
  <c r="T143" i="20"/>
  <c r="AK15" i="20"/>
  <c r="BH7" i="9"/>
  <c r="AG15" i="20"/>
  <c r="AH15" i="20" s="1"/>
  <c r="AH63" i="20"/>
  <c r="AH65" i="20" s="1"/>
  <c r="D96" i="20"/>
  <c r="C104" i="20" s="1"/>
  <c r="D104" i="20" s="1"/>
  <c r="AC18" i="20"/>
  <c r="AG18" i="20" s="1"/>
  <c r="E18" i="20"/>
  <c r="AB18" i="20"/>
  <c r="G74" i="20"/>
  <c r="R15" i="20"/>
  <c r="T15" i="20" s="1"/>
  <c r="B83" i="20"/>
  <c r="H81" i="20"/>
  <c r="H78" i="20" s="1"/>
  <c r="G83" i="20"/>
  <c r="G81" i="20" s="1"/>
  <c r="F83" i="20"/>
  <c r="F81" i="20" s="1"/>
  <c r="B75" i="20"/>
  <c r="H141" i="20"/>
  <c r="H140" i="20"/>
  <c r="AJ15" i="20"/>
  <c r="C72" i="20"/>
  <c r="D74" i="20"/>
  <c r="C74" i="20" s="1"/>
  <c r="AC10" i="20"/>
  <c r="E10" i="20"/>
  <c r="X7" i="9" s="1"/>
  <c r="Y7" i="9" s="1"/>
  <c r="AB10" i="20"/>
  <c r="AA10" i="20"/>
  <c r="B10" i="20"/>
  <c r="X8" i="9" s="1"/>
  <c r="Y8" i="9" s="1"/>
  <c r="AA17" i="20"/>
  <c r="B17" i="20"/>
  <c r="AH8" i="9" s="1"/>
  <c r="AA18" i="20"/>
  <c r="B18" i="20"/>
  <c r="G101" i="20"/>
  <c r="H101" i="20" s="1"/>
  <c r="C100" i="20"/>
  <c r="D100" i="20" s="1"/>
  <c r="G100" i="20"/>
  <c r="H100" i="20" s="1"/>
  <c r="C101" i="20"/>
  <c r="D101" i="20" s="1"/>
  <c r="D80" i="20"/>
  <c r="C78" i="20"/>
  <c r="G117" i="20"/>
  <c r="E118" i="20"/>
  <c r="AC11" i="20"/>
  <c r="E11" i="20"/>
  <c r="Z7" i="9" s="1"/>
  <c r="AA7" i="9" s="1"/>
  <c r="AB11" i="20"/>
  <c r="AA11" i="20"/>
  <c r="B11" i="20"/>
  <c r="Z8" i="9" s="1"/>
  <c r="AA8" i="9" s="1"/>
  <c r="AC17" i="20"/>
  <c r="AG17" i="20" s="1"/>
  <c r="AB17" i="20"/>
  <c r="E17" i="20"/>
  <c r="AH7" i="9" s="1"/>
  <c r="U7" i="20"/>
  <c r="R7" i="20"/>
  <c r="N20" i="28" l="1"/>
  <c r="AR20" i="28"/>
  <c r="AR21" i="28" s="1"/>
  <c r="AR22" i="28" s="1"/>
  <c r="AR23" i="28" s="1"/>
  <c r="B20" i="28"/>
  <c r="AQ20" i="28"/>
  <c r="AQ21" i="28" s="1"/>
  <c r="AQ22" i="28" s="1"/>
  <c r="AQ23" i="28" s="1"/>
  <c r="AT20" i="28"/>
  <c r="AT21" i="28" s="1"/>
  <c r="Q20" i="28"/>
  <c r="AH85" i="28"/>
  <c r="K20" i="28"/>
  <c r="K24" i="28" s="1"/>
  <c r="AA16" i="28"/>
  <c r="AC16" i="28" s="1"/>
  <c r="T20" i="28"/>
  <c r="T22" i="28" s="1"/>
  <c r="AP20" i="28"/>
  <c r="AP21" i="28" s="1"/>
  <c r="AP22" i="28" s="1"/>
  <c r="AP23" i="28" s="1"/>
  <c r="H20" i="28"/>
  <c r="H22" i="28" s="1"/>
  <c r="E20" i="28"/>
  <c r="E24" i="28" s="1"/>
  <c r="N22" i="28"/>
  <c r="N24" i="28"/>
  <c r="N23" i="28" s="1"/>
  <c r="W24" i="28"/>
  <c r="W22" i="28"/>
  <c r="B22" i="28"/>
  <c r="B24" i="28"/>
  <c r="Y16" i="21"/>
  <c r="AW15" i="28"/>
  <c r="BG15" i="28" s="1"/>
  <c r="BG77" i="28" s="1"/>
  <c r="AS20" i="28"/>
  <c r="AS21" i="28" s="1"/>
  <c r="AW16" i="28"/>
  <c r="BG16" i="28" s="1"/>
  <c r="BG93" i="28" s="1"/>
  <c r="BG14" i="28"/>
  <c r="BG73" i="28" s="1"/>
  <c r="Q24" i="28"/>
  <c r="Q22" i="28"/>
  <c r="AE16" i="28"/>
  <c r="W20" i="26"/>
  <c r="W21" i="26" s="1"/>
  <c r="AH73" i="28"/>
  <c r="AU20" i="28"/>
  <c r="AU21" i="28" s="1"/>
  <c r="AU22" i="28" s="1"/>
  <c r="AU23" i="28" s="1"/>
  <c r="AC14" i="28"/>
  <c r="AE14" i="28"/>
  <c r="AA15" i="28"/>
  <c r="AV20" i="28"/>
  <c r="AV21" i="28" s="1"/>
  <c r="AV22" i="28" s="1"/>
  <c r="AV23" i="28" s="1"/>
  <c r="AO20" i="28"/>
  <c r="AO21" i="28" s="1"/>
  <c r="AO22" i="28" s="1"/>
  <c r="AO23" i="28" s="1"/>
  <c r="H16" i="24"/>
  <c r="H20" i="24" s="1"/>
  <c r="H22" i="24" s="1"/>
  <c r="F12" i="25" s="1"/>
  <c r="E16" i="24"/>
  <c r="E20" i="24" s="1"/>
  <c r="E22" i="24" s="1"/>
  <c r="F11" i="25" s="1"/>
  <c r="AG16" i="24"/>
  <c r="AG20" i="24" s="1"/>
  <c r="AG21" i="24" s="1"/>
  <c r="AG22" i="24" s="1"/>
  <c r="AG23" i="24" s="1"/>
  <c r="AH16" i="24"/>
  <c r="AH20" i="24" s="1"/>
  <c r="AH21" i="24" s="1"/>
  <c r="AH22" i="24" s="1"/>
  <c r="AH23" i="24" s="1"/>
  <c r="E15" i="26"/>
  <c r="H15" i="26"/>
  <c r="AG15" i="26"/>
  <c r="AH15" i="26"/>
  <c r="H16" i="21"/>
  <c r="AG16" i="21"/>
  <c r="E16" i="21"/>
  <c r="AH16" i="21"/>
  <c r="Y20" i="24"/>
  <c r="Y21" i="24" s="1"/>
  <c r="Y61" i="24"/>
  <c r="Y62" i="24"/>
  <c r="AA14" i="24"/>
  <c r="AF16" i="26"/>
  <c r="B16" i="26"/>
  <c r="AF15" i="21"/>
  <c r="B15" i="21"/>
  <c r="Y71" i="21"/>
  <c r="Y74" i="21"/>
  <c r="Y70" i="21"/>
  <c r="Y69" i="21"/>
  <c r="AA16" i="21"/>
  <c r="Y72" i="21"/>
  <c r="Y73" i="21"/>
  <c r="W20" i="24"/>
  <c r="W21" i="24" s="1"/>
  <c r="K15" i="24"/>
  <c r="N15" i="24"/>
  <c r="W20" i="21"/>
  <c r="W21" i="21" s="1"/>
  <c r="N14" i="24"/>
  <c r="K14" i="24"/>
  <c r="Y70" i="26"/>
  <c r="Y74" i="26"/>
  <c r="Y69" i="26"/>
  <c r="Y73" i="26"/>
  <c r="Y72" i="26"/>
  <c r="Y71" i="26"/>
  <c r="AA16" i="26"/>
  <c r="H15" i="21"/>
  <c r="E15" i="21"/>
  <c r="AG15" i="21"/>
  <c r="AH15" i="21"/>
  <c r="Y67" i="21"/>
  <c r="B15" i="26"/>
  <c r="B20" i="26" s="1"/>
  <c r="B22" i="26" s="1"/>
  <c r="AF15" i="26"/>
  <c r="AF16" i="21"/>
  <c r="B16" i="21"/>
  <c r="AI14" i="26"/>
  <c r="Y61" i="26"/>
  <c r="Y20" i="26"/>
  <c r="Y21" i="26" s="1"/>
  <c r="AA14" i="26"/>
  <c r="Y62" i="26"/>
  <c r="AH16" i="26"/>
  <c r="AH20" i="26" s="1"/>
  <c r="AH21" i="26" s="1"/>
  <c r="AH22" i="26" s="1"/>
  <c r="AH23" i="26" s="1"/>
  <c r="H16" i="26"/>
  <c r="E16" i="26"/>
  <c r="AG16" i="26"/>
  <c r="AI14" i="21"/>
  <c r="Y74" i="24"/>
  <c r="Y71" i="24"/>
  <c r="AA16" i="24"/>
  <c r="Y73" i="24"/>
  <c r="Y69" i="24"/>
  <c r="Y72" i="24"/>
  <c r="Y70" i="24"/>
  <c r="AF16" i="24"/>
  <c r="B16" i="24"/>
  <c r="K14" i="26"/>
  <c r="N14" i="26"/>
  <c r="AI15" i="24"/>
  <c r="AN15" i="24" s="1"/>
  <c r="AN67" i="24" s="1"/>
  <c r="Y61" i="21"/>
  <c r="Y62" i="21"/>
  <c r="AA14" i="21"/>
  <c r="Y20" i="21"/>
  <c r="Y21" i="21" s="1"/>
  <c r="AI14" i="24"/>
  <c r="Y67" i="26"/>
  <c r="K14" i="21"/>
  <c r="N14" i="21"/>
  <c r="B20" i="21"/>
  <c r="B22" i="21" s="1"/>
  <c r="C5" i="25" s="1"/>
  <c r="AQ7" i="9"/>
  <c r="AP7" i="9"/>
  <c r="AQ8" i="9"/>
  <c r="AU8" i="9"/>
  <c r="AV8" i="9"/>
  <c r="AP8" i="9"/>
  <c r="AF17" i="20"/>
  <c r="AU7" i="9"/>
  <c r="AF18" i="20"/>
  <c r="AV7" i="9"/>
  <c r="AI8" i="9"/>
  <c r="AI7" i="9"/>
  <c r="H102" i="20"/>
  <c r="G105" i="20"/>
  <c r="H105" i="20" s="1"/>
  <c r="C105" i="20"/>
  <c r="D105" i="20" s="1"/>
  <c r="R8" i="20"/>
  <c r="T8" i="20" s="1"/>
  <c r="V8" i="20" s="1"/>
  <c r="C106" i="20"/>
  <c r="D106" i="20" s="1"/>
  <c r="M18" i="20"/>
  <c r="Q18" i="20" s="1"/>
  <c r="M10" i="20"/>
  <c r="Q10" i="20" s="1"/>
  <c r="G106" i="20"/>
  <c r="H106" i="20" s="1"/>
  <c r="M11" i="20"/>
  <c r="Q11" i="20" s="1"/>
  <c r="D102" i="20"/>
  <c r="C102" i="20" s="1"/>
  <c r="AA7" i="20" s="1"/>
  <c r="M17" i="20"/>
  <c r="Q17" i="20" s="1"/>
  <c r="G104" i="20"/>
  <c r="H104" i="20" s="1"/>
  <c r="AD10" i="20"/>
  <c r="AI10" i="20" s="1"/>
  <c r="D82" i="20"/>
  <c r="C82" i="20" s="1"/>
  <c r="D83" i="20" s="1"/>
  <c r="S16" i="20" s="1"/>
  <c r="C80" i="20"/>
  <c r="H75" i="20"/>
  <c r="F88" i="20"/>
  <c r="H76" i="20"/>
  <c r="H88" i="20"/>
  <c r="AD11" i="20"/>
  <c r="AI11" i="20" s="1"/>
  <c r="E136" i="20"/>
  <c r="G141" i="20"/>
  <c r="H117" i="20"/>
  <c r="R9" i="20"/>
  <c r="T9" i="20" s="1"/>
  <c r="V9" i="20" s="1"/>
  <c r="D75" i="20"/>
  <c r="S14" i="20" s="1"/>
  <c r="AF79" i="20"/>
  <c r="AF81" i="20" s="1"/>
  <c r="AK81" i="20" s="1"/>
  <c r="AE59" i="20"/>
  <c r="AE79" i="20"/>
  <c r="B76" i="20"/>
  <c r="AF59" i="20"/>
  <c r="AF61" i="20" s="1"/>
  <c r="AK61" i="20" s="1"/>
  <c r="B84" i="20"/>
  <c r="G140" i="20"/>
  <c r="D136" i="20"/>
  <c r="AE17" i="20"/>
  <c r="BJ8" i="9" s="1"/>
  <c r="AD17" i="20"/>
  <c r="T7" i="20"/>
  <c r="AD18" i="20"/>
  <c r="AE18" i="20"/>
  <c r="BK8" i="9" s="1"/>
  <c r="T63" i="20"/>
  <c r="T64" i="20"/>
  <c r="V15" i="20"/>
  <c r="E20" i="26" l="1"/>
  <c r="E22" i="26" s="1"/>
  <c r="E22" i="28"/>
  <c r="T24" i="28"/>
  <c r="T23" i="28" s="1"/>
  <c r="H20" i="26"/>
  <c r="H22" i="26" s="1"/>
  <c r="AI16" i="21"/>
  <c r="AN16" i="21" s="1"/>
  <c r="AN83" i="21" s="1"/>
  <c r="BV22" i="28"/>
  <c r="BU22" i="28"/>
  <c r="E23" i="28"/>
  <c r="R14" i="26"/>
  <c r="BX22" i="28"/>
  <c r="R14" i="21"/>
  <c r="R14" i="24"/>
  <c r="V14" i="24" s="1"/>
  <c r="BW22" i="28"/>
  <c r="AW20" i="28"/>
  <c r="AW21" i="28" s="1"/>
  <c r="AW22" i="28" s="1"/>
  <c r="AW23" i="28" s="1"/>
  <c r="K22" i="28"/>
  <c r="BT22" i="28" s="1"/>
  <c r="AG20" i="26"/>
  <c r="AG21" i="26" s="1"/>
  <c r="AG22" i="26" s="1"/>
  <c r="AG23" i="26" s="1"/>
  <c r="H24" i="28"/>
  <c r="H23" i="28" s="1"/>
  <c r="AP93" i="28"/>
  <c r="AO93" i="28"/>
  <c r="AW93" i="28" s="1"/>
  <c r="B23" i="28"/>
  <c r="AA24" i="28"/>
  <c r="AA23" i="28" s="1"/>
  <c r="AE15" i="28"/>
  <c r="AE20" i="28" s="1"/>
  <c r="AE21" i="28" s="1"/>
  <c r="AE22" i="28" s="1"/>
  <c r="AC15" i="28"/>
  <c r="AA20" i="28"/>
  <c r="AA22" i="28" s="1"/>
  <c r="AP73" i="28"/>
  <c r="AO73" i="28"/>
  <c r="BQ22" i="28"/>
  <c r="W23" i="28"/>
  <c r="K23" i="28"/>
  <c r="AH20" i="21"/>
  <c r="AH21" i="21" s="1"/>
  <c r="AH22" i="21" s="1"/>
  <c r="AH23" i="21" s="1"/>
  <c r="AP77" i="28"/>
  <c r="AO77" i="28"/>
  <c r="AW77" i="28" s="1"/>
  <c r="BR22" i="28"/>
  <c r="Y75" i="24"/>
  <c r="Y63" i="26"/>
  <c r="E20" i="21"/>
  <c r="E22" i="21" s="1"/>
  <c r="C11" i="25" s="1"/>
  <c r="BR14" i="28"/>
  <c r="BQ14" i="28"/>
  <c r="BP14" i="28"/>
  <c r="BW14" i="28"/>
  <c r="BX14" i="28"/>
  <c r="BT14" i="28"/>
  <c r="BS14" i="28"/>
  <c r="BU14" i="28"/>
  <c r="BV14" i="28"/>
  <c r="AC20" i="28"/>
  <c r="BS16" i="28"/>
  <c r="BU16" i="28"/>
  <c r="BW16" i="28"/>
  <c r="BV16" i="28"/>
  <c r="BT16" i="28"/>
  <c r="BP16" i="28"/>
  <c r="BR16" i="28"/>
  <c r="BQ16" i="28"/>
  <c r="BX16" i="28"/>
  <c r="Q23" i="28"/>
  <c r="BS22" i="28"/>
  <c r="T14" i="21"/>
  <c r="U14" i="21" s="1"/>
  <c r="V14" i="21"/>
  <c r="B20" i="24"/>
  <c r="B22" i="24" s="1"/>
  <c r="F5" i="25" s="1"/>
  <c r="N16" i="24"/>
  <c r="N20" i="24" s="1"/>
  <c r="N22" i="24" s="1"/>
  <c r="F7" i="25" s="1"/>
  <c r="K16" i="24"/>
  <c r="AI16" i="26"/>
  <c r="AN16" i="26" s="1"/>
  <c r="AN83" i="26" s="1"/>
  <c r="AF20" i="24"/>
  <c r="AF21" i="24" s="1"/>
  <c r="AF22" i="24" s="1"/>
  <c r="AF23" i="24" s="1"/>
  <c r="AI16" i="24"/>
  <c r="AN16" i="24" s="1"/>
  <c r="AN83" i="24" s="1"/>
  <c r="AF20" i="26"/>
  <c r="AF21" i="26" s="1"/>
  <c r="AF22" i="26" s="1"/>
  <c r="AF23" i="26" s="1"/>
  <c r="Y75" i="26"/>
  <c r="R15" i="24"/>
  <c r="N15" i="21"/>
  <c r="K15" i="21"/>
  <c r="AN14" i="24"/>
  <c r="AN63" i="24" s="1"/>
  <c r="Y63" i="21"/>
  <c r="AN14" i="21"/>
  <c r="AN63" i="21" s="1"/>
  <c r="AN14" i="26"/>
  <c r="AN63" i="26" s="1"/>
  <c r="N15" i="26"/>
  <c r="K15" i="26"/>
  <c r="AI15" i="21"/>
  <c r="AN15" i="21" s="1"/>
  <c r="AN67" i="21" s="1"/>
  <c r="Y63" i="24"/>
  <c r="AG20" i="21"/>
  <c r="AG21" i="21" s="1"/>
  <c r="AG22" i="21" s="1"/>
  <c r="AG23" i="21" s="1"/>
  <c r="T14" i="26"/>
  <c r="V14" i="26"/>
  <c r="AG83" i="21"/>
  <c r="AF83" i="21"/>
  <c r="AF20" i="21"/>
  <c r="AF21" i="21" s="1"/>
  <c r="AF22" i="21" s="1"/>
  <c r="AF23" i="21" s="1"/>
  <c r="AI15" i="26"/>
  <c r="AN15" i="26" s="1"/>
  <c r="AN67" i="26" s="1"/>
  <c r="AG67" i="24"/>
  <c r="AF67" i="24"/>
  <c r="K16" i="21"/>
  <c r="N16" i="21"/>
  <c r="Y75" i="21"/>
  <c r="K16" i="26"/>
  <c r="N16" i="26"/>
  <c r="H20" i="21"/>
  <c r="H22" i="21" s="1"/>
  <c r="C12" i="25" s="1"/>
  <c r="AK17" i="20"/>
  <c r="BJ7" i="9"/>
  <c r="AK18" i="20"/>
  <c r="BK7" i="9"/>
  <c r="AM8" i="9"/>
  <c r="D84" i="20"/>
  <c r="R16" i="20" s="1"/>
  <c r="T16" i="20" s="1"/>
  <c r="H107" i="20"/>
  <c r="E8" i="20" s="1"/>
  <c r="D107" i="20"/>
  <c r="D109" i="20" s="1"/>
  <c r="B7" i="20"/>
  <c r="S20" i="20"/>
  <c r="S21" i="20" s="1"/>
  <c r="R12" i="20"/>
  <c r="AJ18" i="20"/>
  <c r="AH18" i="20"/>
  <c r="AI18" i="20" s="1"/>
  <c r="D76" i="20"/>
  <c r="R14" i="20" s="1"/>
  <c r="E87" i="20"/>
  <c r="G87" i="20"/>
  <c r="AB9" i="20"/>
  <c r="AA9" i="20"/>
  <c r="AC9" i="20"/>
  <c r="E9" i="20"/>
  <c r="V7" i="9" s="1"/>
  <c r="W7" i="9" s="1"/>
  <c r="B9" i="20"/>
  <c r="V8" i="9" s="1"/>
  <c r="W8" i="9" s="1"/>
  <c r="G102" i="20"/>
  <c r="E7" i="20"/>
  <c r="AH17" i="20"/>
  <c r="AI17" i="20" s="1"/>
  <c r="AJ17" i="20"/>
  <c r="E140" i="20"/>
  <c r="G142" i="20"/>
  <c r="D142" i="20" s="1"/>
  <c r="AE61" i="20"/>
  <c r="AJ61" i="20" s="1"/>
  <c r="AH59" i="20"/>
  <c r="AH61" i="20" s="1"/>
  <c r="E141" i="20"/>
  <c r="V7" i="20"/>
  <c r="T12" i="20"/>
  <c r="AC19" i="20"/>
  <c r="AG19" i="20" s="1"/>
  <c r="E19" i="20"/>
  <c r="AB19" i="20"/>
  <c r="E137" i="20"/>
  <c r="AC15" i="20"/>
  <c r="E15" i="20"/>
  <c r="AD7" i="9" s="1"/>
  <c r="AE7" i="9" s="1"/>
  <c r="AB15" i="20"/>
  <c r="T65" i="20"/>
  <c r="AA19" i="20"/>
  <c r="B19" i="20"/>
  <c r="D137" i="20"/>
  <c r="AE81" i="20"/>
  <c r="AJ81" i="20" s="1"/>
  <c r="AH79" i="20"/>
  <c r="AH81" i="20" s="1"/>
  <c r="AA15" i="20"/>
  <c r="B15" i="20"/>
  <c r="AD8" i="9" s="1"/>
  <c r="AE8" i="9" s="1"/>
  <c r="T14" i="24" l="1"/>
  <c r="R16" i="26"/>
  <c r="V16" i="26" s="1"/>
  <c r="K20" i="21"/>
  <c r="K22" i="21" s="1"/>
  <c r="C6" i="25" s="1"/>
  <c r="AW73" i="28"/>
  <c r="AI20" i="21"/>
  <c r="AI21" i="21" s="1"/>
  <c r="AI22" i="21" s="1"/>
  <c r="AI23" i="21" s="1"/>
  <c r="AI20" i="24"/>
  <c r="AI21" i="24" s="1"/>
  <c r="AI22" i="24" s="1"/>
  <c r="AI23" i="24" s="1"/>
  <c r="R15" i="26"/>
  <c r="R20" i="26" s="1"/>
  <c r="R22" i="26" s="1"/>
  <c r="T10" i="26" s="1"/>
  <c r="U10" i="26" s="1"/>
  <c r="AR10" i="26" s="1"/>
  <c r="R16" i="24"/>
  <c r="V16" i="24" s="1"/>
  <c r="R15" i="21"/>
  <c r="AC22" i="28"/>
  <c r="AD32" i="28"/>
  <c r="BP22" i="28"/>
  <c r="BV15" i="28"/>
  <c r="BV18" i="28" s="1"/>
  <c r="BT15" i="28"/>
  <c r="BT18" i="28" s="1"/>
  <c r="BP15" i="28"/>
  <c r="BP20" i="28" s="1"/>
  <c r="BP21" i="28" s="1"/>
  <c r="BR15" i="28"/>
  <c r="BQ15" i="28"/>
  <c r="BQ18" i="28" s="1"/>
  <c r="BU15" i="28"/>
  <c r="BU18" i="28" s="1"/>
  <c r="BU20" i="28" s="1"/>
  <c r="BU21" i="28" s="1"/>
  <c r="BW15" i="28"/>
  <c r="BW18" i="28" s="1"/>
  <c r="BX15" i="28"/>
  <c r="BS15" i="28"/>
  <c r="T7" i="26"/>
  <c r="T9" i="26"/>
  <c r="U9" i="26" s="1"/>
  <c r="AR9" i="26" s="1"/>
  <c r="T11" i="26"/>
  <c r="U11" i="26" s="1"/>
  <c r="AR11" i="26" s="1"/>
  <c r="V15" i="21"/>
  <c r="U14" i="26"/>
  <c r="AG83" i="24"/>
  <c r="AF83" i="24"/>
  <c r="N20" i="26"/>
  <c r="N22" i="26" s="1"/>
  <c r="R16" i="21"/>
  <c r="K20" i="24"/>
  <c r="K22" i="24" s="1"/>
  <c r="F6" i="25" s="1"/>
  <c r="AI20" i="26"/>
  <c r="AI21" i="26" s="1"/>
  <c r="AI22" i="26" s="1"/>
  <c r="AI23" i="26" s="1"/>
  <c r="AG63" i="21"/>
  <c r="AF63" i="21"/>
  <c r="AF63" i="24"/>
  <c r="AG63" i="24"/>
  <c r="V15" i="24"/>
  <c r="V15" i="26"/>
  <c r="V20" i="26" s="1"/>
  <c r="V21" i="26" s="1"/>
  <c r="V22" i="26" s="1"/>
  <c r="AR14" i="21"/>
  <c r="U14" i="24"/>
  <c r="AG83" i="26"/>
  <c r="AF83" i="26"/>
  <c r="K20" i="26"/>
  <c r="K22" i="26" s="1"/>
  <c r="N20" i="21"/>
  <c r="N22" i="21" s="1"/>
  <c r="C7" i="25" s="1"/>
  <c r="AI67" i="24"/>
  <c r="AG67" i="26"/>
  <c r="AF67" i="26"/>
  <c r="AI83" i="21"/>
  <c r="AG67" i="21"/>
  <c r="AF67" i="21"/>
  <c r="AG63" i="26"/>
  <c r="AF63" i="26"/>
  <c r="AS8" i="9"/>
  <c r="AO8" i="9"/>
  <c r="AW8" i="9"/>
  <c r="AO7" i="9"/>
  <c r="AS7" i="9"/>
  <c r="AW7" i="9"/>
  <c r="G107" i="20"/>
  <c r="AB8" i="20" s="1"/>
  <c r="AF19" i="20"/>
  <c r="H109" i="20"/>
  <c r="B8" i="20"/>
  <c r="M8" i="20" s="1"/>
  <c r="Q8" i="20" s="1"/>
  <c r="C107" i="20"/>
  <c r="AA8" i="20" s="1"/>
  <c r="M7" i="20"/>
  <c r="Q7" i="20" s="1"/>
  <c r="E142" i="20"/>
  <c r="M15" i="20"/>
  <c r="Q15" i="20" s="1"/>
  <c r="M19" i="20"/>
  <c r="Q19" i="20" s="1"/>
  <c r="D141" i="20"/>
  <c r="D140" i="20"/>
  <c r="AB7" i="20"/>
  <c r="AC7" i="20"/>
  <c r="F87" i="20"/>
  <c r="E89" i="20"/>
  <c r="AE14" i="20"/>
  <c r="BG8" i="9" s="1"/>
  <c r="AD15" i="20"/>
  <c r="AI15" i="20" s="1"/>
  <c r="AI65" i="20" s="1"/>
  <c r="AD9" i="20"/>
  <c r="AI9" i="20" s="1"/>
  <c r="R20" i="20"/>
  <c r="R21" i="20" s="1"/>
  <c r="T14" i="20"/>
  <c r="T72" i="20"/>
  <c r="T71" i="20"/>
  <c r="T70" i="20"/>
  <c r="T68" i="20"/>
  <c r="V16" i="20"/>
  <c r="T69" i="20"/>
  <c r="T67" i="20"/>
  <c r="M9" i="20"/>
  <c r="AD19" i="20"/>
  <c r="AE19" i="20"/>
  <c r="BL8" i="9" s="1"/>
  <c r="AG14" i="20"/>
  <c r="AF14" i="20"/>
  <c r="G89" i="20"/>
  <c r="H87" i="20"/>
  <c r="R20" i="24" l="1"/>
  <c r="R22" i="24" s="1"/>
  <c r="V20" i="24"/>
  <c r="V21" i="24" s="1"/>
  <c r="V22" i="24" s="1"/>
  <c r="AI63" i="21"/>
  <c r="T8" i="26"/>
  <c r="U8" i="26" s="1"/>
  <c r="AR8" i="26" s="1"/>
  <c r="AS8" i="26" s="1"/>
  <c r="AI83" i="24"/>
  <c r="BQ20" i="28"/>
  <c r="BQ21" i="28" s="1"/>
  <c r="BV20" i="28"/>
  <c r="BV21" i="28" s="1"/>
  <c r="BT20" i="28"/>
  <c r="BT21" i="28" s="1"/>
  <c r="BX18" i="28"/>
  <c r="BX20" i="28" s="1"/>
  <c r="BX21" i="28" s="1"/>
  <c r="BR18" i="28"/>
  <c r="BR20" i="28" s="1"/>
  <c r="BR21" i="28" s="1"/>
  <c r="BS18" i="28"/>
  <c r="BS20" i="28" s="1"/>
  <c r="BS21" i="28" s="1"/>
  <c r="AD40" i="28"/>
  <c r="AB32" i="28"/>
  <c r="AB34" i="28" s="1"/>
  <c r="AB36" i="28" s="1"/>
  <c r="AD34" i="28"/>
  <c r="AD36" i="28" s="1"/>
  <c r="BW20" i="28"/>
  <c r="BW21" i="28" s="1"/>
  <c r="AI67" i="21"/>
  <c r="AI67" i="26"/>
  <c r="T7" i="24"/>
  <c r="T9" i="24"/>
  <c r="U9" i="24" s="1"/>
  <c r="AR9" i="24" s="1"/>
  <c r="T10" i="24"/>
  <c r="U10" i="24" s="1"/>
  <c r="AR10" i="24" s="1"/>
  <c r="T11" i="24"/>
  <c r="U11" i="24" s="1"/>
  <c r="AR11" i="24" s="1"/>
  <c r="T8" i="24"/>
  <c r="U8" i="24" s="1"/>
  <c r="AR8" i="24" s="1"/>
  <c r="AS9" i="26"/>
  <c r="AU9" i="26"/>
  <c r="AT9" i="26"/>
  <c r="AI63" i="26"/>
  <c r="AI83" i="26"/>
  <c r="AR14" i="24"/>
  <c r="V16" i="21"/>
  <c r="V20" i="21" s="1"/>
  <c r="V21" i="21" s="1"/>
  <c r="V22" i="21" s="1"/>
  <c r="AR14" i="26"/>
  <c r="R20" i="21"/>
  <c r="R22" i="21" s="1"/>
  <c r="AS10" i="26"/>
  <c r="AU10" i="26"/>
  <c r="AT10" i="26"/>
  <c r="AT11" i="26"/>
  <c r="AS11" i="26"/>
  <c r="AU11" i="26"/>
  <c r="AT14" i="21"/>
  <c r="AU14" i="21"/>
  <c r="AS14" i="21"/>
  <c r="AI63" i="24"/>
  <c r="AU8" i="26"/>
  <c r="AT8" i="26"/>
  <c r="U7" i="26"/>
  <c r="T12" i="26"/>
  <c r="AK19" i="20"/>
  <c r="BL7" i="9"/>
  <c r="AK14" i="20"/>
  <c r="BG7" i="9"/>
  <c r="AN7" i="9"/>
  <c r="AM7" i="9"/>
  <c r="AA12" i="20"/>
  <c r="AN8" i="9"/>
  <c r="AC8" i="20"/>
  <c r="AD8" i="20" s="1"/>
  <c r="AI8" i="20" s="1"/>
  <c r="P33" i="20"/>
  <c r="N33" i="20" s="1"/>
  <c r="F89" i="20"/>
  <c r="AE16" i="20"/>
  <c r="BI8" i="9" s="1"/>
  <c r="AA14" i="20"/>
  <c r="B14" i="20"/>
  <c r="AB8" i="9" s="1"/>
  <c r="AC8" i="9" s="1"/>
  <c r="AC14" i="20"/>
  <c r="E14" i="20"/>
  <c r="AB7" i="9" s="1"/>
  <c r="AC7" i="9" s="1"/>
  <c r="AB14" i="20"/>
  <c r="AA65" i="20"/>
  <c r="AB65" i="20"/>
  <c r="AH19" i="20"/>
  <c r="AI19" i="20" s="1"/>
  <c r="AJ19" i="20"/>
  <c r="Q9" i="20"/>
  <c r="Q12" i="20" s="1"/>
  <c r="H89" i="20"/>
  <c r="AG16" i="20"/>
  <c r="AF16" i="20"/>
  <c r="T73" i="20"/>
  <c r="T60" i="20"/>
  <c r="T20" i="20"/>
  <c r="T21" i="20" s="1"/>
  <c r="V14" i="20"/>
  <c r="T59" i="20"/>
  <c r="AJ14" i="20"/>
  <c r="AH14" i="20"/>
  <c r="AB12" i="20"/>
  <c r="AD7" i="20"/>
  <c r="AB40" i="28" l="1"/>
  <c r="AB42" i="28" s="1"/>
  <c r="AB44" i="28" s="1"/>
  <c r="AD42" i="28"/>
  <c r="AD44" i="28" s="1"/>
  <c r="T12" i="24"/>
  <c r="U7" i="24"/>
  <c r="AC12" i="20"/>
  <c r="U12" i="26"/>
  <c r="AR7" i="26"/>
  <c r="AU11" i="24"/>
  <c r="AS11" i="24"/>
  <c r="AT11" i="24"/>
  <c r="AT14" i="24"/>
  <c r="AS14" i="24"/>
  <c r="AU14" i="24"/>
  <c r="AU10" i="24"/>
  <c r="AS10" i="24"/>
  <c r="AT10" i="24"/>
  <c r="T29" i="26"/>
  <c r="T15" i="26"/>
  <c r="AU8" i="24"/>
  <c r="AT8" i="24"/>
  <c r="AS8" i="24"/>
  <c r="AU14" i="26"/>
  <c r="AS14" i="26"/>
  <c r="AT14" i="26"/>
  <c r="T11" i="21"/>
  <c r="U11" i="21" s="1"/>
  <c r="AR11" i="21" s="1"/>
  <c r="T10" i="21"/>
  <c r="U10" i="21" s="1"/>
  <c r="AR10" i="21" s="1"/>
  <c r="T8" i="21"/>
  <c r="U8" i="21" s="1"/>
  <c r="AR8" i="21" s="1"/>
  <c r="T7" i="21"/>
  <c r="T9" i="21"/>
  <c r="U9" i="21" s="1"/>
  <c r="AR9" i="21" s="1"/>
  <c r="AS9" i="24"/>
  <c r="AU9" i="24"/>
  <c r="AT9" i="24"/>
  <c r="AK16" i="20"/>
  <c r="BI7" i="9"/>
  <c r="AR7" i="9"/>
  <c r="AR8" i="9"/>
  <c r="P41" i="20"/>
  <c r="N41" i="20" s="1"/>
  <c r="AD14" i="20"/>
  <c r="AD65" i="20"/>
  <c r="AA16" i="20"/>
  <c r="B16" i="20"/>
  <c r="AF8" i="9" s="1"/>
  <c r="AG8" i="9" s="1"/>
  <c r="AD12" i="20"/>
  <c r="AI7" i="20"/>
  <c r="T61" i="20"/>
  <c r="AC16" i="20"/>
  <c r="AC20" i="20" s="1"/>
  <c r="AB16" i="20"/>
  <c r="E16" i="20"/>
  <c r="M14" i="20"/>
  <c r="AH16" i="20"/>
  <c r="AJ16" i="20"/>
  <c r="T37" i="26" l="1"/>
  <c r="AC21" i="20"/>
  <c r="AS9" i="21"/>
  <c r="AT9" i="21"/>
  <c r="AU9" i="21"/>
  <c r="AU11" i="21"/>
  <c r="AT11" i="21"/>
  <c r="AS11" i="21"/>
  <c r="AR7" i="24"/>
  <c r="U12" i="24"/>
  <c r="AU8" i="21"/>
  <c r="AT8" i="21"/>
  <c r="AS8" i="21"/>
  <c r="T30" i="26"/>
  <c r="AS10" i="21"/>
  <c r="AU10" i="21"/>
  <c r="AT10" i="21"/>
  <c r="U7" i="21"/>
  <c r="T12" i="21"/>
  <c r="T16" i="26"/>
  <c r="U15" i="26"/>
  <c r="AR12" i="26"/>
  <c r="AU7" i="26"/>
  <c r="AU12" i="26" s="1"/>
  <c r="AS7" i="26"/>
  <c r="AS12" i="26" s="1"/>
  <c r="AT7" i="26"/>
  <c r="AT12" i="26" s="1"/>
  <c r="T29" i="24"/>
  <c r="T15" i="24"/>
  <c r="AB20" i="20"/>
  <c r="AB21" i="20" s="1"/>
  <c r="AB22" i="20" s="1"/>
  <c r="AT7" i="9"/>
  <c r="AX7" i="9" s="1"/>
  <c r="AA20" i="20"/>
  <c r="AA21" i="20" s="1"/>
  <c r="AA22" i="20" s="1"/>
  <c r="AT8" i="9"/>
  <c r="AX8" i="9" s="1"/>
  <c r="E20" i="20"/>
  <c r="AF7" i="9"/>
  <c r="AG7" i="9" s="1"/>
  <c r="M16" i="20"/>
  <c r="Q16" i="20" s="1"/>
  <c r="B20" i="20"/>
  <c r="AD16" i="20"/>
  <c r="AI16" i="20" s="1"/>
  <c r="AI81" i="20" s="1"/>
  <c r="Q14" i="20"/>
  <c r="AI14" i="20"/>
  <c r="AI61" i="20" s="1"/>
  <c r="T37" i="24" l="1"/>
  <c r="T15" i="21"/>
  <c r="T29" i="21"/>
  <c r="U12" i="21"/>
  <c r="AR7" i="21"/>
  <c r="T38" i="26"/>
  <c r="T40" i="26" s="1"/>
  <c r="T42" i="26" s="1"/>
  <c r="T30" i="24"/>
  <c r="T32" i="26"/>
  <c r="T34" i="26" s="1"/>
  <c r="AR15" i="26"/>
  <c r="T16" i="24"/>
  <c r="U15" i="24"/>
  <c r="U16" i="26"/>
  <c r="AR16" i="26" s="1"/>
  <c r="T17" i="26"/>
  <c r="AS7" i="24"/>
  <c r="AS12" i="24" s="1"/>
  <c r="AT7" i="24"/>
  <c r="AT12" i="24" s="1"/>
  <c r="AR12" i="24"/>
  <c r="AU7" i="24"/>
  <c r="AU12" i="24" s="1"/>
  <c r="J7" i="9"/>
  <c r="M20" i="20"/>
  <c r="J8" i="9"/>
  <c r="Q20" i="20"/>
  <c r="Q21" i="20" s="1"/>
  <c r="AA61" i="20"/>
  <c r="AB61" i="20"/>
  <c r="AA81" i="20"/>
  <c r="AB81" i="20"/>
  <c r="AD20" i="20"/>
  <c r="AD21" i="20" s="1"/>
  <c r="AD22" i="20" s="1"/>
  <c r="AT16" i="26" l="1"/>
  <c r="AU16" i="26"/>
  <c r="AS16" i="26"/>
  <c r="T32" i="24"/>
  <c r="T34" i="24" s="1"/>
  <c r="T38" i="24"/>
  <c r="T40" i="24" s="1"/>
  <c r="T42" i="24" s="1"/>
  <c r="T30" i="21"/>
  <c r="U17" i="26"/>
  <c r="AR17" i="26" s="1"/>
  <c r="AR15" i="24"/>
  <c r="T37" i="21"/>
  <c r="U16" i="24"/>
  <c r="AR16" i="24" s="1"/>
  <c r="T17" i="24"/>
  <c r="U17" i="24" s="1"/>
  <c r="AR17" i="24" s="1"/>
  <c r="AU7" i="21"/>
  <c r="AU12" i="21" s="1"/>
  <c r="AS7" i="21"/>
  <c r="AS12" i="21" s="1"/>
  <c r="AT7" i="21"/>
  <c r="AT12" i="21" s="1"/>
  <c r="AR12" i="21"/>
  <c r="U15" i="21"/>
  <c r="T18" i="26"/>
  <c r="U18" i="26" s="1"/>
  <c r="AR18" i="26" s="1"/>
  <c r="AT15" i="26"/>
  <c r="AS15" i="26"/>
  <c r="AU15" i="26"/>
  <c r="T16" i="21"/>
  <c r="AD61" i="20"/>
  <c r="AD81" i="20"/>
  <c r="U16" i="21" l="1"/>
  <c r="AR16" i="21" s="1"/>
  <c r="AS16" i="24"/>
  <c r="AT16" i="24"/>
  <c r="AU16" i="24"/>
  <c r="T38" i="21"/>
  <c r="AS18" i="26"/>
  <c r="AU18" i="26"/>
  <c r="AT18" i="26"/>
  <c r="T18" i="24"/>
  <c r="T32" i="21"/>
  <c r="T34" i="21" s="1"/>
  <c r="T19" i="26"/>
  <c r="U19" i="26" s="1"/>
  <c r="AU17" i="24"/>
  <c r="AS17" i="24"/>
  <c r="AT17" i="24"/>
  <c r="AU15" i="24"/>
  <c r="AT15" i="24"/>
  <c r="AS15" i="24"/>
  <c r="AR15" i="21"/>
  <c r="T19" i="24"/>
  <c r="U19" i="24" s="1"/>
  <c r="AR19" i="24" s="1"/>
  <c r="T40" i="21"/>
  <c r="T42" i="21" s="1"/>
  <c r="AT17" i="26"/>
  <c r="AS17" i="26"/>
  <c r="AU17" i="26"/>
  <c r="T17" i="21"/>
  <c r="U17" i="21" s="1"/>
  <c r="AR17" i="21" s="1"/>
  <c r="B30" i="18"/>
  <c r="B24" i="18" s="1"/>
  <c r="Z142" i="18"/>
  <c r="G136" i="18"/>
  <c r="G135" i="18"/>
  <c r="C135" i="18"/>
  <c r="B135" i="18" s="1"/>
  <c r="C130" i="18"/>
  <c r="AA126" i="18"/>
  <c r="Z124" i="18" s="1"/>
  <c r="D115" i="18"/>
  <c r="C115" i="18"/>
  <c r="F107" i="18"/>
  <c r="B107" i="18"/>
  <c r="F101" i="18"/>
  <c r="F100" i="18"/>
  <c r="B100" i="18"/>
  <c r="H82" i="18"/>
  <c r="A80" i="18"/>
  <c r="A79" i="18"/>
  <c r="A78" i="18"/>
  <c r="AA73" i="18"/>
  <c r="Z72" i="18" s="1"/>
  <c r="D70" i="18"/>
  <c r="G69" i="18"/>
  <c r="C69" i="18"/>
  <c r="G68" i="18"/>
  <c r="C68" i="18"/>
  <c r="G67" i="18"/>
  <c r="F67" i="18"/>
  <c r="F69" i="18" s="1"/>
  <c r="C67" i="18"/>
  <c r="B67" i="18"/>
  <c r="G66" i="18"/>
  <c r="F66" i="18"/>
  <c r="F68" i="18" s="1"/>
  <c r="C66" i="18"/>
  <c r="B66" i="18"/>
  <c r="H60" i="18"/>
  <c r="H62" i="18" s="1"/>
  <c r="Z64" i="18" s="1"/>
  <c r="AP49" i="18"/>
  <c r="V49" i="18"/>
  <c r="H49" i="18"/>
  <c r="AL49" i="18" s="1"/>
  <c r="F49" i="18"/>
  <c r="AK49" i="18" s="1"/>
  <c r="D49" i="18"/>
  <c r="AJ49" i="18" s="1"/>
  <c r="AP48" i="18"/>
  <c r="V48" i="18"/>
  <c r="H48" i="18"/>
  <c r="AL48" i="18" s="1"/>
  <c r="F48" i="18"/>
  <c r="AK48" i="18" s="1"/>
  <c r="D48" i="18"/>
  <c r="AJ48" i="18" s="1"/>
  <c r="AP47" i="18"/>
  <c r="V47" i="18"/>
  <c r="H47" i="18"/>
  <c r="AL47" i="18" s="1"/>
  <c r="F47" i="18"/>
  <c r="AK47" i="18" s="1"/>
  <c r="D47" i="18"/>
  <c r="AP46" i="18"/>
  <c r="V46" i="18"/>
  <c r="H46" i="18"/>
  <c r="AL46" i="18" s="1"/>
  <c r="F46" i="18"/>
  <c r="AK46" i="18" s="1"/>
  <c r="D46" i="18"/>
  <c r="AJ46" i="18" s="1"/>
  <c r="AP45" i="18"/>
  <c r="V45" i="18"/>
  <c r="H45" i="18"/>
  <c r="AL45" i="18" s="1"/>
  <c r="F45" i="18"/>
  <c r="D45" i="18"/>
  <c r="AJ45" i="18" s="1"/>
  <c r="V44" i="18"/>
  <c r="H44" i="18"/>
  <c r="AL44" i="18" s="1"/>
  <c r="F44" i="18"/>
  <c r="AK44" i="18" s="1"/>
  <c r="D44" i="18"/>
  <c r="AJ44" i="18" s="1"/>
  <c r="AP43" i="18"/>
  <c r="O41" i="18"/>
  <c r="G40" i="18"/>
  <c r="E40" i="18"/>
  <c r="C40" i="18"/>
  <c r="P39" i="18"/>
  <c r="D25" i="18"/>
  <c r="C25" i="18"/>
  <c r="H24" i="18"/>
  <c r="AC24" i="18" s="1"/>
  <c r="E24" i="18"/>
  <c r="E15" i="18" s="1"/>
  <c r="N20" i="18"/>
  <c r="J20" i="18"/>
  <c r="I20" i="18"/>
  <c r="G20" i="18"/>
  <c r="F20" i="18"/>
  <c r="D20" i="18"/>
  <c r="C20" i="18"/>
  <c r="R18" i="18"/>
  <c r="T18" i="18" s="1"/>
  <c r="S12" i="18"/>
  <c r="J12" i="18"/>
  <c r="I12" i="18"/>
  <c r="G12" i="18"/>
  <c r="F12" i="18"/>
  <c r="F22" i="18" s="1"/>
  <c r="D12" i="18"/>
  <c r="C12" i="18"/>
  <c r="R11" i="18"/>
  <c r="T11" i="18" s="1"/>
  <c r="R10" i="18"/>
  <c r="T10" i="18" s="1"/>
  <c r="E4" i="9"/>
  <c r="F4" i="9" s="1"/>
  <c r="T20" i="26" l="1"/>
  <c r="T22" i="26" s="1"/>
  <c r="U29" i="26"/>
  <c r="AU19" i="24"/>
  <c r="AS19" i="24"/>
  <c r="AT19" i="24"/>
  <c r="U18" i="24"/>
  <c r="T20" i="24"/>
  <c r="T18" i="21"/>
  <c r="T19" i="21" s="1"/>
  <c r="U19" i="21" s="1"/>
  <c r="AR19" i="21" s="1"/>
  <c r="AS17" i="21"/>
  <c r="AT17" i="21"/>
  <c r="AU17" i="21"/>
  <c r="AS15" i="21"/>
  <c r="AT15" i="21"/>
  <c r="AU15" i="21"/>
  <c r="AR19" i="26"/>
  <c r="U20" i="26"/>
  <c r="AT16" i="21"/>
  <c r="AU16" i="21"/>
  <c r="AS16" i="21"/>
  <c r="B115" i="18"/>
  <c r="H10" i="18"/>
  <c r="AF8" i="18"/>
  <c r="AK8" i="18" s="1"/>
  <c r="D22" i="18"/>
  <c r="J22" i="18"/>
  <c r="I22" i="18"/>
  <c r="F102" i="18"/>
  <c r="AF7" i="18" s="1"/>
  <c r="AK7" i="18" s="1"/>
  <c r="H11" i="18"/>
  <c r="H53" i="18"/>
  <c r="E11" i="18"/>
  <c r="Z137" i="18"/>
  <c r="H6" i="18"/>
  <c r="H16" i="18"/>
  <c r="E6" i="18"/>
  <c r="E14" i="18"/>
  <c r="Z121" i="18"/>
  <c r="H7" i="18"/>
  <c r="H17" i="18"/>
  <c r="D53" i="18"/>
  <c r="C22" i="18"/>
  <c r="G137" i="18"/>
  <c r="C136" i="18" s="1"/>
  <c r="H8" i="18"/>
  <c r="H14" i="18"/>
  <c r="H18" i="18"/>
  <c r="AG14" i="18"/>
  <c r="AB16" i="18"/>
  <c r="AB14" i="18"/>
  <c r="AF14" i="18"/>
  <c r="AC16" i="18"/>
  <c r="AC14" i="18"/>
  <c r="AF16" i="18"/>
  <c r="AF15" i="18"/>
  <c r="AC15" i="18"/>
  <c r="AG16" i="18"/>
  <c r="AB15" i="18"/>
  <c r="AG15" i="18"/>
  <c r="E16" i="18"/>
  <c r="AB24" i="18"/>
  <c r="Z71" i="18"/>
  <c r="H9" i="18"/>
  <c r="H15" i="18"/>
  <c r="H19" i="18"/>
  <c r="Z122" i="18"/>
  <c r="T122" i="18" s="1"/>
  <c r="Z117" i="18"/>
  <c r="T117" i="18" s="1"/>
  <c r="Z123" i="18"/>
  <c r="T123" i="18" s="1"/>
  <c r="Z119" i="18"/>
  <c r="T119" i="18" s="1"/>
  <c r="Z68" i="18"/>
  <c r="Z70" i="18"/>
  <c r="H69" i="18"/>
  <c r="H61" i="18"/>
  <c r="Z63" i="18"/>
  <c r="H66" i="18"/>
  <c r="B130" i="18"/>
  <c r="H135" i="18" s="1"/>
  <c r="B34" i="18"/>
  <c r="C32" i="18" s="1"/>
  <c r="AG9" i="18"/>
  <c r="AL9" i="18" s="1"/>
  <c r="AG11" i="18"/>
  <c r="AA24" i="18"/>
  <c r="AM48" i="18"/>
  <c r="AO48" i="18" s="1"/>
  <c r="AF64" i="18"/>
  <c r="AH64" i="18" s="1"/>
  <c r="AM49" i="18"/>
  <c r="AO49" i="18" s="1"/>
  <c r="AG8" i="18"/>
  <c r="AL8" i="18" s="1"/>
  <c r="AJ47" i="18"/>
  <c r="AM47" i="18" s="1"/>
  <c r="AO47" i="18" s="1"/>
  <c r="T124" i="18"/>
  <c r="T121" i="18"/>
  <c r="R17" i="18"/>
  <c r="T17" i="18" s="1"/>
  <c r="B134" i="18"/>
  <c r="T130" i="18"/>
  <c r="T131" i="18"/>
  <c r="AM44" i="18"/>
  <c r="AO44" i="18" s="1"/>
  <c r="B68" i="18"/>
  <c r="D68" i="18" s="1"/>
  <c r="D66" i="18"/>
  <c r="C94" i="18"/>
  <c r="AE8" i="18"/>
  <c r="BC4" i="9" s="1"/>
  <c r="AM46" i="18"/>
  <c r="AO46" i="18" s="1"/>
  <c r="F82" i="18"/>
  <c r="B73" i="18"/>
  <c r="G82" i="18"/>
  <c r="G94" i="18"/>
  <c r="B102" i="18"/>
  <c r="AE9" i="18"/>
  <c r="BD4" i="9" s="1"/>
  <c r="AE10" i="18"/>
  <c r="BE4" i="9" s="1"/>
  <c r="AE11" i="18"/>
  <c r="BF4" i="9" s="1"/>
  <c r="E19" i="18"/>
  <c r="E10" i="18"/>
  <c r="AF9" i="18"/>
  <c r="AK9" i="18" s="1"/>
  <c r="F53" i="18"/>
  <c r="AK45" i="18"/>
  <c r="AM45" i="18" s="1"/>
  <c r="AO45" i="18" s="1"/>
  <c r="D62" i="18"/>
  <c r="H68" i="18"/>
  <c r="B69" i="18"/>
  <c r="B79" i="18" s="1"/>
  <c r="G95" i="18"/>
  <c r="E7" i="18"/>
  <c r="E8" i="18"/>
  <c r="E9" i="18"/>
  <c r="AF10" i="18"/>
  <c r="AK10" i="18" s="1"/>
  <c r="AF11" i="18"/>
  <c r="AK11" i="18" s="1"/>
  <c r="G22" i="18"/>
  <c r="E17" i="18"/>
  <c r="E18" i="18"/>
  <c r="AL11" i="18"/>
  <c r="AG10" i="18"/>
  <c r="AL10" i="18" s="1"/>
  <c r="AL7" i="18"/>
  <c r="B25" i="18"/>
  <c r="AE63" i="18" s="1"/>
  <c r="D67" i="18"/>
  <c r="Z67" i="18"/>
  <c r="Z69" i="18"/>
  <c r="Z141" i="18"/>
  <c r="Z138" i="18"/>
  <c r="Z140" i="18"/>
  <c r="Z136" i="18"/>
  <c r="H67" i="18"/>
  <c r="F72" i="18"/>
  <c r="F74" i="18" s="1"/>
  <c r="Z125" i="18"/>
  <c r="T125" i="18" s="1"/>
  <c r="Z120" i="18"/>
  <c r="T120" i="18" s="1"/>
  <c r="Z118" i="18"/>
  <c r="T118" i="18" s="1"/>
  <c r="AR18" i="24" l="1"/>
  <c r="U20" i="24"/>
  <c r="AT19" i="21"/>
  <c r="AS19" i="21"/>
  <c r="AU19" i="21"/>
  <c r="U30" i="26"/>
  <c r="U22" i="26"/>
  <c r="U18" i="21"/>
  <c r="T20" i="21"/>
  <c r="U37" i="26"/>
  <c r="S29" i="26"/>
  <c r="AD24" i="18"/>
  <c r="AU19" i="26"/>
  <c r="AU20" i="26" s="1"/>
  <c r="AU21" i="26" s="1"/>
  <c r="AT19" i="26"/>
  <c r="AT20" i="26" s="1"/>
  <c r="AT21" i="26" s="1"/>
  <c r="AS19" i="26"/>
  <c r="AS20" i="26" s="1"/>
  <c r="AS21" i="26" s="1"/>
  <c r="AR20" i="26"/>
  <c r="AR21" i="26" s="1"/>
  <c r="U29" i="24"/>
  <c r="T22" i="24"/>
  <c r="Z143" i="18"/>
  <c r="T132" i="18"/>
  <c r="AG7" i="18"/>
  <c r="Z126" i="18"/>
  <c r="C30" i="18"/>
  <c r="H72" i="18"/>
  <c r="H74" i="18" s="1"/>
  <c r="AF80" i="18"/>
  <c r="AH80" i="18" s="1"/>
  <c r="D130" i="18"/>
  <c r="H136" i="18" s="1"/>
  <c r="C33" i="18"/>
  <c r="C31" i="18"/>
  <c r="E20" i="18"/>
  <c r="E12" i="18"/>
  <c r="AF63" i="18"/>
  <c r="AF65" i="18" s="1"/>
  <c r="AK65" i="18" s="1"/>
  <c r="G72" i="18"/>
  <c r="AE65" i="18"/>
  <c r="AJ65" i="18" s="1"/>
  <c r="AJ9" i="18"/>
  <c r="AH9" i="18"/>
  <c r="B136" i="18"/>
  <c r="R19" i="18"/>
  <c r="T19" i="18" s="1"/>
  <c r="G96" i="18"/>
  <c r="H96" i="18" s="1"/>
  <c r="F76" i="18"/>
  <c r="E88" i="18" s="1"/>
  <c r="AE15" i="18" s="1"/>
  <c r="U15" i="18"/>
  <c r="H124" i="18"/>
  <c r="B11" i="18" s="1"/>
  <c r="Z4" i="9" s="1"/>
  <c r="AA4" i="9" s="1"/>
  <c r="H79" i="18"/>
  <c r="H83" i="18" s="1"/>
  <c r="M24" i="18"/>
  <c r="U19" i="18"/>
  <c r="U10" i="18"/>
  <c r="V10" i="18" s="1"/>
  <c r="U11" i="18"/>
  <c r="V11" i="18" s="1"/>
  <c r="H121" i="18"/>
  <c r="B10" i="18" s="1"/>
  <c r="X4" i="9" s="1"/>
  <c r="Y4" i="9" s="1"/>
  <c r="F117" i="18"/>
  <c r="F118" i="18" s="1"/>
  <c r="U18" i="18"/>
  <c r="V18" i="18" s="1"/>
  <c r="U17" i="18"/>
  <c r="V17" i="18" s="1"/>
  <c r="U9" i="18"/>
  <c r="E117" i="18"/>
  <c r="C95" i="18"/>
  <c r="O31" i="18" s="1"/>
  <c r="T126" i="18"/>
  <c r="Z73" i="18"/>
  <c r="AH11" i="18"/>
  <c r="AJ11" i="18"/>
  <c r="AE7" i="18"/>
  <c r="BB4" i="9" s="1"/>
  <c r="B81" i="18"/>
  <c r="D81" i="18" s="1"/>
  <c r="C81" i="18" s="1"/>
  <c r="D73" i="18"/>
  <c r="C73" i="18" s="1"/>
  <c r="AJ8" i="18"/>
  <c r="AH8" i="18"/>
  <c r="D78" i="18"/>
  <c r="B72" i="18"/>
  <c r="B74" i="18" s="1"/>
  <c r="AF60" i="18"/>
  <c r="AH60" i="18" s="1"/>
  <c r="D69" i="18"/>
  <c r="D79" i="18" s="1"/>
  <c r="C79" i="18" s="1"/>
  <c r="Z60" i="18"/>
  <c r="Z59" i="18"/>
  <c r="AJ10" i="18"/>
  <c r="AH10" i="18"/>
  <c r="B78" i="18"/>
  <c r="B80" i="18" s="1"/>
  <c r="B82" i="18" s="1"/>
  <c r="T135" i="18" l="1"/>
  <c r="T139" i="18"/>
  <c r="S37" i="26"/>
  <c r="U32" i="26"/>
  <c r="U34" i="26" s="1"/>
  <c r="U38" i="26"/>
  <c r="S38" i="26" s="1"/>
  <c r="S30" i="26"/>
  <c r="S32" i="26" s="1"/>
  <c r="S34" i="26" s="1"/>
  <c r="U30" i="24"/>
  <c r="U32" i="24" s="1"/>
  <c r="U34" i="24" s="1"/>
  <c r="U22" i="24"/>
  <c r="AR18" i="21"/>
  <c r="U20" i="21"/>
  <c r="U37" i="24"/>
  <c r="S29" i="24"/>
  <c r="U29" i="21"/>
  <c r="T22" i="21"/>
  <c r="AT18" i="24"/>
  <c r="AT20" i="24" s="1"/>
  <c r="AT21" i="24" s="1"/>
  <c r="AS18" i="24"/>
  <c r="AS20" i="24" s="1"/>
  <c r="AS21" i="24" s="1"/>
  <c r="AU18" i="24"/>
  <c r="AU20" i="24" s="1"/>
  <c r="AU21" i="24" s="1"/>
  <c r="AR20" i="24"/>
  <c r="AR21" i="24" s="1"/>
  <c r="AJ15" i="18"/>
  <c r="BH4" i="9"/>
  <c r="C34" i="18"/>
  <c r="D72" i="18"/>
  <c r="C72" i="18" s="1"/>
  <c r="D135" i="18"/>
  <c r="B18" i="18" s="1"/>
  <c r="M18" i="18" s="1"/>
  <c r="H137" i="18"/>
  <c r="H141" i="18" s="1"/>
  <c r="D134" i="18"/>
  <c r="B17" i="18" s="1"/>
  <c r="H130" i="18"/>
  <c r="E134" i="18"/>
  <c r="AB17" i="18" s="1"/>
  <c r="AF17" i="18" s="1"/>
  <c r="AK17" i="18" s="1"/>
  <c r="H134" i="18"/>
  <c r="E135" i="18"/>
  <c r="AC18" i="18" s="1"/>
  <c r="AG18" i="18" s="1"/>
  <c r="AL18" i="18" s="1"/>
  <c r="AH63" i="18"/>
  <c r="AH65" i="18" s="1"/>
  <c r="E22" i="18"/>
  <c r="U14" i="18"/>
  <c r="N31" i="18"/>
  <c r="O39" i="18"/>
  <c r="N39" i="18" s="1"/>
  <c r="G117" i="18"/>
  <c r="E118" i="18"/>
  <c r="C101" i="18"/>
  <c r="D101" i="18" s="1"/>
  <c r="C100" i="18"/>
  <c r="D100" i="18" s="1"/>
  <c r="G101" i="18"/>
  <c r="H101" i="18" s="1"/>
  <c r="G100" i="18"/>
  <c r="H100" i="18" s="1"/>
  <c r="AC10" i="18"/>
  <c r="AA10" i="18"/>
  <c r="M10" i="18"/>
  <c r="AB10" i="18"/>
  <c r="G88" i="18"/>
  <c r="R7" i="18"/>
  <c r="U7" i="18"/>
  <c r="U16" i="18"/>
  <c r="D80" i="18"/>
  <c r="C78" i="18"/>
  <c r="C96" i="18"/>
  <c r="U8" i="18" s="1"/>
  <c r="B75" i="18"/>
  <c r="G83" i="18"/>
  <c r="G81" i="18" s="1"/>
  <c r="F83" i="18"/>
  <c r="F81" i="18" s="1"/>
  <c r="B83" i="18"/>
  <c r="B84" i="18" s="1"/>
  <c r="H81" i="18"/>
  <c r="H78" i="18" s="1"/>
  <c r="T142" i="18"/>
  <c r="T141" i="18"/>
  <c r="T137" i="18"/>
  <c r="T136" i="18"/>
  <c r="V19" i="18"/>
  <c r="T140" i="18"/>
  <c r="T138" i="18"/>
  <c r="R15" i="18"/>
  <c r="T15" i="18" s="1"/>
  <c r="G74" i="18"/>
  <c r="AH7" i="18"/>
  <c r="AJ7" i="18"/>
  <c r="M11" i="18"/>
  <c r="AA11" i="18"/>
  <c r="AC11" i="18"/>
  <c r="AB11" i="18"/>
  <c r="AB18" i="18" l="1"/>
  <c r="AF18" i="18" s="1"/>
  <c r="AK18" i="18" s="1"/>
  <c r="D74" i="18"/>
  <c r="C74" i="18" s="1"/>
  <c r="U40" i="26"/>
  <c r="U42" i="26" s="1"/>
  <c r="U37" i="21"/>
  <c r="S29" i="21"/>
  <c r="AU18" i="21"/>
  <c r="AU20" i="21" s="1"/>
  <c r="AU21" i="21" s="1"/>
  <c r="AT18" i="21"/>
  <c r="AT20" i="21" s="1"/>
  <c r="AT21" i="21" s="1"/>
  <c r="AS18" i="21"/>
  <c r="AS20" i="21" s="1"/>
  <c r="AS21" i="21" s="1"/>
  <c r="AR20" i="21"/>
  <c r="AR21" i="21" s="1"/>
  <c r="U38" i="24"/>
  <c r="S38" i="24" s="1"/>
  <c r="S30" i="24"/>
  <c r="S32" i="24" s="1"/>
  <c r="S34" i="24" s="1"/>
  <c r="S40" i="26"/>
  <c r="S42" i="26" s="1"/>
  <c r="U30" i="21"/>
  <c r="U22" i="21"/>
  <c r="S37" i="24"/>
  <c r="T143" i="18"/>
  <c r="AQ4" i="9"/>
  <c r="AP4" i="9"/>
  <c r="M17" i="18"/>
  <c r="Q17" i="18" s="1"/>
  <c r="AH4" i="9"/>
  <c r="AI4" i="9" s="1"/>
  <c r="AA17" i="18"/>
  <c r="AA18" i="18"/>
  <c r="H140" i="18"/>
  <c r="G140" i="18" s="1"/>
  <c r="AC17" i="18"/>
  <c r="AG17" i="18" s="1"/>
  <c r="AL17" i="18" s="1"/>
  <c r="D102" i="18"/>
  <c r="B7" i="18" s="1"/>
  <c r="D96" i="18"/>
  <c r="G104" i="18" s="1"/>
  <c r="H104" i="18" s="1"/>
  <c r="H102" i="18"/>
  <c r="H75" i="18"/>
  <c r="F88" i="18"/>
  <c r="C80" i="18"/>
  <c r="D82" i="18"/>
  <c r="C82" i="18" s="1"/>
  <c r="D84" i="18" s="1"/>
  <c r="R16" i="18" s="1"/>
  <c r="T7" i="18"/>
  <c r="AD11" i="18"/>
  <c r="AI11" i="18" s="1"/>
  <c r="V15" i="18"/>
  <c r="T63" i="18"/>
  <c r="T64" i="18"/>
  <c r="D75" i="18"/>
  <c r="S14" i="18" s="1"/>
  <c r="AE79" i="18"/>
  <c r="AE59" i="18"/>
  <c r="AF79" i="18"/>
  <c r="AF81" i="18" s="1"/>
  <c r="AK81" i="18" s="1"/>
  <c r="AF59" i="18"/>
  <c r="AF61" i="18" s="1"/>
  <c r="AK61" i="18" s="1"/>
  <c r="H88" i="18"/>
  <c r="AL15" i="18"/>
  <c r="Q10" i="18"/>
  <c r="B76" i="18"/>
  <c r="E87" i="18" s="1"/>
  <c r="AE14" i="18" s="1"/>
  <c r="Q11" i="18"/>
  <c r="G141" i="18"/>
  <c r="E136" i="18"/>
  <c r="H76" i="18"/>
  <c r="AD10" i="18"/>
  <c r="AI10" i="18" s="1"/>
  <c r="Q18" i="18"/>
  <c r="H117" i="18"/>
  <c r="B9" i="18" s="1"/>
  <c r="V4" i="9" s="1"/>
  <c r="W4" i="9" s="1"/>
  <c r="R9" i="18"/>
  <c r="T9" i="18" s="1"/>
  <c r="V9" i="18" s="1"/>
  <c r="S40" i="24" l="1"/>
  <c r="S42" i="24" s="1"/>
  <c r="U40" i="24"/>
  <c r="U42" i="24" s="1"/>
  <c r="U38" i="21"/>
  <c r="S38" i="21" s="1"/>
  <c r="S30" i="21"/>
  <c r="S32" i="21" s="1"/>
  <c r="S34" i="21" s="1"/>
  <c r="S37" i="21"/>
  <c r="U32" i="21"/>
  <c r="U34" i="21" s="1"/>
  <c r="AJ14" i="18"/>
  <c r="BG4" i="9"/>
  <c r="AE18" i="18"/>
  <c r="AV4" i="9"/>
  <c r="AE17" i="18"/>
  <c r="AU4" i="9"/>
  <c r="AD18" i="18"/>
  <c r="D83" i="18"/>
  <c r="S16" i="18" s="1"/>
  <c r="S20" i="18" s="1"/>
  <c r="T65" i="18"/>
  <c r="D136" i="18"/>
  <c r="B19" i="18" s="1"/>
  <c r="M19" i="18" s="1"/>
  <c r="AD17" i="18"/>
  <c r="C102" i="18"/>
  <c r="AA7" i="18" s="1"/>
  <c r="C104" i="18"/>
  <c r="D104" i="18" s="1"/>
  <c r="R8" i="18"/>
  <c r="T8" i="18" s="1"/>
  <c r="V8" i="18" s="1"/>
  <c r="G106" i="18"/>
  <c r="H106" i="18" s="1"/>
  <c r="G102" i="18"/>
  <c r="AC7" i="18" s="1"/>
  <c r="G105" i="18"/>
  <c r="H105" i="18" s="1"/>
  <c r="C105" i="18"/>
  <c r="D105" i="18" s="1"/>
  <c r="F87" i="18"/>
  <c r="B14" i="18" s="1"/>
  <c r="AB4" i="9" s="1"/>
  <c r="AC4" i="9" s="1"/>
  <c r="C106" i="18"/>
  <c r="D106" i="18" s="1"/>
  <c r="AA15" i="18"/>
  <c r="B15" i="18"/>
  <c r="AD4" i="9" s="1"/>
  <c r="AE4" i="9" s="1"/>
  <c r="G142" i="18"/>
  <c r="D142" i="18" s="1"/>
  <c r="E140" i="18"/>
  <c r="AH79" i="18"/>
  <c r="AH81" i="18" s="1"/>
  <c r="AE81" i="18"/>
  <c r="AJ81" i="18" s="1"/>
  <c r="V7" i="18"/>
  <c r="AB9" i="18"/>
  <c r="AA9" i="18"/>
  <c r="AC9" i="18"/>
  <c r="M9" i="18"/>
  <c r="AC19" i="18"/>
  <c r="AG19" i="18" s="1"/>
  <c r="AL19" i="18" s="1"/>
  <c r="AB19" i="18"/>
  <c r="AF19" i="18" s="1"/>
  <c r="AK19" i="18" s="1"/>
  <c r="E137" i="18"/>
  <c r="M7" i="18"/>
  <c r="E141" i="18"/>
  <c r="D76" i="18"/>
  <c r="R14" i="18" s="1"/>
  <c r="E89" i="18"/>
  <c r="G87" i="18"/>
  <c r="AK15" i="18"/>
  <c r="AH15" i="18"/>
  <c r="AE61" i="18"/>
  <c r="AJ61" i="18" s="1"/>
  <c r="AH59" i="18"/>
  <c r="AH61" i="18" s="1"/>
  <c r="S40" i="21" l="1"/>
  <c r="S42" i="21" s="1"/>
  <c r="U40" i="21"/>
  <c r="U42" i="21" s="1"/>
  <c r="S21" i="18"/>
  <c r="AJ18" i="18"/>
  <c r="BK4" i="9"/>
  <c r="AH17" i="18"/>
  <c r="AI17" i="18" s="1"/>
  <c r="BJ4" i="9"/>
  <c r="AJ17" i="18"/>
  <c r="AO4" i="9"/>
  <c r="AS4" i="9"/>
  <c r="AH18" i="18"/>
  <c r="AI18" i="18" s="1"/>
  <c r="AM4" i="9"/>
  <c r="T16" i="18"/>
  <c r="T71" i="18" s="1"/>
  <c r="D137" i="18"/>
  <c r="AA19" i="18"/>
  <c r="AA14" i="18"/>
  <c r="H107" i="18"/>
  <c r="H109" i="18" s="1"/>
  <c r="AB7" i="18"/>
  <c r="AD7" i="18" s="1"/>
  <c r="AI7" i="18" s="1"/>
  <c r="T12" i="18"/>
  <c r="R12" i="18"/>
  <c r="D141" i="18"/>
  <c r="D107" i="18"/>
  <c r="B8" i="18" s="1"/>
  <c r="M15" i="18"/>
  <c r="Q15" i="18" s="1"/>
  <c r="AD15" i="18"/>
  <c r="AI15" i="18" s="1"/>
  <c r="AI65" i="18" s="1"/>
  <c r="AA65" i="18" s="1"/>
  <c r="Q7" i="18"/>
  <c r="F89" i="18"/>
  <c r="AE16" i="18"/>
  <c r="BI4" i="9" s="1"/>
  <c r="AD9" i="18"/>
  <c r="AI9" i="18" s="1"/>
  <c r="D140" i="18"/>
  <c r="G89" i="18"/>
  <c r="AL14" i="18"/>
  <c r="H87" i="18"/>
  <c r="P33" i="18"/>
  <c r="Q19" i="18"/>
  <c r="R20" i="18"/>
  <c r="T14" i="18"/>
  <c r="E142" i="18"/>
  <c r="Q9" i="18"/>
  <c r="AR4" i="9" l="1"/>
  <c r="AW4" i="9"/>
  <c r="V16" i="18"/>
  <c r="T70" i="18"/>
  <c r="T72" i="18"/>
  <c r="T68" i="18"/>
  <c r="T69" i="18"/>
  <c r="T67" i="18"/>
  <c r="AE19" i="18"/>
  <c r="AD19" i="18"/>
  <c r="G107" i="18"/>
  <c r="AC8" i="18" s="1"/>
  <c r="AC12" i="18" s="1"/>
  <c r="C107" i="18"/>
  <c r="AA8" i="18" s="1"/>
  <c r="R21" i="18"/>
  <c r="D109" i="18"/>
  <c r="AA16" i="18"/>
  <c r="B16" i="18"/>
  <c r="AB65" i="18"/>
  <c r="AD65" i="18" s="1"/>
  <c r="T60" i="18"/>
  <c r="T59" i="18"/>
  <c r="T20" i="18"/>
  <c r="T21" i="18" s="1"/>
  <c r="V14" i="18"/>
  <c r="N33" i="18"/>
  <c r="P41" i="18"/>
  <c r="N41" i="18" s="1"/>
  <c r="AL16" i="18"/>
  <c r="AK16" i="18"/>
  <c r="H89" i="18"/>
  <c r="AK14" i="18"/>
  <c r="AH14" i="18"/>
  <c r="M8" i="18"/>
  <c r="H12" i="18"/>
  <c r="AJ16" i="18"/>
  <c r="AJ19" i="18" l="1"/>
  <c r="BL4" i="9"/>
  <c r="AA12" i="18"/>
  <c r="AN4" i="9"/>
  <c r="AA20" i="18"/>
  <c r="AT4" i="9"/>
  <c r="AH19" i="18"/>
  <c r="AI19" i="18" s="1"/>
  <c r="T73" i="18"/>
  <c r="AB8" i="18"/>
  <c r="AB12" i="18" s="1"/>
  <c r="B20" i="18"/>
  <c r="AF4" i="9"/>
  <c r="AG4" i="9" s="1"/>
  <c r="T61" i="18"/>
  <c r="M14" i="18"/>
  <c r="Q8" i="18"/>
  <c r="Q12" i="18" s="1"/>
  <c r="AH16" i="18"/>
  <c r="AD14" i="18"/>
  <c r="AD16" i="18"/>
  <c r="M16" i="18"/>
  <c r="AC20" i="18"/>
  <c r="AC21" i="18" s="1"/>
  <c r="AC22" i="18" s="1"/>
  <c r="AC23" i="18" s="1"/>
  <c r="AA21" i="18" l="1"/>
  <c r="AA22" i="18" s="1"/>
  <c r="AX4" i="9"/>
  <c r="AD8" i="18"/>
  <c r="AI8" i="18" s="1"/>
  <c r="J4" i="9"/>
  <c r="Q16" i="18"/>
  <c r="H20" i="18"/>
  <c r="H22" i="18" s="1"/>
  <c r="AI14" i="18"/>
  <c r="AI61" i="18" s="1"/>
  <c r="AD20" i="18"/>
  <c r="AB20" i="18"/>
  <c r="AB21" i="18" s="1"/>
  <c r="AB22" i="18" s="1"/>
  <c r="AB23" i="18" s="1"/>
  <c r="Q14" i="18"/>
  <c r="M20" i="18"/>
  <c r="AI16" i="18"/>
  <c r="AI81" i="18" s="1"/>
  <c r="AD12" i="18" l="1"/>
  <c r="AD21" i="18" s="1"/>
  <c r="AD22" i="18" s="1"/>
  <c r="Q20" i="18"/>
  <c r="Q21" i="18" s="1"/>
  <c r="AB61" i="18"/>
  <c r="AA61" i="18"/>
  <c r="AA81" i="18"/>
  <c r="AB81" i="18"/>
  <c r="AD81" i="18" l="1"/>
  <c r="AD61" i="18"/>
  <c r="B32" i="16" l="1"/>
  <c r="B30" i="16"/>
  <c r="B30" i="15"/>
  <c r="B32" i="15"/>
  <c r="B33" i="10"/>
  <c r="E3" i="9" l="1"/>
  <c r="E5" i="9"/>
  <c r="E6" i="9"/>
  <c r="F6" i="9" s="1"/>
  <c r="E9" i="9"/>
  <c r="F9" i="9" s="1"/>
  <c r="E10" i="9"/>
  <c r="F10" i="9" s="1"/>
  <c r="F3" i="9" l="1"/>
  <c r="F15" i="9"/>
  <c r="F5" i="9"/>
  <c r="G136" i="16"/>
  <c r="G135" i="16"/>
  <c r="C135" i="16"/>
  <c r="B135" i="16" s="1"/>
  <c r="C130" i="16"/>
  <c r="B130" i="16"/>
  <c r="AA126" i="16"/>
  <c r="Z122" i="16" s="1"/>
  <c r="D115" i="16"/>
  <c r="C115" i="16"/>
  <c r="F107" i="16"/>
  <c r="B107" i="16"/>
  <c r="F101" i="16"/>
  <c r="F100" i="16"/>
  <c r="F102" i="16" s="1"/>
  <c r="B100" i="16"/>
  <c r="B102" i="16" s="1"/>
  <c r="H82" i="16"/>
  <c r="G82" i="16" s="1"/>
  <c r="A80" i="16"/>
  <c r="A79" i="16"/>
  <c r="A78" i="16"/>
  <c r="AA73" i="16"/>
  <c r="Z72" i="16" s="1"/>
  <c r="D70" i="16"/>
  <c r="G69" i="16"/>
  <c r="C69" i="16"/>
  <c r="G68" i="16"/>
  <c r="C68" i="16"/>
  <c r="G67" i="16"/>
  <c r="F67" i="16"/>
  <c r="F69" i="16" s="1"/>
  <c r="C67" i="16"/>
  <c r="B67" i="16"/>
  <c r="B69" i="16" s="1"/>
  <c r="B79" i="16" s="1"/>
  <c r="G66" i="16"/>
  <c r="F66" i="16"/>
  <c r="F68" i="16" s="1"/>
  <c r="C66" i="16"/>
  <c r="B66" i="16"/>
  <c r="B68" i="16" s="1"/>
  <c r="D62" i="16"/>
  <c r="Z59" i="16" s="1"/>
  <c r="H60" i="16"/>
  <c r="H61" i="16" s="1"/>
  <c r="AP49" i="16"/>
  <c r="AK49" i="16"/>
  <c r="V49" i="16"/>
  <c r="AL49" i="16"/>
  <c r="AJ49" i="16"/>
  <c r="AP48" i="16"/>
  <c r="V48" i="16"/>
  <c r="AL48" i="16"/>
  <c r="AK48" i="16"/>
  <c r="AJ48" i="16"/>
  <c r="AP47" i="16"/>
  <c r="V47" i="16"/>
  <c r="AL47" i="16"/>
  <c r="AK47" i="16"/>
  <c r="AJ47" i="16"/>
  <c r="AP46" i="16"/>
  <c r="V46" i="16"/>
  <c r="AL46" i="16"/>
  <c r="AK46" i="16"/>
  <c r="AP45" i="16"/>
  <c r="V45" i="16"/>
  <c r="AJ45" i="16"/>
  <c r="V44" i="16"/>
  <c r="AL44" i="16"/>
  <c r="AK44" i="16"/>
  <c r="AJ44" i="16"/>
  <c r="AP43" i="16"/>
  <c r="O41" i="16"/>
  <c r="G40" i="16"/>
  <c r="E40" i="16"/>
  <c r="C40" i="16"/>
  <c r="P39" i="16"/>
  <c r="B34" i="16"/>
  <c r="C33" i="16" s="1"/>
  <c r="D25" i="16"/>
  <c r="C25" i="16"/>
  <c r="H24" i="16"/>
  <c r="AL15" i="16" s="1"/>
  <c r="E24" i="16"/>
  <c r="AB24" i="16" s="1"/>
  <c r="B24" i="16"/>
  <c r="N20" i="16"/>
  <c r="J20" i="16"/>
  <c r="I20" i="16"/>
  <c r="G20" i="16"/>
  <c r="F20" i="16"/>
  <c r="D20" i="16"/>
  <c r="C20" i="16"/>
  <c r="R17" i="16"/>
  <c r="T17" i="16" s="1"/>
  <c r="S12" i="16"/>
  <c r="J12" i="16"/>
  <c r="J22" i="16" s="1"/>
  <c r="I12" i="16"/>
  <c r="G12" i="16"/>
  <c r="F12" i="16"/>
  <c r="D12" i="16"/>
  <c r="C12" i="16"/>
  <c r="R11" i="16"/>
  <c r="T11" i="16" s="1"/>
  <c r="R10" i="16"/>
  <c r="T10" i="16" s="1"/>
  <c r="Z142" i="15"/>
  <c r="G136" i="15"/>
  <c r="G135" i="15"/>
  <c r="C135" i="15"/>
  <c r="R18" i="15" s="1"/>
  <c r="T18" i="15" s="1"/>
  <c r="T130" i="15" s="1"/>
  <c r="B134" i="15"/>
  <c r="B130" i="15"/>
  <c r="AA126" i="15"/>
  <c r="Z124" i="15" s="1"/>
  <c r="D115" i="15"/>
  <c r="C115" i="15"/>
  <c r="F107" i="15"/>
  <c r="B107" i="15"/>
  <c r="F101" i="15"/>
  <c r="F100" i="15"/>
  <c r="B100" i="15"/>
  <c r="B102" i="15" s="1"/>
  <c r="H82" i="15"/>
  <c r="A80" i="15"/>
  <c r="A79" i="15"/>
  <c r="A78" i="15"/>
  <c r="AA73" i="15"/>
  <c r="Z70" i="15" s="1"/>
  <c r="D70" i="15"/>
  <c r="G69" i="15"/>
  <c r="C69" i="15"/>
  <c r="G68" i="15"/>
  <c r="C68" i="15"/>
  <c r="G67" i="15"/>
  <c r="F67" i="15"/>
  <c r="F69" i="15" s="1"/>
  <c r="C67" i="15"/>
  <c r="B67" i="15"/>
  <c r="B69" i="15" s="1"/>
  <c r="G66" i="15"/>
  <c r="F66" i="15"/>
  <c r="F68" i="15" s="1"/>
  <c r="C66" i="15"/>
  <c r="B66" i="15"/>
  <c r="H60" i="15"/>
  <c r="H62" i="15" s="1"/>
  <c r="Z64" i="15" s="1"/>
  <c r="AP49" i="15"/>
  <c r="V49" i="15"/>
  <c r="H49" i="15"/>
  <c r="AL49" i="15" s="1"/>
  <c r="F49" i="15"/>
  <c r="AK49" i="15" s="1"/>
  <c r="D49" i="15"/>
  <c r="AJ49" i="15" s="1"/>
  <c r="AP48" i="15"/>
  <c r="V48" i="15"/>
  <c r="H48" i="15"/>
  <c r="AL48" i="15" s="1"/>
  <c r="F48" i="15"/>
  <c r="AK48" i="15" s="1"/>
  <c r="D48" i="15"/>
  <c r="AJ48" i="15" s="1"/>
  <c r="AP47" i="15"/>
  <c r="V47" i="15"/>
  <c r="H47" i="15"/>
  <c r="AL47" i="15" s="1"/>
  <c r="F47" i="15"/>
  <c r="AK47" i="15" s="1"/>
  <c r="D47" i="15"/>
  <c r="AP46" i="15"/>
  <c r="V46" i="15"/>
  <c r="H46" i="15"/>
  <c r="AL46" i="15" s="1"/>
  <c r="F46" i="15"/>
  <c r="AK46" i="15" s="1"/>
  <c r="D46" i="15"/>
  <c r="AJ46" i="15" s="1"/>
  <c r="AP45" i="15"/>
  <c r="V45" i="15"/>
  <c r="H45" i="15"/>
  <c r="AL45" i="15" s="1"/>
  <c r="F45" i="15"/>
  <c r="D45" i="15"/>
  <c r="AJ45" i="15" s="1"/>
  <c r="V44" i="15"/>
  <c r="H44" i="15"/>
  <c r="AL44" i="15" s="1"/>
  <c r="F44" i="15"/>
  <c r="AK44" i="15" s="1"/>
  <c r="D44" i="15"/>
  <c r="AJ44" i="15" s="1"/>
  <c r="AP43" i="15"/>
  <c r="O41" i="15"/>
  <c r="G40" i="15"/>
  <c r="E40" i="15"/>
  <c r="C40" i="15"/>
  <c r="P39" i="15"/>
  <c r="B34" i="15"/>
  <c r="C32" i="15" s="1"/>
  <c r="D25" i="15"/>
  <c r="C25" i="15"/>
  <c r="H24" i="15"/>
  <c r="AG9" i="15" s="1"/>
  <c r="AL9" i="15" s="1"/>
  <c r="E24" i="15"/>
  <c r="B24" i="15"/>
  <c r="AE11" i="15" s="1"/>
  <c r="BF6" i="9" s="1"/>
  <c r="N20" i="15"/>
  <c r="J20" i="15"/>
  <c r="I20" i="15"/>
  <c r="G20" i="15"/>
  <c r="F20" i="15"/>
  <c r="D20" i="15"/>
  <c r="C20" i="15"/>
  <c r="S12" i="15"/>
  <c r="J12" i="15"/>
  <c r="I12" i="15"/>
  <c r="G12" i="15"/>
  <c r="F12" i="15"/>
  <c r="D12" i="15"/>
  <c r="C12" i="15"/>
  <c r="R11" i="15"/>
  <c r="T11" i="15" s="1"/>
  <c r="R10" i="15"/>
  <c r="T10" i="15" s="1"/>
  <c r="O41" i="10"/>
  <c r="P39" i="10"/>
  <c r="F22" i="15" l="1"/>
  <c r="AG7" i="16"/>
  <c r="AL7" i="16"/>
  <c r="G137" i="16"/>
  <c r="C136" i="16" s="1"/>
  <c r="AG10" i="16"/>
  <c r="BX24" i="9"/>
  <c r="K36" i="9"/>
  <c r="AL9" i="16"/>
  <c r="AL11" i="16"/>
  <c r="G22" i="16"/>
  <c r="C22" i="16"/>
  <c r="I22" i="16"/>
  <c r="AG8" i="16"/>
  <c r="H53" i="16"/>
  <c r="B73" i="16"/>
  <c r="B81" i="16" s="1"/>
  <c r="D81" i="16" s="1"/>
  <c r="C81" i="16" s="1"/>
  <c r="F22" i="16"/>
  <c r="F82" i="16"/>
  <c r="B115" i="16"/>
  <c r="AL45" i="16"/>
  <c r="Z71" i="16"/>
  <c r="Z70" i="16"/>
  <c r="D22" i="16"/>
  <c r="R18" i="16"/>
  <c r="T18" i="16" s="1"/>
  <c r="T130" i="16" s="1"/>
  <c r="AL18" i="16"/>
  <c r="H16" i="16"/>
  <c r="H10" i="16"/>
  <c r="H6" i="16"/>
  <c r="H19" i="16"/>
  <c r="H15" i="16"/>
  <c r="H9" i="16"/>
  <c r="H18" i="16"/>
  <c r="H14" i="16"/>
  <c r="H7" i="16"/>
  <c r="H17" i="16"/>
  <c r="H11" i="16"/>
  <c r="H8" i="16"/>
  <c r="F53" i="16"/>
  <c r="D53" i="16"/>
  <c r="Z123" i="16"/>
  <c r="T123" i="16" s="1"/>
  <c r="D23" i="9"/>
  <c r="C25" i="9"/>
  <c r="I22" i="15"/>
  <c r="D22" i="15"/>
  <c r="J22" i="15"/>
  <c r="Z71" i="15"/>
  <c r="B135" i="15"/>
  <c r="Z137" i="15"/>
  <c r="B115" i="15"/>
  <c r="D53" i="15"/>
  <c r="G137" i="15"/>
  <c r="AC24" i="15"/>
  <c r="H16" i="15"/>
  <c r="H10" i="15"/>
  <c r="H6" i="15"/>
  <c r="H19" i="15"/>
  <c r="H15" i="15"/>
  <c r="H9" i="15"/>
  <c r="H17" i="15"/>
  <c r="H7" i="15"/>
  <c r="H18" i="15"/>
  <c r="H14" i="15"/>
  <c r="H8" i="15"/>
  <c r="H11" i="15"/>
  <c r="F102" i="15"/>
  <c r="AG7" i="15" s="1"/>
  <c r="F53" i="15"/>
  <c r="Z117" i="16"/>
  <c r="T117" i="16" s="1"/>
  <c r="Z122" i="15"/>
  <c r="T122" i="15" s="1"/>
  <c r="Z117" i="15"/>
  <c r="T117" i="15" s="1"/>
  <c r="Z123" i="15"/>
  <c r="T123" i="15" s="1"/>
  <c r="Z121" i="15"/>
  <c r="T121" i="15" s="1"/>
  <c r="Z119" i="15"/>
  <c r="T119" i="15" s="1"/>
  <c r="F14" i="9"/>
  <c r="F13" i="9"/>
  <c r="H62" i="16"/>
  <c r="Z64" i="16" s="1"/>
  <c r="AE8" i="16"/>
  <c r="AA24" i="15"/>
  <c r="D69" i="15"/>
  <c r="D66" i="16"/>
  <c r="D67" i="16"/>
  <c r="D66" i="15"/>
  <c r="D67" i="15"/>
  <c r="Z60" i="16"/>
  <c r="H67" i="16"/>
  <c r="D69" i="16"/>
  <c r="H61" i="15"/>
  <c r="Z63" i="15"/>
  <c r="H66" i="15"/>
  <c r="AF11" i="16"/>
  <c r="AE10" i="16"/>
  <c r="AE11" i="16"/>
  <c r="AE9" i="16"/>
  <c r="C31" i="16"/>
  <c r="AE7" i="15"/>
  <c r="AE9" i="15"/>
  <c r="AE10" i="15"/>
  <c r="C31" i="15"/>
  <c r="C30" i="16"/>
  <c r="AE7" i="16"/>
  <c r="AM48" i="16"/>
  <c r="AO48" i="16" s="1"/>
  <c r="AF8" i="16"/>
  <c r="AF9" i="16"/>
  <c r="AM44" i="16"/>
  <c r="AO44" i="16" s="1"/>
  <c r="AF7" i="16"/>
  <c r="AF10" i="16"/>
  <c r="T122" i="16"/>
  <c r="AL17" i="16"/>
  <c r="G95" i="16"/>
  <c r="AC24" i="16"/>
  <c r="AJ46" i="16"/>
  <c r="AM46" i="16" s="1"/>
  <c r="AO46" i="16" s="1"/>
  <c r="H68" i="16"/>
  <c r="F72" i="16"/>
  <c r="F74" i="16" s="1"/>
  <c r="D68" i="16"/>
  <c r="AL8" i="16"/>
  <c r="AG11" i="16"/>
  <c r="AK45" i="16"/>
  <c r="AM45" i="16" s="1"/>
  <c r="AO45" i="16" s="1"/>
  <c r="AF64" i="16"/>
  <c r="AH64" i="16" s="1"/>
  <c r="B134" i="16"/>
  <c r="AM49" i="16"/>
  <c r="AO49" i="16" s="1"/>
  <c r="AG9" i="16"/>
  <c r="AL10" i="16"/>
  <c r="AL14" i="16"/>
  <c r="AL16" i="16"/>
  <c r="AL19" i="16"/>
  <c r="AM47" i="16"/>
  <c r="AO47" i="16" s="1"/>
  <c r="Z69" i="16"/>
  <c r="Z68" i="16"/>
  <c r="Z67" i="16"/>
  <c r="Z125" i="16"/>
  <c r="T125" i="16" s="1"/>
  <c r="Z120" i="16"/>
  <c r="Z118" i="16"/>
  <c r="T118" i="16" s="1"/>
  <c r="Z124" i="16"/>
  <c r="T124" i="16" s="1"/>
  <c r="Z119" i="16"/>
  <c r="T119" i="16" s="1"/>
  <c r="Z121" i="16"/>
  <c r="T121" i="16" s="1"/>
  <c r="AA24" i="16"/>
  <c r="B25" i="16"/>
  <c r="AF63" i="16" s="1"/>
  <c r="B78" i="16"/>
  <c r="B80" i="16" s="1"/>
  <c r="B72" i="16"/>
  <c r="H69" i="16"/>
  <c r="G94" i="16"/>
  <c r="C94" i="16"/>
  <c r="Z141" i="16"/>
  <c r="Z138" i="16"/>
  <c r="Z142" i="16"/>
  <c r="Z140" i="16"/>
  <c r="Z137" i="16"/>
  <c r="Z136" i="16"/>
  <c r="C32" i="16"/>
  <c r="AF80" i="16"/>
  <c r="AH80" i="16" s="1"/>
  <c r="AF60" i="16"/>
  <c r="AH60" i="16" s="1"/>
  <c r="H136" i="16"/>
  <c r="H66" i="16"/>
  <c r="D130" i="16"/>
  <c r="D134" i="16" s="1"/>
  <c r="H135" i="16"/>
  <c r="AG8" i="15"/>
  <c r="AL8" i="15"/>
  <c r="AG11" i="15"/>
  <c r="AM44" i="15"/>
  <c r="AO44" i="15" s="1"/>
  <c r="AM48" i="15"/>
  <c r="AO48" i="15" s="1"/>
  <c r="AF8" i="15"/>
  <c r="AF9" i="15"/>
  <c r="AF64" i="15"/>
  <c r="AH64" i="15" s="1"/>
  <c r="AB24" i="15"/>
  <c r="AF11" i="15"/>
  <c r="AF10" i="15"/>
  <c r="B25" i="15"/>
  <c r="AF63" i="15" s="1"/>
  <c r="G95" i="15"/>
  <c r="AM49" i="15"/>
  <c r="AO49" i="15" s="1"/>
  <c r="T124" i="15"/>
  <c r="G22" i="15"/>
  <c r="AK45" i="15"/>
  <c r="AM45" i="15" s="1"/>
  <c r="AO45" i="15" s="1"/>
  <c r="D62" i="15"/>
  <c r="H68" i="15"/>
  <c r="B79" i="15"/>
  <c r="C22" i="15"/>
  <c r="AL11" i="15"/>
  <c r="AG10" i="15"/>
  <c r="Z67" i="15"/>
  <c r="Z69" i="15"/>
  <c r="Z72" i="15"/>
  <c r="C130" i="15"/>
  <c r="C136" i="15"/>
  <c r="AL10" i="15"/>
  <c r="AJ11" i="15"/>
  <c r="C30" i="15"/>
  <c r="C33" i="15"/>
  <c r="AJ47" i="15"/>
  <c r="AM47" i="15" s="1"/>
  <c r="AO47" i="15" s="1"/>
  <c r="AF60" i="15"/>
  <c r="AH60" i="15" s="1"/>
  <c r="B68" i="15"/>
  <c r="D68" i="15" s="1"/>
  <c r="R17" i="15"/>
  <c r="T17" i="15" s="1"/>
  <c r="C94" i="15"/>
  <c r="AE8" i="15"/>
  <c r="BC6" i="9" s="1"/>
  <c r="AM46" i="15"/>
  <c r="AO46" i="15" s="1"/>
  <c r="H53" i="15"/>
  <c r="AF80" i="15"/>
  <c r="AH80" i="15" s="1"/>
  <c r="Z68" i="15"/>
  <c r="H69" i="15"/>
  <c r="F82" i="15"/>
  <c r="B73" i="15"/>
  <c r="G82" i="15"/>
  <c r="G94" i="15"/>
  <c r="T131" i="15"/>
  <c r="T132" i="15" s="1"/>
  <c r="Z141" i="15"/>
  <c r="Z138" i="15"/>
  <c r="Z140" i="15"/>
  <c r="Z136" i="15"/>
  <c r="H67" i="15"/>
  <c r="F72" i="15"/>
  <c r="F74" i="15" s="1"/>
  <c r="Z125" i="15"/>
  <c r="T125" i="15" s="1"/>
  <c r="Z120" i="15"/>
  <c r="T120" i="15" s="1"/>
  <c r="Z118" i="15"/>
  <c r="T118" i="15" s="1"/>
  <c r="M36" i="9" l="1"/>
  <c r="BY24" i="9"/>
  <c r="L36" i="9"/>
  <c r="Z143" i="16"/>
  <c r="Z143" i="15"/>
  <c r="B74" i="16"/>
  <c r="U14" i="16" s="1"/>
  <c r="T131" i="16"/>
  <c r="D73" i="16"/>
  <c r="C73" i="16" s="1"/>
  <c r="B82" i="16"/>
  <c r="U16" i="16" s="1"/>
  <c r="AD24" i="16"/>
  <c r="AF7" i="15"/>
  <c r="BB5" i="9" s="1"/>
  <c r="Z126" i="16"/>
  <c r="Z73" i="16"/>
  <c r="F16" i="9"/>
  <c r="G15" i="9" s="1"/>
  <c r="BZ24" i="9"/>
  <c r="AJ7" i="16"/>
  <c r="BB10" i="9"/>
  <c r="AJ10" i="15"/>
  <c r="BE6" i="9"/>
  <c r="AJ9" i="16"/>
  <c r="BD10" i="9"/>
  <c r="AK9" i="16"/>
  <c r="BD9" i="9"/>
  <c r="AJ9" i="15"/>
  <c r="BD6" i="9"/>
  <c r="AJ11" i="16"/>
  <c r="BF10" i="9"/>
  <c r="AK10" i="15"/>
  <c r="BE5" i="9"/>
  <c r="AK9" i="15"/>
  <c r="BD5" i="9"/>
  <c r="AK8" i="15"/>
  <c r="BC5" i="9"/>
  <c r="AK10" i="16"/>
  <c r="BE9" i="9"/>
  <c r="AK8" i="16"/>
  <c r="BC9" i="9"/>
  <c r="AJ7" i="15"/>
  <c r="BB6" i="9"/>
  <c r="AJ10" i="16"/>
  <c r="BE10" i="9"/>
  <c r="AJ8" i="16"/>
  <c r="BC10" i="9"/>
  <c r="AK11" i="15"/>
  <c r="BF5" i="9"/>
  <c r="AK7" i="16"/>
  <c r="BB9" i="9"/>
  <c r="AK11" i="16"/>
  <c r="BF9" i="9"/>
  <c r="Z63" i="16"/>
  <c r="AD24" i="15"/>
  <c r="D79" i="16"/>
  <c r="C79" i="16" s="1"/>
  <c r="D72" i="16"/>
  <c r="D78" i="15"/>
  <c r="H72" i="15"/>
  <c r="G72" i="15" s="1"/>
  <c r="B72" i="15"/>
  <c r="B74" i="15" s="1"/>
  <c r="B78" i="15"/>
  <c r="H72" i="16"/>
  <c r="G72" i="16" s="1"/>
  <c r="D79" i="15"/>
  <c r="C79" i="15" s="1"/>
  <c r="D72" i="15"/>
  <c r="AH11" i="16"/>
  <c r="G14" i="9"/>
  <c r="AH8" i="16"/>
  <c r="C34" i="16"/>
  <c r="AH7" i="16"/>
  <c r="AF65" i="16"/>
  <c r="AK65" i="16" s="1"/>
  <c r="AH9" i="16"/>
  <c r="AH10" i="16"/>
  <c r="AA17" i="16"/>
  <c r="B17" i="16"/>
  <c r="AH10" i="9" s="1"/>
  <c r="D78" i="16"/>
  <c r="B136" i="16"/>
  <c r="R19" i="16"/>
  <c r="T19" i="16" s="1"/>
  <c r="E135" i="16"/>
  <c r="E117" i="16"/>
  <c r="H134" i="16"/>
  <c r="E134" i="16"/>
  <c r="H130" i="16"/>
  <c r="D135" i="16"/>
  <c r="C95" i="16"/>
  <c r="O31" i="16" s="1"/>
  <c r="H124" i="16"/>
  <c r="H79" i="16"/>
  <c r="H83" i="16" s="1"/>
  <c r="U17" i="16"/>
  <c r="V17" i="16" s="1"/>
  <c r="H121" i="16"/>
  <c r="F117" i="16"/>
  <c r="F118" i="16" s="1"/>
  <c r="M24" i="16"/>
  <c r="U9" i="16"/>
  <c r="U19" i="16"/>
  <c r="U11" i="16"/>
  <c r="V11" i="16" s="1"/>
  <c r="U18" i="16"/>
  <c r="V18" i="16" s="1"/>
  <c r="U10" i="16"/>
  <c r="V10" i="16" s="1"/>
  <c r="T120" i="16"/>
  <c r="T126" i="16" s="1"/>
  <c r="F76" i="16"/>
  <c r="E88" i="16" s="1"/>
  <c r="U15" i="16"/>
  <c r="G96" i="16"/>
  <c r="H96" i="16" s="1"/>
  <c r="AE63" i="16"/>
  <c r="AC23" i="16"/>
  <c r="AC22" i="16"/>
  <c r="H137" i="16"/>
  <c r="T132" i="16"/>
  <c r="AE63" i="15"/>
  <c r="AE65" i="15" s="1"/>
  <c r="AJ65" i="15" s="1"/>
  <c r="AH10" i="15"/>
  <c r="AF65" i="15"/>
  <c r="AK65" i="15" s="1"/>
  <c r="AH9" i="15"/>
  <c r="C95" i="15"/>
  <c r="O31" i="15" s="1"/>
  <c r="Z126" i="15"/>
  <c r="D73" i="15"/>
  <c r="C73" i="15" s="1"/>
  <c r="B81" i="15"/>
  <c r="D81" i="15" s="1"/>
  <c r="C81" i="15" s="1"/>
  <c r="AJ8" i="15"/>
  <c r="AH8" i="15"/>
  <c r="AL7" i="15"/>
  <c r="Z60" i="15"/>
  <c r="Z59" i="15"/>
  <c r="H124" i="15"/>
  <c r="B11" i="15" s="1"/>
  <c r="Z6" i="9" s="1"/>
  <c r="AA6" i="9" s="1"/>
  <c r="H79" i="15"/>
  <c r="H83" i="15" s="1"/>
  <c r="M24" i="15"/>
  <c r="U19" i="15"/>
  <c r="U10" i="15"/>
  <c r="V10" i="15" s="1"/>
  <c r="E117" i="15"/>
  <c r="U18" i="15"/>
  <c r="V18" i="15" s="1"/>
  <c r="U9" i="15"/>
  <c r="H121" i="15"/>
  <c r="B10" i="15" s="1"/>
  <c r="X6" i="9" s="1"/>
  <c r="Y6" i="9" s="1"/>
  <c r="U17" i="15"/>
  <c r="V17" i="15" s="1"/>
  <c r="U11" i="15"/>
  <c r="V11" i="15" s="1"/>
  <c r="F117" i="15"/>
  <c r="F118" i="15" s="1"/>
  <c r="F76" i="15"/>
  <c r="U15" i="15"/>
  <c r="C34" i="15"/>
  <c r="B136" i="15"/>
  <c r="R19" i="15"/>
  <c r="T19" i="15" s="1"/>
  <c r="T126" i="15"/>
  <c r="G96" i="15"/>
  <c r="H96" i="15" s="1"/>
  <c r="AH11" i="15"/>
  <c r="H136" i="15"/>
  <c r="D130" i="15"/>
  <c r="Z73" i="15"/>
  <c r="CA24" i="9" l="1"/>
  <c r="T139" i="16"/>
  <c r="T135" i="16"/>
  <c r="T135" i="15"/>
  <c r="T139" i="15"/>
  <c r="AK7" i="15"/>
  <c r="D74" i="16"/>
  <c r="C74" i="16" s="1"/>
  <c r="AH7" i="15"/>
  <c r="G16" i="9"/>
  <c r="G13" i="9"/>
  <c r="AU10" i="9"/>
  <c r="AI10" i="9"/>
  <c r="H74" i="16"/>
  <c r="R15" i="16" s="1"/>
  <c r="T15" i="16" s="1"/>
  <c r="G88" i="16"/>
  <c r="C72" i="16"/>
  <c r="H74" i="15"/>
  <c r="R15" i="15" s="1"/>
  <c r="T15" i="15" s="1"/>
  <c r="C78" i="15"/>
  <c r="D74" i="15"/>
  <c r="C74" i="15" s="1"/>
  <c r="E88" i="15"/>
  <c r="B80" i="15"/>
  <c r="B82" i="15" s="1"/>
  <c r="C72" i="15"/>
  <c r="AH63" i="15"/>
  <c r="AH65" i="15" s="1"/>
  <c r="D80" i="15"/>
  <c r="D82" i="15" s="1"/>
  <c r="G88" i="15"/>
  <c r="C96" i="15"/>
  <c r="U8" i="15" s="1"/>
  <c r="C96" i="16"/>
  <c r="U8" i="16" s="1"/>
  <c r="AH63" i="16"/>
  <c r="AH65" i="16" s="1"/>
  <c r="AE65" i="16"/>
  <c r="AJ65" i="16" s="1"/>
  <c r="AC17" i="16"/>
  <c r="AG17" i="16" s="1"/>
  <c r="E17" i="16"/>
  <c r="AH9" i="9" s="1"/>
  <c r="AB17" i="16"/>
  <c r="O39" i="16"/>
  <c r="N39" i="16" s="1"/>
  <c r="N31" i="16"/>
  <c r="AA11" i="16"/>
  <c r="AC11" i="16"/>
  <c r="E11" i="16"/>
  <c r="Z9" i="9" s="1"/>
  <c r="AA9" i="9" s="1"/>
  <c r="AB11" i="16"/>
  <c r="B11" i="16"/>
  <c r="Z10" i="9" s="1"/>
  <c r="AA10" i="9" s="1"/>
  <c r="AA15" i="9" s="1"/>
  <c r="Z15" i="9" s="1"/>
  <c r="AA18" i="16"/>
  <c r="B18" i="16"/>
  <c r="AC18" i="16"/>
  <c r="AG18" i="16" s="1"/>
  <c r="AB18" i="16"/>
  <c r="E18" i="16"/>
  <c r="D80" i="16"/>
  <c r="C78" i="16"/>
  <c r="C101" i="16"/>
  <c r="D101" i="16" s="1"/>
  <c r="G100" i="16"/>
  <c r="H100" i="16" s="1"/>
  <c r="C100" i="16"/>
  <c r="D100" i="16" s="1"/>
  <c r="G101" i="16"/>
  <c r="H101" i="16" s="1"/>
  <c r="AE17" i="16"/>
  <c r="BJ10" i="9" s="1"/>
  <c r="R7" i="16"/>
  <c r="U7" i="16"/>
  <c r="B75" i="16"/>
  <c r="G83" i="16"/>
  <c r="G81" i="16" s="1"/>
  <c r="H81" i="16"/>
  <c r="H78" i="16" s="1"/>
  <c r="F83" i="16"/>
  <c r="F81" i="16" s="1"/>
  <c r="B83" i="16"/>
  <c r="H140" i="16"/>
  <c r="H141" i="16"/>
  <c r="AC10" i="16"/>
  <c r="AB10" i="16"/>
  <c r="B10" i="16"/>
  <c r="X10" i="9" s="1"/>
  <c r="Y10" i="9" s="1"/>
  <c r="Y15" i="9" s="1"/>
  <c r="X15" i="9" s="1"/>
  <c r="AA10" i="16"/>
  <c r="E10" i="16"/>
  <c r="X9" i="9" s="1"/>
  <c r="Y9" i="9" s="1"/>
  <c r="G117" i="16"/>
  <c r="E118" i="16"/>
  <c r="T141" i="16"/>
  <c r="T142" i="16"/>
  <c r="T140" i="16"/>
  <c r="T137" i="16"/>
  <c r="T136" i="16"/>
  <c r="T138" i="16"/>
  <c r="V19" i="16"/>
  <c r="G117" i="15"/>
  <c r="E118" i="15"/>
  <c r="B75" i="15"/>
  <c r="G83" i="15"/>
  <c r="G81" i="15" s="1"/>
  <c r="H81" i="15"/>
  <c r="H78" i="15" s="1"/>
  <c r="F83" i="15"/>
  <c r="F81" i="15" s="1"/>
  <c r="B83" i="15"/>
  <c r="AC10" i="15"/>
  <c r="E10" i="15"/>
  <c r="X5" i="9" s="1"/>
  <c r="Y5" i="9" s="1"/>
  <c r="AB10" i="15"/>
  <c r="AA10" i="15"/>
  <c r="AA11" i="15"/>
  <c r="AC11" i="15"/>
  <c r="E11" i="15"/>
  <c r="Z5" i="9" s="1"/>
  <c r="AA5" i="9" s="1"/>
  <c r="AB11" i="15"/>
  <c r="E135" i="15"/>
  <c r="H134" i="15"/>
  <c r="H130" i="15"/>
  <c r="D135" i="15"/>
  <c r="D134" i="15"/>
  <c r="B17" i="15" s="1"/>
  <c r="AH6" i="9" s="1"/>
  <c r="AI6" i="9" s="1"/>
  <c r="H137" i="15"/>
  <c r="E134" i="15"/>
  <c r="H135" i="15"/>
  <c r="C101" i="15"/>
  <c r="D101" i="15" s="1"/>
  <c r="C100" i="15"/>
  <c r="D100" i="15" s="1"/>
  <c r="G100" i="15"/>
  <c r="H100" i="15" s="1"/>
  <c r="G101" i="15"/>
  <c r="H101" i="15" s="1"/>
  <c r="N31" i="15"/>
  <c r="O39" i="15"/>
  <c r="N39" i="15" s="1"/>
  <c r="R7" i="15"/>
  <c r="U7" i="15"/>
  <c r="T142" i="15"/>
  <c r="T141" i="15"/>
  <c r="T137" i="15"/>
  <c r="T136" i="15"/>
  <c r="T140" i="15"/>
  <c r="V19" i="15"/>
  <c r="T138" i="15"/>
  <c r="U14" i="15"/>
  <c r="N20" i="10"/>
  <c r="T143" i="16" l="1"/>
  <c r="T143" i="15"/>
  <c r="AI15" i="9"/>
  <c r="AP10" i="9"/>
  <c r="AV10" i="9"/>
  <c r="AQ6" i="9"/>
  <c r="BF15" i="9"/>
  <c r="CB11" i="9" s="1"/>
  <c r="CG11" i="9" s="1"/>
  <c r="AQ10" i="9"/>
  <c r="AQ5" i="9"/>
  <c r="AP5" i="9"/>
  <c r="AP6" i="9"/>
  <c r="BE15" i="9"/>
  <c r="CB10" i="9" s="1"/>
  <c r="CG10" i="9" s="1"/>
  <c r="AP9" i="9"/>
  <c r="AQ9" i="9"/>
  <c r="AF18" i="16"/>
  <c r="AV9" i="9"/>
  <c r="AF17" i="16"/>
  <c r="AH17" i="16" s="1"/>
  <c r="AU9" i="9"/>
  <c r="AH15" i="9"/>
  <c r="G74" i="16"/>
  <c r="H75" i="16" s="1"/>
  <c r="AI9" i="9"/>
  <c r="G74" i="15"/>
  <c r="H75" i="15" s="1"/>
  <c r="H102" i="16"/>
  <c r="E7" i="16" s="1"/>
  <c r="H102" i="15"/>
  <c r="G102" i="15" s="1"/>
  <c r="C80" i="15"/>
  <c r="AE15" i="15"/>
  <c r="C82" i="15"/>
  <c r="D83" i="15" s="1"/>
  <c r="S16" i="15" s="1"/>
  <c r="Y14" i="9"/>
  <c r="X14" i="9" s="1"/>
  <c r="AA14" i="9"/>
  <c r="Z14" i="9" s="1"/>
  <c r="D96" i="15"/>
  <c r="G105" i="15" s="1"/>
  <c r="H105" i="15" s="1"/>
  <c r="M17" i="16"/>
  <c r="Q17" i="16" s="1"/>
  <c r="D96" i="16"/>
  <c r="C104" i="16" s="1"/>
  <c r="D104" i="16" s="1"/>
  <c r="H117" i="16"/>
  <c r="R9" i="16"/>
  <c r="T9" i="16" s="1"/>
  <c r="V9" i="16" s="1"/>
  <c r="M10" i="16"/>
  <c r="T63" i="16"/>
  <c r="T64" i="16"/>
  <c r="V15" i="16"/>
  <c r="B84" i="16"/>
  <c r="D75" i="16"/>
  <c r="S14" i="16" s="1"/>
  <c r="AE59" i="16"/>
  <c r="AF79" i="16"/>
  <c r="AF81" i="16" s="1"/>
  <c r="AK81" i="16" s="1"/>
  <c r="AE79" i="16"/>
  <c r="AF59" i="16"/>
  <c r="AF61" i="16" s="1"/>
  <c r="AK61" i="16" s="1"/>
  <c r="B76" i="16"/>
  <c r="AJ17" i="16"/>
  <c r="M11" i="16"/>
  <c r="AG15" i="16"/>
  <c r="AF15" i="16"/>
  <c r="D102" i="16"/>
  <c r="C80" i="16"/>
  <c r="D82" i="16"/>
  <c r="C82" i="16" s="1"/>
  <c r="D83" i="16" s="1"/>
  <c r="S16" i="16" s="1"/>
  <c r="AD11" i="16"/>
  <c r="AI11" i="16" s="1"/>
  <c r="E136" i="16"/>
  <c r="G141" i="16"/>
  <c r="T7" i="16"/>
  <c r="AE15" i="16"/>
  <c r="BH10" i="9" s="1"/>
  <c r="M18" i="16"/>
  <c r="AD10" i="16"/>
  <c r="AI10" i="16" s="1"/>
  <c r="D136" i="16"/>
  <c r="G140" i="16"/>
  <c r="AD17" i="16"/>
  <c r="AD18" i="16"/>
  <c r="AE18" i="16"/>
  <c r="BK10" i="9" s="1"/>
  <c r="AA18" i="15"/>
  <c r="B18" i="15"/>
  <c r="D102" i="15"/>
  <c r="B7" i="15" s="1"/>
  <c r="AC17" i="15"/>
  <c r="AG17" i="15" s="1"/>
  <c r="AL17" i="15" s="1"/>
  <c r="E17" i="15"/>
  <c r="AB17" i="15"/>
  <c r="AG15" i="15"/>
  <c r="AL15" i="15" s="1"/>
  <c r="AF15" i="15"/>
  <c r="T7" i="15"/>
  <c r="H141" i="15"/>
  <c r="H140" i="15"/>
  <c r="AD11" i="15"/>
  <c r="AI11" i="15" s="1"/>
  <c r="D75" i="15"/>
  <c r="S14" i="15" s="1"/>
  <c r="AF59" i="15"/>
  <c r="AF61" i="15" s="1"/>
  <c r="AK61" i="15" s="1"/>
  <c r="AE79" i="15"/>
  <c r="AE59" i="15"/>
  <c r="AF79" i="15"/>
  <c r="AF81" i="15" s="1"/>
  <c r="AK81" i="15" s="1"/>
  <c r="V15" i="15"/>
  <c r="T63" i="15"/>
  <c r="T64" i="15"/>
  <c r="B84" i="15"/>
  <c r="U16" i="15"/>
  <c r="AA17" i="15"/>
  <c r="AB18" i="15"/>
  <c r="AC18" i="15"/>
  <c r="AG18" i="15" s="1"/>
  <c r="AL18" i="15" s="1"/>
  <c r="E18" i="15"/>
  <c r="M10" i="15"/>
  <c r="B76" i="15"/>
  <c r="M11" i="15"/>
  <c r="AD10" i="15"/>
  <c r="AI10" i="15" s="1"/>
  <c r="H117" i="15"/>
  <c r="B9" i="15" s="1"/>
  <c r="V6" i="9" s="1"/>
  <c r="W6" i="9" s="1"/>
  <c r="R9" i="15"/>
  <c r="T9" i="15" s="1"/>
  <c r="V9" i="15" s="1"/>
  <c r="AK17" i="16" l="1"/>
  <c r="BJ9" i="9"/>
  <c r="AK15" i="16"/>
  <c r="BH9" i="9"/>
  <c r="AJ15" i="15"/>
  <c r="BH6" i="9"/>
  <c r="AK15" i="15"/>
  <c r="BH5" i="9"/>
  <c r="AK18" i="16"/>
  <c r="BK9" i="9"/>
  <c r="AP15" i="9"/>
  <c r="BX10" i="9" s="1"/>
  <c r="K23" i="9" s="1"/>
  <c r="AP14" i="9"/>
  <c r="BY10" i="9" s="1"/>
  <c r="L23" i="9" s="1"/>
  <c r="AU6" i="9"/>
  <c r="AU15" i="9" s="1"/>
  <c r="BX17" i="9" s="1"/>
  <c r="K30" i="9" s="1"/>
  <c r="BF14" i="9"/>
  <c r="CC11" i="9" s="1"/>
  <c r="CH11" i="9" s="1"/>
  <c r="AV6" i="9"/>
  <c r="AV15" i="9" s="1"/>
  <c r="BX18" i="9" s="1"/>
  <c r="K31" i="9" s="1"/>
  <c r="BE14" i="9"/>
  <c r="CC10" i="9" s="1"/>
  <c r="CH10" i="9" s="1"/>
  <c r="AQ14" i="9"/>
  <c r="BY11" i="9" s="1"/>
  <c r="L24" i="9" s="1"/>
  <c r="AQ15" i="9"/>
  <c r="BX11" i="9" s="1"/>
  <c r="K24" i="9" s="1"/>
  <c r="AF17" i="15"/>
  <c r="AU5" i="9"/>
  <c r="AU14" i="9" s="1"/>
  <c r="BY17" i="9" s="1"/>
  <c r="L30" i="9" s="1"/>
  <c r="AF18" i="15"/>
  <c r="AV5" i="9"/>
  <c r="AV14" i="9" s="1"/>
  <c r="BY18" i="9" s="1"/>
  <c r="L31" i="9" s="1"/>
  <c r="F88" i="15"/>
  <c r="AA15" i="15" s="1"/>
  <c r="H76" i="15"/>
  <c r="F88" i="16"/>
  <c r="AA15" i="16" s="1"/>
  <c r="H88" i="16"/>
  <c r="E15" i="16" s="1"/>
  <c r="AD9" i="9" s="1"/>
  <c r="AE9" i="9" s="1"/>
  <c r="H76" i="16"/>
  <c r="H88" i="15"/>
  <c r="AC15" i="15" s="1"/>
  <c r="M17" i="15"/>
  <c r="Q17" i="15" s="1"/>
  <c r="AH5" i="9"/>
  <c r="AI5" i="9" s="1"/>
  <c r="AI14" i="9" s="1"/>
  <c r="D84" i="16"/>
  <c r="R16" i="16" s="1"/>
  <c r="T16" i="16" s="1"/>
  <c r="D84" i="15"/>
  <c r="R16" i="15" s="1"/>
  <c r="T16" i="15" s="1"/>
  <c r="T70" i="15" s="1"/>
  <c r="T65" i="16"/>
  <c r="T65" i="15"/>
  <c r="G104" i="15"/>
  <c r="H104" i="15" s="1"/>
  <c r="G106" i="15"/>
  <c r="H106" i="15" s="1"/>
  <c r="C106" i="15"/>
  <c r="D106" i="15" s="1"/>
  <c r="R8" i="15"/>
  <c r="T8" i="15" s="1"/>
  <c r="V8" i="15" s="1"/>
  <c r="G87" i="15"/>
  <c r="E87" i="15"/>
  <c r="E89" i="15" s="1"/>
  <c r="C104" i="15"/>
  <c r="D104" i="15" s="1"/>
  <c r="G87" i="16"/>
  <c r="E87" i="16"/>
  <c r="C105" i="15"/>
  <c r="D105" i="15" s="1"/>
  <c r="C102" i="15"/>
  <c r="AA7" i="15" s="1"/>
  <c r="E7" i="15"/>
  <c r="M7" i="15" s="1"/>
  <c r="S20" i="15"/>
  <c r="G104" i="16"/>
  <c r="H104" i="16" s="1"/>
  <c r="G102" i="16"/>
  <c r="AC7" i="16" s="1"/>
  <c r="C105" i="16"/>
  <c r="D105" i="16" s="1"/>
  <c r="C106" i="16"/>
  <c r="D106" i="16" s="1"/>
  <c r="G105" i="16"/>
  <c r="H105" i="16" s="1"/>
  <c r="G106" i="16"/>
  <c r="H106" i="16" s="1"/>
  <c r="R8" i="16"/>
  <c r="T8" i="16" s="1"/>
  <c r="V8" i="16" s="1"/>
  <c r="G142" i="16"/>
  <c r="D142" i="16" s="1"/>
  <c r="E140" i="16"/>
  <c r="V7" i="16"/>
  <c r="AH79" i="16"/>
  <c r="AH81" i="16" s="1"/>
  <c r="AE81" i="16"/>
  <c r="AJ81" i="16" s="1"/>
  <c r="AA19" i="16"/>
  <c r="B19" i="16"/>
  <c r="D137" i="16"/>
  <c r="Q18" i="16"/>
  <c r="Q10" i="16"/>
  <c r="AH18" i="16"/>
  <c r="AI18" i="16" s="1"/>
  <c r="AJ18" i="16"/>
  <c r="AH15" i="16"/>
  <c r="AJ15" i="16"/>
  <c r="E141" i="16"/>
  <c r="D76" i="16"/>
  <c r="R14" i="16" s="1"/>
  <c r="AE61" i="16"/>
  <c r="AJ61" i="16" s="1"/>
  <c r="AH59" i="16"/>
  <c r="AH61" i="16" s="1"/>
  <c r="AI17" i="16"/>
  <c r="AB19" i="16"/>
  <c r="E19" i="16"/>
  <c r="AC19" i="16"/>
  <c r="AG19" i="16" s="1"/>
  <c r="E137" i="16"/>
  <c r="C102" i="16"/>
  <c r="AA7" i="16" s="1"/>
  <c r="B7" i="16"/>
  <c r="Q11" i="16"/>
  <c r="S20" i="16"/>
  <c r="S21" i="16" s="1"/>
  <c r="AC9" i="16"/>
  <c r="E9" i="16"/>
  <c r="V9" i="9" s="1"/>
  <c r="W9" i="9" s="1"/>
  <c r="AA9" i="16"/>
  <c r="B9" i="16"/>
  <c r="AB9" i="16"/>
  <c r="AD18" i="15"/>
  <c r="AE18" i="15"/>
  <c r="AH79" i="15"/>
  <c r="AH81" i="15" s="1"/>
  <c r="AE81" i="15"/>
  <c r="AJ81" i="15" s="1"/>
  <c r="AB7" i="15"/>
  <c r="AC7" i="15"/>
  <c r="Q10" i="15"/>
  <c r="G140" i="15"/>
  <c r="D136" i="15"/>
  <c r="B19" i="15" s="1"/>
  <c r="V7" i="15"/>
  <c r="AE17" i="15"/>
  <c r="BJ6" i="9" s="1"/>
  <c r="BJ15" i="9" s="1"/>
  <c r="CB17" i="9" s="1"/>
  <c r="CG17" i="9" s="1"/>
  <c r="AD17" i="15"/>
  <c r="AB9" i="15"/>
  <c r="AC9" i="15"/>
  <c r="AA9" i="15"/>
  <c r="E9" i="15"/>
  <c r="V5" i="9" s="1"/>
  <c r="W5" i="9" s="1"/>
  <c r="AH15" i="15"/>
  <c r="D76" i="15"/>
  <c r="R14" i="15" s="1"/>
  <c r="Q11" i="15"/>
  <c r="M18" i="15"/>
  <c r="AE61" i="15"/>
  <c r="AJ61" i="15" s="1"/>
  <c r="AH59" i="15"/>
  <c r="AH61" i="15" s="1"/>
  <c r="G141" i="15"/>
  <c r="E136" i="15"/>
  <c r="Z137" i="10"/>
  <c r="G136" i="10"/>
  <c r="G135" i="10"/>
  <c r="C135" i="10"/>
  <c r="B135" i="10" s="1"/>
  <c r="B134" i="10"/>
  <c r="Z132" i="10"/>
  <c r="C130" i="10"/>
  <c r="B130" i="10"/>
  <c r="AA126" i="10"/>
  <c r="Z123" i="10" s="1"/>
  <c r="D115" i="10"/>
  <c r="C115" i="10"/>
  <c r="F107" i="10"/>
  <c r="B107" i="10"/>
  <c r="F101" i="10"/>
  <c r="F100" i="10"/>
  <c r="B100" i="10"/>
  <c r="B102" i="10" s="1"/>
  <c r="H82" i="10"/>
  <c r="A80" i="10"/>
  <c r="A79" i="10"/>
  <c r="A78" i="10"/>
  <c r="AA73" i="10"/>
  <c r="Z70" i="10" s="1"/>
  <c r="D70" i="10"/>
  <c r="G69" i="10"/>
  <c r="C69" i="10"/>
  <c r="G68" i="10"/>
  <c r="C68" i="10"/>
  <c r="G67" i="10"/>
  <c r="F67" i="10"/>
  <c r="F69" i="10" s="1"/>
  <c r="C67" i="10"/>
  <c r="B67" i="10"/>
  <c r="B69" i="10" s="1"/>
  <c r="G66" i="10"/>
  <c r="F66" i="10"/>
  <c r="C66" i="10"/>
  <c r="B66" i="10"/>
  <c r="H60" i="10"/>
  <c r="H62" i="10" s="1"/>
  <c r="D60" i="10"/>
  <c r="D62" i="10" s="1"/>
  <c r="Z60" i="10" s="1"/>
  <c r="AP49" i="10"/>
  <c r="V49" i="10"/>
  <c r="H49" i="10"/>
  <c r="AL49" i="10" s="1"/>
  <c r="CI49" i="9" s="1"/>
  <c r="CD49" i="9" s="1"/>
  <c r="F49" i="10"/>
  <c r="AK49" i="10" s="1"/>
  <c r="CH49" i="9" s="1"/>
  <c r="CC49" i="9" s="1"/>
  <c r="D49" i="10"/>
  <c r="AJ49" i="10" s="1"/>
  <c r="CG49" i="9" s="1"/>
  <c r="AP48" i="10"/>
  <c r="V48" i="10"/>
  <c r="H48" i="10"/>
  <c r="AL48" i="10" s="1"/>
  <c r="CI48" i="9" s="1"/>
  <c r="CD48" i="9" s="1"/>
  <c r="F48" i="10"/>
  <c r="AK48" i="10" s="1"/>
  <c r="CH48" i="9" s="1"/>
  <c r="CC48" i="9" s="1"/>
  <c r="D48" i="10"/>
  <c r="AJ48" i="10" s="1"/>
  <c r="CG48" i="9" s="1"/>
  <c r="AP47" i="10"/>
  <c r="V47" i="10"/>
  <c r="H47" i="10"/>
  <c r="AL47" i="10" s="1"/>
  <c r="CI47" i="9" s="1"/>
  <c r="CD47" i="9" s="1"/>
  <c r="F47" i="10"/>
  <c r="AK47" i="10" s="1"/>
  <c r="CH47" i="9" s="1"/>
  <c r="CC47" i="9" s="1"/>
  <c r="D47" i="10"/>
  <c r="AJ47" i="10" s="1"/>
  <c r="CG47" i="9" s="1"/>
  <c r="AP46" i="10"/>
  <c r="V46" i="10"/>
  <c r="H46" i="10"/>
  <c r="AL46" i="10" s="1"/>
  <c r="CI46" i="9" s="1"/>
  <c r="CD46" i="9" s="1"/>
  <c r="F46" i="10"/>
  <c r="AK46" i="10" s="1"/>
  <c r="CH46" i="9" s="1"/>
  <c r="CC46" i="9" s="1"/>
  <c r="D46" i="10"/>
  <c r="AJ46" i="10" s="1"/>
  <c r="CG46" i="9" s="1"/>
  <c r="AP45" i="10"/>
  <c r="V45" i="10"/>
  <c r="H45" i="10"/>
  <c r="AL45" i="10" s="1"/>
  <c r="CI45" i="9" s="1"/>
  <c r="CD45" i="9" s="1"/>
  <c r="F45" i="10"/>
  <c r="AK45" i="10" s="1"/>
  <c r="CH45" i="9" s="1"/>
  <c r="CC45" i="9" s="1"/>
  <c r="D45" i="10"/>
  <c r="V44" i="10"/>
  <c r="H44" i="10"/>
  <c r="AL44" i="10" s="1"/>
  <c r="CI44" i="9" s="1"/>
  <c r="CD44" i="9" s="1"/>
  <c r="F44" i="10"/>
  <c r="AK44" i="10" s="1"/>
  <c r="CH44" i="9" s="1"/>
  <c r="CC44" i="9" s="1"/>
  <c r="D44" i="10"/>
  <c r="AJ44" i="10" s="1"/>
  <c r="CG44" i="9" s="1"/>
  <c r="AP43" i="10"/>
  <c r="G40" i="10"/>
  <c r="E40" i="10"/>
  <c r="C40" i="10"/>
  <c r="B34" i="10"/>
  <c r="D25" i="10"/>
  <c r="C25" i="10"/>
  <c r="H24" i="10"/>
  <c r="E24" i="10"/>
  <c r="AB24" i="10" s="1"/>
  <c r="B24" i="10"/>
  <c r="AE11" i="10" s="1"/>
  <c r="AJ11" i="10" s="1"/>
  <c r="J20" i="10"/>
  <c r="I20" i="10"/>
  <c r="G20" i="10"/>
  <c r="F20" i="10"/>
  <c r="D20" i="10"/>
  <c r="C20" i="10"/>
  <c r="S12" i="10"/>
  <c r="J12" i="10"/>
  <c r="I12" i="10"/>
  <c r="I22" i="10" s="1"/>
  <c r="G12" i="10"/>
  <c r="F12" i="10"/>
  <c r="D12" i="10"/>
  <c r="C12" i="10"/>
  <c r="R11" i="10"/>
  <c r="T11" i="10" s="1"/>
  <c r="R10" i="10"/>
  <c r="T10" i="10" s="1"/>
  <c r="G22" i="10" l="1"/>
  <c r="AF9" i="10"/>
  <c r="AK9" i="10" s="1"/>
  <c r="F102" i="10"/>
  <c r="D22" i="10"/>
  <c r="CB47" i="9"/>
  <c r="CE47" i="9"/>
  <c r="F22" i="10"/>
  <c r="CB48" i="9"/>
  <c r="CE48" i="9"/>
  <c r="CB46" i="9"/>
  <c r="CE46" i="9"/>
  <c r="CB44" i="9"/>
  <c r="CE44" i="9"/>
  <c r="CB49" i="9"/>
  <c r="CE49" i="9"/>
  <c r="R18" i="10"/>
  <c r="T18" i="10" s="1"/>
  <c r="B115" i="10"/>
  <c r="AF10" i="10"/>
  <c r="AK10" i="10" s="1"/>
  <c r="Z124" i="10"/>
  <c r="T124" i="10" s="1"/>
  <c r="BQ124" i="9" s="1"/>
  <c r="H53" i="10"/>
  <c r="AE10" i="10"/>
  <c r="AJ10" i="10" s="1"/>
  <c r="B10" i="10"/>
  <c r="B6" i="10"/>
  <c r="B16" i="10"/>
  <c r="B8" i="10"/>
  <c r="B14" i="10"/>
  <c r="B7" i="10"/>
  <c r="B9" i="10"/>
  <c r="B17" i="10"/>
  <c r="B15" i="10"/>
  <c r="B18" i="10"/>
  <c r="B11" i="10"/>
  <c r="B19" i="10"/>
  <c r="C94" i="10"/>
  <c r="C95" i="10" s="1"/>
  <c r="O31" i="10" s="1"/>
  <c r="N31" i="10" s="1"/>
  <c r="F53" i="10"/>
  <c r="Z121" i="10"/>
  <c r="T121" i="10" s="1"/>
  <c r="BQ121" i="9" s="1"/>
  <c r="Z142" i="10"/>
  <c r="AF7" i="10"/>
  <c r="AK7" i="10" s="1"/>
  <c r="E16" i="10"/>
  <c r="E10" i="10"/>
  <c r="E6" i="10"/>
  <c r="E15" i="10"/>
  <c r="E18" i="10"/>
  <c r="E14" i="10"/>
  <c r="E8" i="10"/>
  <c r="E17" i="10"/>
  <c r="E11" i="10"/>
  <c r="E7" i="10"/>
  <c r="E19" i="10"/>
  <c r="E9" i="10"/>
  <c r="Z119" i="10"/>
  <c r="T119" i="10" s="1"/>
  <c r="BQ119" i="9" s="1"/>
  <c r="Z122" i="10"/>
  <c r="Z117" i="10"/>
  <c r="Z69" i="10"/>
  <c r="Z68" i="10"/>
  <c r="Z67" i="10"/>
  <c r="S21" i="15"/>
  <c r="F22" i="9"/>
  <c r="G22" i="9"/>
  <c r="AK17" i="15"/>
  <c r="BJ5" i="9"/>
  <c r="BJ14" i="9" s="1"/>
  <c r="CC17" i="9" s="1"/>
  <c r="CH17" i="9" s="1"/>
  <c r="AJ18" i="15"/>
  <c r="BK6" i="9"/>
  <c r="BK15" i="9" s="1"/>
  <c r="CB18" i="9" s="1"/>
  <c r="CG18" i="9" s="1"/>
  <c r="AK18" i="15"/>
  <c r="BK5" i="9"/>
  <c r="BK14" i="9" s="1"/>
  <c r="CC18" i="9" s="1"/>
  <c r="CH18" i="9" s="1"/>
  <c r="AO5" i="9"/>
  <c r="AM5" i="9"/>
  <c r="AO9" i="9"/>
  <c r="AM10" i="9"/>
  <c r="AO10" i="9"/>
  <c r="AW10" i="9"/>
  <c r="AS10" i="9"/>
  <c r="AS6" i="9"/>
  <c r="AO6" i="9"/>
  <c r="AO15" i="9" s="1"/>
  <c r="BX9" i="9" s="1"/>
  <c r="K22" i="9" s="1"/>
  <c r="BD15" i="9"/>
  <c r="CB9" i="9" s="1"/>
  <c r="CG9" i="9" s="1"/>
  <c r="AM6" i="9"/>
  <c r="AF19" i="16"/>
  <c r="AW9" i="9"/>
  <c r="B15" i="15"/>
  <c r="AD6" i="9" s="1"/>
  <c r="AE6" i="9" s="1"/>
  <c r="AB15" i="15"/>
  <c r="B15" i="16"/>
  <c r="AD10" i="9" s="1"/>
  <c r="AE10" i="9" s="1"/>
  <c r="E15" i="15"/>
  <c r="AD5" i="9" s="1"/>
  <c r="AE5" i="9" s="1"/>
  <c r="AE14" i="9" s="1"/>
  <c r="AD14" i="9" s="1"/>
  <c r="AC15" i="16"/>
  <c r="AB15" i="16"/>
  <c r="AG8" i="10"/>
  <c r="AH14" i="9"/>
  <c r="AG10" i="10"/>
  <c r="R12" i="15"/>
  <c r="V10" i="9"/>
  <c r="W10" i="9" s="1"/>
  <c r="W15" i="9" s="1"/>
  <c r="V15" i="9" s="1"/>
  <c r="H67" i="10"/>
  <c r="Z63" i="10"/>
  <c r="Z64" i="10"/>
  <c r="H61" i="10"/>
  <c r="H69" i="10"/>
  <c r="D67" i="10"/>
  <c r="W14" i="9"/>
  <c r="V14" i="9" s="1"/>
  <c r="AE14" i="15"/>
  <c r="H107" i="15"/>
  <c r="H109" i="15" s="1"/>
  <c r="D107" i="15"/>
  <c r="B8" i="15" s="1"/>
  <c r="T12" i="15"/>
  <c r="E87" i="10"/>
  <c r="E88" i="10"/>
  <c r="F87" i="15"/>
  <c r="B14" i="15" s="1"/>
  <c r="AB6" i="9" s="1"/>
  <c r="AC6" i="9" s="1"/>
  <c r="F87" i="16"/>
  <c r="E89" i="16"/>
  <c r="F89" i="16" s="1"/>
  <c r="H87" i="16"/>
  <c r="G89" i="16"/>
  <c r="H89" i="16" s="1"/>
  <c r="AM46" i="10"/>
  <c r="G95" i="10"/>
  <c r="AB7" i="16"/>
  <c r="T67" i="15"/>
  <c r="V16" i="15"/>
  <c r="T69" i="15"/>
  <c r="O39" i="10"/>
  <c r="D130" i="10"/>
  <c r="H135" i="10" s="1"/>
  <c r="H136" i="10"/>
  <c r="T72" i="15"/>
  <c r="T71" i="15"/>
  <c r="T68" i="15"/>
  <c r="D107" i="16"/>
  <c r="B8" i="16" s="1"/>
  <c r="D141" i="16"/>
  <c r="D140" i="16"/>
  <c r="R12" i="16"/>
  <c r="H107" i="16"/>
  <c r="H109" i="16" s="1"/>
  <c r="T12" i="16"/>
  <c r="H12" i="16"/>
  <c r="M19" i="16"/>
  <c r="P33" i="16" s="1"/>
  <c r="M9" i="16"/>
  <c r="Q9" i="16" s="1"/>
  <c r="E142" i="16"/>
  <c r="AE14" i="16"/>
  <c r="BG10" i="9" s="1"/>
  <c r="M7" i="16"/>
  <c r="T14" i="16"/>
  <c r="R20" i="16"/>
  <c r="AE19" i="16"/>
  <c r="BL10" i="9" s="1"/>
  <c r="AD19" i="16"/>
  <c r="AD9" i="16"/>
  <c r="AI9" i="16" s="1"/>
  <c r="AG14" i="16"/>
  <c r="AF14" i="16"/>
  <c r="T70" i="16"/>
  <c r="T72" i="16"/>
  <c r="T71" i="16"/>
  <c r="T69" i="16"/>
  <c r="T68" i="16"/>
  <c r="T67" i="16"/>
  <c r="V16" i="16"/>
  <c r="AD7" i="15"/>
  <c r="AI7" i="15" s="1"/>
  <c r="AH18" i="15"/>
  <c r="AI18" i="15" s="1"/>
  <c r="AD9" i="15"/>
  <c r="AI9" i="15" s="1"/>
  <c r="Q7" i="15"/>
  <c r="AA19" i="15"/>
  <c r="D137" i="15"/>
  <c r="AC19" i="15"/>
  <c r="AG19" i="15" s="1"/>
  <c r="AL19" i="15" s="1"/>
  <c r="E19" i="15"/>
  <c r="AB19" i="15"/>
  <c r="E137" i="15"/>
  <c r="G89" i="15"/>
  <c r="AG14" i="15"/>
  <c r="AL14" i="15" s="1"/>
  <c r="AF14" i="15"/>
  <c r="BG5" i="9" s="1"/>
  <c r="H87" i="15"/>
  <c r="AJ17" i="15"/>
  <c r="AH17" i="15"/>
  <c r="AI17" i="15" s="1"/>
  <c r="G142" i="15"/>
  <c r="D142" i="15" s="1"/>
  <c r="E140" i="15"/>
  <c r="H12" i="15"/>
  <c r="E141" i="15"/>
  <c r="R20" i="15"/>
  <c r="T14" i="15"/>
  <c r="F89" i="15"/>
  <c r="AE16" i="15"/>
  <c r="BI6" i="9" s="1"/>
  <c r="Q18" i="15"/>
  <c r="M9" i="15"/>
  <c r="C22" i="10"/>
  <c r="AF11" i="10"/>
  <c r="AK11" i="10" s="1"/>
  <c r="AF8" i="10"/>
  <c r="AK8" i="10" s="1"/>
  <c r="AM47" i="10"/>
  <c r="AM49" i="10"/>
  <c r="AM44" i="10"/>
  <c r="AE7" i="10"/>
  <c r="AJ7" i="10" s="1"/>
  <c r="AE8" i="10"/>
  <c r="AJ8" i="10" s="1"/>
  <c r="T122" i="10"/>
  <c r="BQ122" i="9" s="1"/>
  <c r="T117" i="10"/>
  <c r="BQ117" i="9" s="1"/>
  <c r="T123" i="10"/>
  <c r="BQ123" i="9" s="1"/>
  <c r="C31" i="10"/>
  <c r="C32" i="10"/>
  <c r="H66" i="10"/>
  <c r="F68" i="10"/>
  <c r="H68" i="10" s="1"/>
  <c r="AG11" i="10"/>
  <c r="AG7" i="10"/>
  <c r="D53" i="10"/>
  <c r="AJ45" i="10"/>
  <c r="AM48" i="10"/>
  <c r="AF64" i="10"/>
  <c r="AH64" i="10" s="1"/>
  <c r="G137" i="10"/>
  <c r="AG9" i="10"/>
  <c r="C30" i="10"/>
  <c r="AF60" i="10"/>
  <c r="AH60" i="10" s="1"/>
  <c r="AF80" i="10"/>
  <c r="AH80" i="10" s="1"/>
  <c r="R17" i="10"/>
  <c r="T17" i="10" s="1"/>
  <c r="J22" i="10"/>
  <c r="T130" i="10"/>
  <c r="BQ130" i="9" s="1"/>
  <c r="B25" i="10"/>
  <c r="AA24" i="10"/>
  <c r="AE9" i="10"/>
  <c r="AC24" i="10"/>
  <c r="C33" i="10"/>
  <c r="Z59" i="10"/>
  <c r="D61" i="10"/>
  <c r="G82" i="10"/>
  <c r="B73" i="10"/>
  <c r="F82" i="10"/>
  <c r="G94" i="10"/>
  <c r="T131" i="10"/>
  <c r="BQ131" i="9" s="1"/>
  <c r="Z141" i="10"/>
  <c r="Z138" i="10"/>
  <c r="Z140" i="10"/>
  <c r="Z136" i="10"/>
  <c r="B68" i="10"/>
  <c r="B78" i="10" s="1"/>
  <c r="D66" i="10"/>
  <c r="D69" i="10"/>
  <c r="Z72" i="10"/>
  <c r="Z71" i="10"/>
  <c r="B79" i="10"/>
  <c r="Z125" i="10"/>
  <c r="T125" i="10" s="1"/>
  <c r="BQ125" i="9" s="1"/>
  <c r="Z120" i="10"/>
  <c r="T120" i="10" s="1"/>
  <c r="BQ120" i="9" s="1"/>
  <c r="Z118" i="10"/>
  <c r="T118" i="10" s="1"/>
  <c r="BQ118" i="9" s="1"/>
  <c r="F11" i="9"/>
  <c r="Z143" i="10" l="1"/>
  <c r="AM45" i="10"/>
  <c r="AO45" i="10" s="1"/>
  <c r="CG45" i="9"/>
  <c r="C96" i="10"/>
  <c r="D96" i="10" s="1"/>
  <c r="R8" i="10" s="1"/>
  <c r="T8" i="10" s="1"/>
  <c r="AO44" i="10"/>
  <c r="BS44" i="9"/>
  <c r="AO48" i="10"/>
  <c r="BS48" i="9"/>
  <c r="AO49" i="10"/>
  <c r="BS49" i="9"/>
  <c r="AO47" i="10"/>
  <c r="BS47" i="9"/>
  <c r="AO46" i="10"/>
  <c r="BS46" i="9"/>
  <c r="Z73" i="10"/>
  <c r="BQ132" i="9"/>
  <c r="BW131" i="9" s="1"/>
  <c r="BQ126" i="9"/>
  <c r="BW125" i="9" s="1"/>
  <c r="AS15" i="9"/>
  <c r="BX15" i="9" s="1"/>
  <c r="K28" i="9" s="1"/>
  <c r="AJ14" i="15"/>
  <c r="BG6" i="9"/>
  <c r="AK14" i="16"/>
  <c r="BG9" i="9"/>
  <c r="AK19" i="16"/>
  <c r="BL9" i="9"/>
  <c r="AL9" i="10"/>
  <c r="BD3" i="9"/>
  <c r="AH11" i="10"/>
  <c r="BF3" i="9"/>
  <c r="AL10" i="10"/>
  <c r="BE3" i="9"/>
  <c r="AL7" i="10"/>
  <c r="BB3" i="9"/>
  <c r="AM15" i="9"/>
  <c r="BX7" i="9" s="1"/>
  <c r="K20" i="9" s="1"/>
  <c r="AL8" i="10"/>
  <c r="BC3" i="9"/>
  <c r="BD14" i="9"/>
  <c r="CC9" i="9" s="1"/>
  <c r="CH9" i="9" s="1"/>
  <c r="AW5" i="9"/>
  <c r="AW14" i="9" s="1"/>
  <c r="BY19" i="9" s="1"/>
  <c r="L32" i="9" s="1"/>
  <c r="AS9" i="9"/>
  <c r="BH14" i="9"/>
  <c r="CC15" i="9" s="1"/>
  <c r="CH15" i="9" s="1"/>
  <c r="BB15" i="9"/>
  <c r="CB7" i="9" s="1"/>
  <c r="CG7" i="9" s="1"/>
  <c r="BH15" i="9"/>
  <c r="CB15" i="9" s="1"/>
  <c r="CG15" i="9" s="1"/>
  <c r="BB14" i="9"/>
  <c r="CC7" i="9" s="1"/>
  <c r="CH7" i="9" s="1"/>
  <c r="AO14" i="9"/>
  <c r="BY9" i="9" s="1"/>
  <c r="L22" i="9" s="1"/>
  <c r="AE15" i="9"/>
  <c r="AD15" i="9" s="1"/>
  <c r="AD15" i="15"/>
  <c r="AI15" i="15" s="1"/>
  <c r="AI65" i="15" s="1"/>
  <c r="AB65" i="15" s="1"/>
  <c r="AS5" i="9"/>
  <c r="AS14" i="9" s="1"/>
  <c r="BY15" i="9" s="1"/>
  <c r="L28" i="9" s="1"/>
  <c r="AD7" i="16"/>
  <c r="AI7" i="16" s="1"/>
  <c r="AM9" i="9"/>
  <c r="AM14" i="9" s="1"/>
  <c r="BY7" i="9" s="1"/>
  <c r="L20" i="9" s="1"/>
  <c r="G25" i="9"/>
  <c r="AW6" i="9"/>
  <c r="AW15" i="9" s="1"/>
  <c r="BX19" i="9" s="1"/>
  <c r="K32" i="9" s="1"/>
  <c r="AH10" i="10"/>
  <c r="M15" i="15"/>
  <c r="Q15" i="15" s="1"/>
  <c r="M15" i="16"/>
  <c r="Q15" i="16" s="1"/>
  <c r="AD15" i="16"/>
  <c r="AI15" i="16" s="1"/>
  <c r="AI65" i="16" s="1"/>
  <c r="AA65" i="16" s="1"/>
  <c r="R21" i="15"/>
  <c r="E134" i="10"/>
  <c r="AC17" i="10" s="1"/>
  <c r="AH8" i="10"/>
  <c r="AF19" i="15"/>
  <c r="F25" i="9"/>
  <c r="D79" i="10"/>
  <c r="C79" i="10" s="1"/>
  <c r="H72" i="10"/>
  <c r="H74" i="10" s="1"/>
  <c r="C23" i="9"/>
  <c r="B23" i="9" s="1"/>
  <c r="E23" i="9"/>
  <c r="D109" i="15"/>
  <c r="C107" i="15"/>
  <c r="AA8" i="15" s="1"/>
  <c r="E8" i="15"/>
  <c r="M8" i="15" s="1"/>
  <c r="G107" i="15"/>
  <c r="AB8" i="15" s="1"/>
  <c r="G7" i="9"/>
  <c r="G8" i="9"/>
  <c r="E8" i="16"/>
  <c r="G10" i="9"/>
  <c r="G4" i="9"/>
  <c r="AA14" i="15"/>
  <c r="H130" i="10"/>
  <c r="H134" i="10"/>
  <c r="D135" i="10"/>
  <c r="AA18" i="10" s="1"/>
  <c r="D109" i="16"/>
  <c r="C107" i="16"/>
  <c r="AA8" i="16" s="1"/>
  <c r="T73" i="15"/>
  <c r="N39" i="10"/>
  <c r="AE63" i="10"/>
  <c r="AE65" i="10" s="1"/>
  <c r="AJ65" i="10" s="1"/>
  <c r="M24" i="10"/>
  <c r="D134" i="10"/>
  <c r="AA17" i="10" s="1"/>
  <c r="E135" i="10"/>
  <c r="AC18" i="10" s="1"/>
  <c r="G11" i="9"/>
  <c r="G6" i="9"/>
  <c r="G9" i="9"/>
  <c r="G5" i="9"/>
  <c r="G3" i="9"/>
  <c r="R21" i="16"/>
  <c r="G107" i="16"/>
  <c r="Q19" i="16"/>
  <c r="T73" i="16"/>
  <c r="AH14" i="16"/>
  <c r="AJ14" i="16"/>
  <c r="T60" i="16"/>
  <c r="T20" i="16"/>
  <c r="T21" i="16" s="1"/>
  <c r="T59" i="16"/>
  <c r="V14" i="16"/>
  <c r="Q7" i="16"/>
  <c r="P41" i="16"/>
  <c r="N41" i="16" s="1"/>
  <c r="N33" i="16"/>
  <c r="AA14" i="16"/>
  <c r="B14" i="16"/>
  <c r="AB10" i="9" s="1"/>
  <c r="AC10" i="9" s="1"/>
  <c r="AC15" i="9" s="1"/>
  <c r="AB15" i="9" s="1"/>
  <c r="AF16" i="16"/>
  <c r="AG16" i="16"/>
  <c r="AE16" i="16"/>
  <c r="BI10" i="9" s="1"/>
  <c r="AC14" i="16"/>
  <c r="AB14" i="16"/>
  <c r="E14" i="16"/>
  <c r="AB9" i="9" s="1"/>
  <c r="AC9" i="9" s="1"/>
  <c r="AJ19" i="16"/>
  <c r="AH19" i="16"/>
  <c r="AI19" i="16" s="1"/>
  <c r="D141" i="15"/>
  <c r="AA16" i="15"/>
  <c r="B16" i="15"/>
  <c r="D140" i="15"/>
  <c r="M19" i="15"/>
  <c r="P33" i="15" s="1"/>
  <c r="E142" i="15"/>
  <c r="AK14" i="15"/>
  <c r="AH14" i="15"/>
  <c r="T60" i="15"/>
  <c r="V14" i="15"/>
  <c r="T59" i="15"/>
  <c r="T20" i="15"/>
  <c r="T21" i="15" s="1"/>
  <c r="AG16" i="15"/>
  <c r="AL16" i="15" s="1"/>
  <c r="H89" i="15"/>
  <c r="AF16" i="15"/>
  <c r="Q9" i="15"/>
  <c r="AJ16" i="15"/>
  <c r="AC14" i="15"/>
  <c r="E14" i="15"/>
  <c r="AB5" i="9" s="1"/>
  <c r="AC5" i="9" s="1"/>
  <c r="AB14" i="15"/>
  <c r="AE19" i="15"/>
  <c r="BL6" i="9" s="1"/>
  <c r="BL15" i="9" s="1"/>
  <c r="CB19" i="9" s="1"/>
  <c r="CG19" i="9" s="1"/>
  <c r="AD19" i="15"/>
  <c r="C34" i="10"/>
  <c r="T132" i="10"/>
  <c r="T126" i="10"/>
  <c r="D73" i="10"/>
  <c r="C73" i="10" s="1"/>
  <c r="B81" i="10"/>
  <c r="D81" i="10" s="1"/>
  <c r="C81" i="10" s="1"/>
  <c r="AH9" i="10"/>
  <c r="AJ9" i="10"/>
  <c r="Z126" i="10"/>
  <c r="F72" i="10"/>
  <c r="F74" i="10" s="1"/>
  <c r="G96" i="10"/>
  <c r="H96" i="10" s="1"/>
  <c r="AD24" i="10"/>
  <c r="AL11" i="10"/>
  <c r="B80" i="10"/>
  <c r="B72" i="10"/>
  <c r="B74" i="10" s="1"/>
  <c r="D68" i="10"/>
  <c r="D78" i="10" s="1"/>
  <c r="H124" i="10"/>
  <c r="U19" i="10"/>
  <c r="U11" i="10"/>
  <c r="V11" i="10" s="1"/>
  <c r="E117" i="10"/>
  <c r="H121" i="10"/>
  <c r="U17" i="10"/>
  <c r="V17" i="10" s="1"/>
  <c r="U10" i="10"/>
  <c r="V10" i="10" s="1"/>
  <c r="F117" i="10"/>
  <c r="F118" i="10" s="1"/>
  <c r="H79" i="10"/>
  <c r="H83" i="10" s="1"/>
  <c r="U18" i="10"/>
  <c r="V18" i="10" s="1"/>
  <c r="U9" i="10"/>
  <c r="C136" i="10"/>
  <c r="H137" i="10"/>
  <c r="AF63" i="10"/>
  <c r="AF65" i="10" s="1"/>
  <c r="AK65" i="10" s="1"/>
  <c r="AH7" i="10"/>
  <c r="G106" i="10" l="1"/>
  <c r="H106" i="10" s="1"/>
  <c r="CB45" i="9"/>
  <c r="CE45" i="9"/>
  <c r="BS45" i="9" s="1"/>
  <c r="BY45" i="9" s="1"/>
  <c r="AK49" i="9"/>
  <c r="BY49" i="9"/>
  <c r="BX49" i="9"/>
  <c r="BZ49" i="9"/>
  <c r="AK44" i="9"/>
  <c r="BX44" i="9"/>
  <c r="BY44" i="9"/>
  <c r="BZ44" i="9"/>
  <c r="AK46" i="9"/>
  <c r="BY46" i="9"/>
  <c r="BX46" i="9"/>
  <c r="BZ46" i="9"/>
  <c r="AK47" i="9"/>
  <c r="BY47" i="9"/>
  <c r="BX47" i="9"/>
  <c r="BZ47" i="9"/>
  <c r="AK48" i="9"/>
  <c r="BX48" i="9"/>
  <c r="BY48" i="9"/>
  <c r="BZ48" i="9"/>
  <c r="G104" i="10"/>
  <c r="H104" i="10" s="1"/>
  <c r="C106" i="10"/>
  <c r="D106" i="10" s="1"/>
  <c r="C105" i="10"/>
  <c r="D105" i="10" s="1"/>
  <c r="G105" i="10"/>
  <c r="H105" i="10" s="1"/>
  <c r="BW130" i="9"/>
  <c r="BW132" i="9" s="1"/>
  <c r="C104" i="10"/>
  <c r="D104" i="10" s="1"/>
  <c r="U8" i="10"/>
  <c r="V8" i="10" s="1"/>
  <c r="BW123" i="9"/>
  <c r="BW117" i="9"/>
  <c r="BW121" i="9"/>
  <c r="BW118" i="9"/>
  <c r="BW120" i="9"/>
  <c r="BW124" i="9"/>
  <c r="BW122" i="9"/>
  <c r="BW119" i="9"/>
  <c r="AK19" i="15"/>
  <c r="BL5" i="9"/>
  <c r="BL14" i="9" s="1"/>
  <c r="CC19" i="9" s="1"/>
  <c r="CH19" i="9" s="1"/>
  <c r="AK16" i="16"/>
  <c r="BI9" i="9"/>
  <c r="AK16" i="15"/>
  <c r="BI5" i="9"/>
  <c r="BC15" i="9"/>
  <c r="CB8" i="9" s="1"/>
  <c r="CG8" i="9" s="1"/>
  <c r="AR6" i="9"/>
  <c r="AA65" i="15"/>
  <c r="AD65" i="15" s="1"/>
  <c r="AT6" i="9"/>
  <c r="AR5" i="9"/>
  <c r="AR9" i="9"/>
  <c r="AR10" i="9"/>
  <c r="AV3" i="9"/>
  <c r="AU3" i="9"/>
  <c r="AA12" i="16"/>
  <c r="AN10" i="9"/>
  <c r="AA12" i="15"/>
  <c r="AN6" i="9"/>
  <c r="AB12" i="15"/>
  <c r="AN5" i="9"/>
  <c r="AB65" i="16"/>
  <c r="AD65" i="16" s="1"/>
  <c r="H17" i="10"/>
  <c r="AH3" i="9" s="1"/>
  <c r="AH11" i="9" s="1"/>
  <c r="AB17" i="10"/>
  <c r="AF17" i="10" s="1"/>
  <c r="AK17" i="10" s="1"/>
  <c r="AC14" i="9"/>
  <c r="AB14" i="9" s="1"/>
  <c r="B20" i="15"/>
  <c r="J6" i="9" s="1"/>
  <c r="AF6" i="9"/>
  <c r="AG6" i="9" s="1"/>
  <c r="AC8" i="15"/>
  <c r="AC12" i="15" s="1"/>
  <c r="M8" i="16"/>
  <c r="AA20" i="15"/>
  <c r="AB18" i="10"/>
  <c r="AF18" i="10" s="1"/>
  <c r="AK18" i="10" s="1"/>
  <c r="H141" i="10"/>
  <c r="H140" i="10"/>
  <c r="H18" i="10"/>
  <c r="M18" i="10" s="1"/>
  <c r="Q18" i="10" s="1"/>
  <c r="Q19" i="15"/>
  <c r="AC8" i="16"/>
  <c r="AC12" i="16" s="1"/>
  <c r="AB8" i="16"/>
  <c r="T61" i="16"/>
  <c r="AB16" i="16"/>
  <c r="H20" i="16"/>
  <c r="H22" i="16" s="1"/>
  <c r="AC16" i="16"/>
  <c r="AC20" i="16" s="1"/>
  <c r="E16" i="16"/>
  <c r="M14" i="16"/>
  <c r="AA16" i="16"/>
  <c r="B16" i="16"/>
  <c r="AF10" i="9" s="1"/>
  <c r="AG10" i="9" s="1"/>
  <c r="AD14" i="16"/>
  <c r="AJ16" i="16"/>
  <c r="AH16" i="16"/>
  <c r="T61" i="15"/>
  <c r="AH19" i="15"/>
  <c r="AI19" i="15" s="1"/>
  <c r="AJ19" i="15"/>
  <c r="AH16" i="15"/>
  <c r="AD14" i="15"/>
  <c r="AB16" i="15"/>
  <c r="H20" i="15"/>
  <c r="H22" i="15" s="1"/>
  <c r="E16" i="15"/>
  <c r="AC16" i="15"/>
  <c r="AC20" i="15" s="1"/>
  <c r="M14" i="15"/>
  <c r="Q8" i="15"/>
  <c r="Q12" i="15" s="1"/>
  <c r="N33" i="15"/>
  <c r="P41" i="15"/>
  <c r="N41" i="15" s="1"/>
  <c r="D80" i="10"/>
  <c r="C78" i="10"/>
  <c r="G117" i="10"/>
  <c r="E118" i="10"/>
  <c r="D72" i="10"/>
  <c r="G74" i="10"/>
  <c r="R15" i="10"/>
  <c r="T15" i="10" s="1"/>
  <c r="U14" i="10"/>
  <c r="C101" i="10"/>
  <c r="D101" i="10" s="1"/>
  <c r="C100" i="10"/>
  <c r="D100" i="10" s="1"/>
  <c r="G100" i="10"/>
  <c r="H100" i="10" s="1"/>
  <c r="G101" i="10"/>
  <c r="H101" i="10" s="1"/>
  <c r="AE18" i="10"/>
  <c r="AE17" i="10"/>
  <c r="AH63" i="10"/>
  <c r="AH65" i="10" s="1"/>
  <c r="AG17" i="10"/>
  <c r="U7" i="10"/>
  <c r="R7" i="10"/>
  <c r="F76" i="10"/>
  <c r="G88" i="10" s="1"/>
  <c r="U15" i="10"/>
  <c r="B136" i="10"/>
  <c r="R19" i="10"/>
  <c r="T19" i="10" s="1"/>
  <c r="B83" i="10"/>
  <c r="BI22" i="9" s="1"/>
  <c r="G83" i="10"/>
  <c r="G81" i="10" s="1"/>
  <c r="F83" i="10"/>
  <c r="F81" i="10" s="1"/>
  <c r="B75" i="10"/>
  <c r="H81" i="10"/>
  <c r="H78" i="10" s="1"/>
  <c r="AB10" i="10"/>
  <c r="AC10" i="10"/>
  <c r="AA10" i="10"/>
  <c r="H10" i="10"/>
  <c r="AC11" i="10"/>
  <c r="AA11" i="10"/>
  <c r="H11" i="10"/>
  <c r="AB11" i="10"/>
  <c r="B82" i="10"/>
  <c r="G72" i="10"/>
  <c r="AG18" i="10"/>
  <c r="D107" i="10" l="1"/>
  <c r="C107" i="10" s="1"/>
  <c r="AA8" i="10" s="1"/>
  <c r="AK45" i="9"/>
  <c r="H107" i="10"/>
  <c r="H8" i="10" s="1"/>
  <c r="BZ45" i="9"/>
  <c r="BX45" i="9"/>
  <c r="T135" i="10"/>
  <c r="BQ135" i="9" s="1"/>
  <c r="T139" i="10"/>
  <c r="BQ139" i="9" s="1"/>
  <c r="CA47" i="9"/>
  <c r="CA46" i="9"/>
  <c r="CA49" i="9"/>
  <c r="CA48" i="9"/>
  <c r="CA44" i="9"/>
  <c r="BW126" i="9"/>
  <c r="B76" i="10"/>
  <c r="BG22" i="9"/>
  <c r="BI14" i="9"/>
  <c r="CC16" i="9" s="1"/>
  <c r="CH16" i="9" s="1"/>
  <c r="AR14" i="9"/>
  <c r="BY14" i="9" s="1"/>
  <c r="L27" i="9" s="1"/>
  <c r="AL18" i="10"/>
  <c r="BK3" i="9"/>
  <c r="BK13" i="9" s="1"/>
  <c r="AL17" i="10"/>
  <c r="BJ3" i="9"/>
  <c r="BJ13" i="9" s="1"/>
  <c r="AV11" i="9"/>
  <c r="BO18" i="9" s="1"/>
  <c r="BQ18" i="9" s="1"/>
  <c r="AV13" i="9"/>
  <c r="AQ3" i="9"/>
  <c r="AT10" i="9"/>
  <c r="AT15" i="9" s="1"/>
  <c r="BX16" i="9" s="1"/>
  <c r="K29" i="9" s="1"/>
  <c r="AA21" i="15"/>
  <c r="AA22" i="15" s="1"/>
  <c r="BG14" i="9"/>
  <c r="CC14" i="9" s="1"/>
  <c r="CH14" i="9" s="1"/>
  <c r="AP3" i="9"/>
  <c r="AX6" i="9"/>
  <c r="AN15" i="9"/>
  <c r="BX8" i="9" s="1"/>
  <c r="K21" i="9" s="1"/>
  <c r="BG15" i="9"/>
  <c r="CB14" i="9" s="1"/>
  <c r="CG14" i="9" s="1"/>
  <c r="AN9" i="9"/>
  <c r="AN14" i="9" s="1"/>
  <c r="BY8" i="9" s="1"/>
  <c r="L21" i="9" s="1"/>
  <c r="AU11" i="9"/>
  <c r="BO17" i="9" s="1"/>
  <c r="BQ17" i="9" s="1"/>
  <c r="AU13" i="9"/>
  <c r="BI15" i="9"/>
  <c r="CB16" i="9" s="1"/>
  <c r="CG16" i="9" s="1"/>
  <c r="AR15" i="9"/>
  <c r="BX14" i="9" s="1"/>
  <c r="K27" i="9" s="1"/>
  <c r="AB20" i="15"/>
  <c r="AB21" i="15" s="1"/>
  <c r="AB22" i="15" s="1"/>
  <c r="AT5" i="9"/>
  <c r="AB20" i="16"/>
  <c r="AT9" i="9"/>
  <c r="AI3" i="9"/>
  <c r="AI11" i="9" s="1"/>
  <c r="M17" i="10"/>
  <c r="Q17" i="10" s="1"/>
  <c r="AD17" i="10"/>
  <c r="AG15" i="9"/>
  <c r="AF15" i="9" s="1"/>
  <c r="E20" i="16"/>
  <c r="J9" i="9" s="1"/>
  <c r="AF9" i="9"/>
  <c r="AG9" i="9" s="1"/>
  <c r="M16" i="15"/>
  <c r="M20" i="15" s="1"/>
  <c r="AF5" i="9"/>
  <c r="AG5" i="9" s="1"/>
  <c r="H75" i="10"/>
  <c r="H88" i="10"/>
  <c r="F88" i="10"/>
  <c r="M10" i="10"/>
  <c r="Q10" i="10" s="1"/>
  <c r="X3" i="9"/>
  <c r="M11" i="10"/>
  <c r="Q11" i="10" s="1"/>
  <c r="Z3" i="9"/>
  <c r="AC21" i="15"/>
  <c r="AC22" i="15" s="1"/>
  <c r="AC23" i="15" s="1"/>
  <c r="AD8" i="15"/>
  <c r="AD12" i="15" s="1"/>
  <c r="Q8" i="16"/>
  <c r="Q12" i="16" s="1"/>
  <c r="G107" i="10"/>
  <c r="AC8" i="10" s="1"/>
  <c r="G87" i="10"/>
  <c r="AD18" i="10"/>
  <c r="AC21" i="16"/>
  <c r="E136" i="10"/>
  <c r="G141" i="10"/>
  <c r="E141" i="10" s="1"/>
  <c r="D136" i="10"/>
  <c r="G140" i="10"/>
  <c r="AB12" i="16"/>
  <c r="AD8" i="16"/>
  <c r="M16" i="16"/>
  <c r="Q16" i="16" s="1"/>
  <c r="AI14" i="16"/>
  <c r="AI61" i="16" s="1"/>
  <c r="Q14" i="16"/>
  <c r="AD16" i="16"/>
  <c r="AI16" i="16" s="1"/>
  <c r="AI81" i="16" s="1"/>
  <c r="B20" i="16"/>
  <c r="J10" i="9" s="1"/>
  <c r="AA20" i="16"/>
  <c r="AA21" i="16" s="1"/>
  <c r="AA22" i="16" s="1"/>
  <c r="Q14" i="15"/>
  <c r="AI14" i="15"/>
  <c r="AI61" i="15" s="1"/>
  <c r="E20" i="15"/>
  <c r="J5" i="9" s="1"/>
  <c r="AD16" i="15"/>
  <c r="AI16" i="15" s="1"/>
  <c r="AI81" i="15" s="1"/>
  <c r="M8" i="10"/>
  <c r="D102" i="10"/>
  <c r="H102" i="10"/>
  <c r="H7" i="10" s="1"/>
  <c r="M7" i="10" s="1"/>
  <c r="Q7" i="10" s="1"/>
  <c r="AJ17" i="10"/>
  <c r="AH17" i="10"/>
  <c r="C72" i="10"/>
  <c r="D74" i="10"/>
  <c r="C74" i="10" s="1"/>
  <c r="AE59" i="10"/>
  <c r="AF79" i="10"/>
  <c r="AF81" i="10" s="1"/>
  <c r="AK81" i="10" s="1"/>
  <c r="AE79" i="10"/>
  <c r="AF59" i="10"/>
  <c r="AF61" i="10" s="1"/>
  <c r="AK61" i="10" s="1"/>
  <c r="T142" i="10"/>
  <c r="BQ142" i="9" s="1"/>
  <c r="T141" i="10"/>
  <c r="BQ141" i="9" s="1"/>
  <c r="T137" i="10"/>
  <c r="BQ137" i="9" s="1"/>
  <c r="V19" i="10"/>
  <c r="T136" i="10"/>
  <c r="T140" i="10"/>
  <c r="BQ140" i="9" s="1"/>
  <c r="T138" i="10"/>
  <c r="BQ138" i="9" s="1"/>
  <c r="H76" i="10"/>
  <c r="AJ18" i="10"/>
  <c r="AH18" i="10"/>
  <c r="T64" i="10"/>
  <c r="BQ64" i="9" s="1"/>
  <c r="V15" i="10"/>
  <c r="T63" i="10"/>
  <c r="BQ63" i="9" s="1"/>
  <c r="B84" i="10"/>
  <c r="U16" i="10"/>
  <c r="AD11" i="10"/>
  <c r="AI11" i="10" s="1"/>
  <c r="AD10" i="10"/>
  <c r="AI10" i="10" s="1"/>
  <c r="T7" i="10"/>
  <c r="R9" i="10"/>
  <c r="T9" i="10" s="1"/>
  <c r="V9" i="10" s="1"/>
  <c r="H117" i="10"/>
  <c r="D82" i="10"/>
  <c r="C82" i="10" s="1"/>
  <c r="D83" i="10" s="1"/>
  <c r="S16" i="10" s="1"/>
  <c r="AT22" i="9" s="1"/>
  <c r="C80" i="10"/>
  <c r="CA45" i="9" l="1"/>
  <c r="D109" i="10"/>
  <c r="K33" i="9"/>
  <c r="E89" i="10"/>
  <c r="F89" i="10" s="1"/>
  <c r="T143" i="10"/>
  <c r="BQ136" i="9"/>
  <c r="BQ65" i="9"/>
  <c r="BW64" i="9" s="1"/>
  <c r="BJ11" i="9"/>
  <c r="BJ16" i="9"/>
  <c r="BJ24" i="9" s="1"/>
  <c r="BR17" i="9" s="1"/>
  <c r="CD17" i="9"/>
  <c r="CI17" i="9" s="1"/>
  <c r="BP16" i="9"/>
  <c r="AU16" i="9"/>
  <c r="AU24" i="9" s="1"/>
  <c r="BZ17" i="9"/>
  <c r="M30" i="9" s="1"/>
  <c r="AV16" i="9"/>
  <c r="AV24" i="9" s="1"/>
  <c r="BZ18" i="9"/>
  <c r="M31" i="9" s="1"/>
  <c r="BK16" i="9"/>
  <c r="BK24" i="9" s="1"/>
  <c r="BR18" i="9" s="1"/>
  <c r="CD18" i="9"/>
  <c r="CI18" i="9" s="1"/>
  <c r="BK11" i="9"/>
  <c r="AX10" i="9"/>
  <c r="AN3" i="9"/>
  <c r="BE13" i="9"/>
  <c r="BE11" i="9"/>
  <c r="AQ11" i="9"/>
  <c r="BO11" i="9" s="1"/>
  <c r="BQ11" i="9" s="1"/>
  <c r="AQ13" i="9"/>
  <c r="AX5" i="9"/>
  <c r="AT14" i="9"/>
  <c r="AP11" i="9"/>
  <c r="BO10" i="9" s="1"/>
  <c r="BQ10" i="9" s="1"/>
  <c r="AP13" i="9"/>
  <c r="AX15" i="9"/>
  <c r="AX9" i="9"/>
  <c r="BC14" i="9"/>
  <c r="CC8" i="9" s="1"/>
  <c r="CH8" i="9" s="1"/>
  <c r="BF13" i="9"/>
  <c r="BF11" i="9"/>
  <c r="AB21" i="16"/>
  <c r="AB22" i="16" s="1"/>
  <c r="AI13" i="9"/>
  <c r="AI16" i="9" s="1"/>
  <c r="AI17" i="10"/>
  <c r="J14" i="9"/>
  <c r="Q16" i="15"/>
  <c r="Q20" i="15" s="1"/>
  <c r="Q21" i="15" s="1"/>
  <c r="AG14" i="9"/>
  <c r="AF14" i="9" s="1"/>
  <c r="D76" i="10"/>
  <c r="R14" i="10" s="1"/>
  <c r="F87" i="10"/>
  <c r="Y3" i="9"/>
  <c r="X11" i="9"/>
  <c r="Z11" i="9"/>
  <c r="AA3" i="9"/>
  <c r="J15" i="9"/>
  <c r="AI8" i="15"/>
  <c r="AB8" i="10"/>
  <c r="AD8" i="10" s="1"/>
  <c r="AI8" i="10" s="1"/>
  <c r="G89" i="10"/>
  <c r="H89" i="10" s="1"/>
  <c r="H87" i="10"/>
  <c r="G102" i="10"/>
  <c r="AC7" i="10" s="1"/>
  <c r="AI18" i="10"/>
  <c r="H109" i="10"/>
  <c r="AC19" i="10"/>
  <c r="AB19" i="10"/>
  <c r="AF19" i="10" s="1"/>
  <c r="AK19" i="10" s="1"/>
  <c r="E137" i="10"/>
  <c r="H19" i="10"/>
  <c r="M19" i="10" s="1"/>
  <c r="G142" i="10"/>
  <c r="D142" i="10" s="1"/>
  <c r="E140" i="10"/>
  <c r="E142" i="10" s="1"/>
  <c r="AA19" i="10"/>
  <c r="AE19" i="10" s="1"/>
  <c r="AJ19" i="10" s="1"/>
  <c r="D137" i="10"/>
  <c r="AI8" i="16"/>
  <c r="AD12" i="16"/>
  <c r="M20" i="16"/>
  <c r="Q20" i="16"/>
  <c r="Q21" i="16" s="1"/>
  <c r="AB61" i="16"/>
  <c r="AA61" i="16"/>
  <c r="AA81" i="16"/>
  <c r="AB81" i="16"/>
  <c r="AD20" i="16"/>
  <c r="AA81" i="15"/>
  <c r="AB81" i="15"/>
  <c r="AD20" i="15"/>
  <c r="AD21" i="15" s="1"/>
  <c r="AD22" i="15" s="1"/>
  <c r="AB61" i="15"/>
  <c r="AA61" i="15"/>
  <c r="Q8" i="10"/>
  <c r="C102" i="10"/>
  <c r="AA7" i="10" s="1"/>
  <c r="T12" i="10"/>
  <c r="V7" i="10"/>
  <c r="AH59" i="10"/>
  <c r="AH61" i="10" s="1"/>
  <c r="AE61" i="10"/>
  <c r="AJ61" i="10" s="1"/>
  <c r="AG14" i="10"/>
  <c r="AF14" i="10"/>
  <c r="AK14" i="10" s="1"/>
  <c r="AE15" i="10"/>
  <c r="D75" i="10"/>
  <c r="S14" i="10" s="1"/>
  <c r="D84" i="10"/>
  <c r="R16" i="10" s="1"/>
  <c r="T16" i="10" s="1"/>
  <c r="AE81" i="10"/>
  <c r="AJ81" i="10" s="1"/>
  <c r="AH79" i="10"/>
  <c r="AH81" i="10" s="1"/>
  <c r="AE14" i="10"/>
  <c r="AA9" i="10"/>
  <c r="AC9" i="10"/>
  <c r="AB9" i="10"/>
  <c r="H9" i="10"/>
  <c r="V3" i="9" s="1"/>
  <c r="B12" i="10"/>
  <c r="R12" i="10"/>
  <c r="T65" i="10"/>
  <c r="AG15" i="10"/>
  <c r="AF15" i="10"/>
  <c r="AK15" i="10" s="1"/>
  <c r="BQ143" i="9" l="1"/>
  <c r="BW63" i="9"/>
  <c r="BW65" i="9" s="1"/>
  <c r="S20" i="10"/>
  <c r="AR22" i="9"/>
  <c r="AX14" i="9"/>
  <c r="BY16" i="9"/>
  <c r="L29" i="9" s="1"/>
  <c r="L33" i="9" s="1"/>
  <c r="BE16" i="9"/>
  <c r="BE24" i="9" s="1"/>
  <c r="BR10" i="9" s="1"/>
  <c r="CD10" i="9"/>
  <c r="CI10" i="9" s="1"/>
  <c r="BF16" i="9"/>
  <c r="BF24" i="9" s="1"/>
  <c r="BR11" i="9" s="1"/>
  <c r="CD11" i="9"/>
  <c r="CI11" i="9" s="1"/>
  <c r="AP16" i="9"/>
  <c r="AP24" i="9" s="1"/>
  <c r="BZ10" i="9"/>
  <c r="M23" i="9" s="1"/>
  <c r="AQ16" i="9"/>
  <c r="AQ24" i="9" s="1"/>
  <c r="BZ11" i="9"/>
  <c r="M24" i="9" s="1"/>
  <c r="S21" i="10"/>
  <c r="AL15" i="10"/>
  <c r="BH3" i="9"/>
  <c r="AL14" i="10"/>
  <c r="BG3" i="9"/>
  <c r="AM3" i="9"/>
  <c r="AM13" i="9" s="1"/>
  <c r="BZ7" i="9" s="1"/>
  <c r="BC13" i="9"/>
  <c r="BC11" i="9"/>
  <c r="AW3" i="9"/>
  <c r="AO3" i="9"/>
  <c r="AN11" i="9"/>
  <c r="BO8" i="9" s="1"/>
  <c r="BQ8" i="9" s="1"/>
  <c r="AN13" i="9"/>
  <c r="AH13" i="9"/>
  <c r="AG19" i="10"/>
  <c r="E25" i="9"/>
  <c r="W3" i="9"/>
  <c r="W11" i="9" s="1"/>
  <c r="V11" i="9"/>
  <c r="AH16" i="9"/>
  <c r="AI18" i="9"/>
  <c r="Y11" i="9"/>
  <c r="Y13" i="9"/>
  <c r="AA13" i="9"/>
  <c r="AA11" i="9"/>
  <c r="AB7" i="10"/>
  <c r="AD7" i="10" s="1"/>
  <c r="AI7" i="10" s="1"/>
  <c r="D140" i="10"/>
  <c r="M9" i="10"/>
  <c r="AD19" i="10"/>
  <c r="Q19" i="10"/>
  <c r="P33" i="10"/>
  <c r="D141" i="10"/>
  <c r="AD21" i="16"/>
  <c r="AD22" i="16" s="1"/>
  <c r="AD61" i="16"/>
  <c r="AD81" i="16"/>
  <c r="AD61" i="15"/>
  <c r="AD81" i="15"/>
  <c r="E12" i="10"/>
  <c r="T14" i="10"/>
  <c r="T20" i="10" s="1"/>
  <c r="T21" i="10" s="1"/>
  <c r="R20" i="10"/>
  <c r="R21" i="10" s="1"/>
  <c r="AE16" i="10"/>
  <c r="AH15" i="10"/>
  <c r="AJ15" i="10"/>
  <c r="H15" i="10"/>
  <c r="AB15" i="10"/>
  <c r="AC15" i="10"/>
  <c r="AD9" i="10"/>
  <c r="AI9" i="10" s="1"/>
  <c r="AJ14" i="10"/>
  <c r="AH14" i="10"/>
  <c r="AA15" i="10"/>
  <c r="AG16" i="10"/>
  <c r="AF16" i="10"/>
  <c r="AK16" i="10" s="1"/>
  <c r="AA14" i="10"/>
  <c r="AA12" i="10"/>
  <c r="AC14" i="10"/>
  <c r="H14" i="10"/>
  <c r="AB14" i="10"/>
  <c r="AC12" i="10"/>
  <c r="T69" i="10"/>
  <c r="BQ69" i="9" s="1"/>
  <c r="V16" i="10"/>
  <c r="T72" i="10"/>
  <c r="BQ72" i="9" s="1"/>
  <c r="T70" i="10"/>
  <c r="BQ70" i="9" s="1"/>
  <c r="T71" i="10"/>
  <c r="BQ71" i="9" s="1"/>
  <c r="T68" i="10"/>
  <c r="BQ68" i="9" s="1"/>
  <c r="T67" i="10"/>
  <c r="BQ67" i="9" s="1"/>
  <c r="M20" i="9" l="1"/>
  <c r="BW139" i="9"/>
  <c r="BW135" i="9"/>
  <c r="BW142" i="9"/>
  <c r="BW137" i="9"/>
  <c r="BW140" i="9"/>
  <c r="BW141" i="9"/>
  <c r="BW138" i="9"/>
  <c r="BW136" i="9"/>
  <c r="BQ73" i="9"/>
  <c r="BW71" i="9" s="1"/>
  <c r="AN16" i="9"/>
  <c r="AN24" i="9" s="1"/>
  <c r="BZ8" i="9"/>
  <c r="M21" i="9" s="1"/>
  <c r="BP14" i="9"/>
  <c r="BP20" i="9" s="1"/>
  <c r="BP21" i="9" s="1"/>
  <c r="AX22" i="9"/>
  <c r="BC16" i="9"/>
  <c r="BC24" i="9" s="1"/>
  <c r="BR8" i="9" s="1"/>
  <c r="BS8" i="9" s="1"/>
  <c r="CD8" i="9"/>
  <c r="CI8" i="9" s="1"/>
  <c r="D22" i="9"/>
  <c r="B22" i="9" s="1"/>
  <c r="E22" i="9"/>
  <c r="AL16" i="10"/>
  <c r="BI3" i="9"/>
  <c r="AM11" i="9"/>
  <c r="BO7" i="9" s="1"/>
  <c r="AL19" i="10"/>
  <c r="BL3" i="9"/>
  <c r="BL13" i="9" s="1"/>
  <c r="BD11" i="9"/>
  <c r="BD13" i="9"/>
  <c r="AO11" i="9"/>
  <c r="BO9" i="9" s="1"/>
  <c r="BQ9" i="9" s="1"/>
  <c r="AO13" i="9"/>
  <c r="AS3" i="9"/>
  <c r="BB13" i="9"/>
  <c r="CD7" i="9" s="1"/>
  <c r="CI7" i="9" s="1"/>
  <c r="BB11" i="9"/>
  <c r="AR3" i="9"/>
  <c r="AW11" i="9"/>
  <c r="BO19" i="9" s="1"/>
  <c r="BQ19" i="9" s="1"/>
  <c r="AW13" i="9"/>
  <c r="AM16" i="9"/>
  <c r="AM24" i="9" s="1"/>
  <c r="W13" i="9"/>
  <c r="V13" i="9" s="1"/>
  <c r="AH19" i="10"/>
  <c r="AI19" i="10" s="1"/>
  <c r="AB12" i="10"/>
  <c r="M15" i="10"/>
  <c r="Q15" i="10" s="1"/>
  <c r="AD3" i="9"/>
  <c r="M14" i="10"/>
  <c r="Q14" i="10" s="1"/>
  <c r="AB3" i="9"/>
  <c r="Y16" i="9"/>
  <c r="X16" i="9" s="1"/>
  <c r="X13" i="9"/>
  <c r="Z13" i="9"/>
  <c r="AA16" i="9"/>
  <c r="Z16" i="9" s="1"/>
  <c r="AD12" i="10"/>
  <c r="T59" i="10"/>
  <c r="BQ59" i="9" s="1"/>
  <c r="T60" i="10"/>
  <c r="BQ60" i="9" s="1"/>
  <c r="Q9" i="10"/>
  <c r="Q12" i="10" s="1"/>
  <c r="N33" i="10"/>
  <c r="P41" i="10"/>
  <c r="D25" i="9" s="1"/>
  <c r="V14" i="10"/>
  <c r="AD14" i="10"/>
  <c r="AH16" i="10"/>
  <c r="AJ16" i="10"/>
  <c r="T73" i="10"/>
  <c r="AC16" i="10"/>
  <c r="AB16" i="10"/>
  <c r="AB20" i="10" s="1"/>
  <c r="H16" i="10"/>
  <c r="B20" i="10"/>
  <c r="B22" i="10" s="1"/>
  <c r="AA16" i="10"/>
  <c r="AD15" i="10"/>
  <c r="AI15" i="10" s="1"/>
  <c r="AI65" i="10" s="1"/>
  <c r="BW143" i="9" l="1"/>
  <c r="BW70" i="9"/>
  <c r="BW69" i="9"/>
  <c r="BW72" i="9"/>
  <c r="BW68" i="9"/>
  <c r="BL11" i="9"/>
  <c r="BW67" i="9"/>
  <c r="BQ61" i="9"/>
  <c r="BW60" i="9" s="1"/>
  <c r="AW16" i="9"/>
  <c r="AW24" i="9" s="1"/>
  <c r="BZ19" i="9"/>
  <c r="M32" i="9" s="1"/>
  <c r="BD16" i="9"/>
  <c r="BD24" i="9" s="1"/>
  <c r="BR9" i="9" s="1"/>
  <c r="CD9" i="9"/>
  <c r="CI9" i="9" s="1"/>
  <c r="BQ7" i="9"/>
  <c r="BO12" i="9"/>
  <c r="AO16" i="9"/>
  <c r="AO24" i="9" s="1"/>
  <c r="BZ9" i="9"/>
  <c r="M22" i="9" s="1"/>
  <c r="BL16" i="9"/>
  <c r="BL24" i="9" s="1"/>
  <c r="BR19" i="9" s="1"/>
  <c r="CD19" i="9"/>
  <c r="CI19" i="9" s="1"/>
  <c r="BI13" i="9"/>
  <c r="BI11" i="9"/>
  <c r="AR11" i="9"/>
  <c r="BO14" i="9" s="1"/>
  <c r="AR13" i="9"/>
  <c r="BZ14" i="9" s="1"/>
  <c r="M27" i="9" s="1"/>
  <c r="BH11" i="9"/>
  <c r="BH13" i="9"/>
  <c r="BG13" i="9"/>
  <c r="BG11" i="9"/>
  <c r="BB16" i="9"/>
  <c r="BB24" i="9" s="1"/>
  <c r="BR7" i="9" s="1"/>
  <c r="AS11" i="9"/>
  <c r="BO15" i="9" s="1"/>
  <c r="BQ15" i="9" s="1"/>
  <c r="AS13" i="9"/>
  <c r="AC20" i="10"/>
  <c r="AC21" i="10" s="1"/>
  <c r="AC22" i="10" s="1"/>
  <c r="AT3" i="9"/>
  <c r="AT13" i="9" s="1"/>
  <c r="BY12" i="9"/>
  <c r="BY20" i="9"/>
  <c r="CA14" i="9"/>
  <c r="AB21" i="10"/>
  <c r="AB22" i="10" s="1"/>
  <c r="AB23" i="10" s="1"/>
  <c r="W16" i="9"/>
  <c r="V16" i="9" s="1"/>
  <c r="AE3" i="9"/>
  <c r="AD11" i="9"/>
  <c r="H20" i="10"/>
  <c r="J3" i="9" s="1"/>
  <c r="J11" i="9" s="1"/>
  <c r="AF3" i="9"/>
  <c r="AC3" i="9"/>
  <c r="AB11" i="9"/>
  <c r="T61" i="10"/>
  <c r="N41" i="10"/>
  <c r="B25" i="9"/>
  <c r="E20" i="10"/>
  <c r="E22" i="10" s="1"/>
  <c r="M16" i="10"/>
  <c r="AD16" i="10"/>
  <c r="AI16" i="10" s="1"/>
  <c r="AI81" i="10" s="1"/>
  <c r="AB81" i="10" s="1"/>
  <c r="AA65" i="10"/>
  <c r="AB65" i="10"/>
  <c r="AI14" i="10"/>
  <c r="AI61" i="10" s="1"/>
  <c r="AA20" i="10"/>
  <c r="AA21" i="10" s="1"/>
  <c r="AA22" i="10" s="1"/>
  <c r="AA23" i="10" s="1"/>
  <c r="BW73" i="9" l="1"/>
  <c r="BW59" i="9"/>
  <c r="BW61" i="9" s="1"/>
  <c r="AT16" i="9"/>
  <c r="AT24" i="9" s="1"/>
  <c r="BZ16" i="9"/>
  <c r="M29" i="9" s="1"/>
  <c r="BI16" i="9"/>
  <c r="BI24" i="9" s="1"/>
  <c r="BR16" i="9" s="1"/>
  <c r="CD16" i="9"/>
  <c r="BZ12" i="9"/>
  <c r="BS7" i="9"/>
  <c r="BQ12" i="9"/>
  <c r="AS16" i="9"/>
  <c r="AS24" i="9" s="1"/>
  <c r="BZ15" i="9"/>
  <c r="M28" i="9" s="1"/>
  <c r="M33" i="9" s="1"/>
  <c r="BG16" i="9"/>
  <c r="BG24" i="9" s="1"/>
  <c r="BR14" i="9" s="1"/>
  <c r="CD14" i="9"/>
  <c r="BQ14" i="9"/>
  <c r="BH16" i="9"/>
  <c r="BH24" i="9" s="1"/>
  <c r="BR15" i="9" s="1"/>
  <c r="BS15" i="9" s="1"/>
  <c r="CD15" i="9"/>
  <c r="BY21" i="9"/>
  <c r="BY22" i="9" s="1"/>
  <c r="AR16" i="9"/>
  <c r="AR24" i="9" s="1"/>
  <c r="AX13" i="9"/>
  <c r="AT11" i="9"/>
  <c r="BO16" i="9" s="1"/>
  <c r="BQ16" i="9" s="1"/>
  <c r="AX3" i="9"/>
  <c r="CA11" i="9"/>
  <c r="CA10" i="9"/>
  <c r="CA9" i="9"/>
  <c r="CA8" i="9"/>
  <c r="J13" i="9"/>
  <c r="J16" i="9" s="1"/>
  <c r="AE13" i="9"/>
  <c r="AE11" i="9"/>
  <c r="AC11" i="9"/>
  <c r="AC13" i="9"/>
  <c r="AG3" i="9"/>
  <c r="AF11" i="9"/>
  <c r="M20" i="10"/>
  <c r="Q16" i="10"/>
  <c r="Q20" i="10" s="1"/>
  <c r="Q21" i="10" s="1"/>
  <c r="AD20" i="10"/>
  <c r="AD21" i="10" s="1"/>
  <c r="AD22" i="10" s="1"/>
  <c r="AA81" i="10"/>
  <c r="AD81" i="10" s="1"/>
  <c r="AA61" i="10"/>
  <c r="AB61" i="10"/>
  <c r="AD65" i="10"/>
  <c r="BO20" i="9" l="1"/>
  <c r="BO21" i="9" s="1"/>
  <c r="CA16" i="9"/>
  <c r="CI15" i="9"/>
  <c r="CE15" i="9"/>
  <c r="CI14" i="9"/>
  <c r="CE14" i="9"/>
  <c r="CF14" i="9" s="1"/>
  <c r="CI16" i="9"/>
  <c r="CE16" i="9"/>
  <c r="BS16" i="9"/>
  <c r="BS14" i="9"/>
  <c r="BQ20" i="9"/>
  <c r="BQ21" i="9" s="1"/>
  <c r="CA15" i="9"/>
  <c r="BZ20" i="9"/>
  <c r="BZ21" i="9" s="1"/>
  <c r="BZ22" i="9" s="1"/>
  <c r="AX16" i="9"/>
  <c r="AX24" i="9" s="1"/>
  <c r="AX11" i="9"/>
  <c r="CE8" i="9"/>
  <c r="CF8" i="9" s="1"/>
  <c r="CE10" i="9"/>
  <c r="CF10" i="9" s="1"/>
  <c r="CE11" i="9"/>
  <c r="CF11" i="9" s="1"/>
  <c r="CE9" i="9"/>
  <c r="CF9" i="9" s="1"/>
  <c r="BX20" i="9"/>
  <c r="CA17" i="9"/>
  <c r="CA18" i="9"/>
  <c r="CE7" i="9"/>
  <c r="CA7" i="9"/>
  <c r="BX12" i="9"/>
  <c r="CA19" i="9"/>
  <c r="AD13" i="9"/>
  <c r="AE16" i="9"/>
  <c r="AG11" i="9"/>
  <c r="AG13" i="9"/>
  <c r="AB13" i="9"/>
  <c r="AC16" i="9"/>
  <c r="AD61" i="10"/>
  <c r="CF15" i="9" l="1"/>
  <c r="CF16" i="9"/>
  <c r="BX21" i="9"/>
  <c r="BX22" i="9" s="1"/>
  <c r="CE19" i="9"/>
  <c r="CF19" i="9" s="1"/>
  <c r="CE18" i="9"/>
  <c r="CF18" i="9" s="1"/>
  <c r="CA12" i="9"/>
  <c r="CF7" i="9"/>
  <c r="CE17" i="9"/>
  <c r="CF17" i="9" s="1"/>
  <c r="CA20" i="9"/>
  <c r="AD16" i="9"/>
  <c r="AE18" i="9"/>
  <c r="AB16" i="9"/>
  <c r="AC18" i="9"/>
  <c r="AG16" i="9"/>
  <c r="AF13" i="9"/>
  <c r="CA21" i="9" l="1"/>
  <c r="CA22" i="9" s="1"/>
  <c r="AF16" i="9"/>
  <c r="AG18" i="9"/>
  <c r="AI19" i="9" s="1"/>
  <c r="AI21" i="9" l="1"/>
  <c r="BS17" i="9" l="1"/>
  <c r="BS18" i="9"/>
  <c r="BS11" i="9"/>
  <c r="BS10" i="9"/>
  <c r="BS9" i="9"/>
  <c r="BS19" i="9"/>
  <c r="O49" i="1" l="1"/>
  <c r="O48" i="1"/>
  <c r="O47" i="1"/>
  <c r="O46" i="1"/>
  <c r="O45" i="1"/>
  <c r="O44" i="1"/>
  <c r="B32" i="1" l="1"/>
  <c r="H49" i="1" l="1"/>
  <c r="AE49" i="1" s="1"/>
  <c r="H48" i="1"/>
  <c r="AE48" i="1" s="1"/>
  <c r="H47" i="1"/>
  <c r="AE47" i="1" s="1"/>
  <c r="H46" i="1"/>
  <c r="H45" i="1"/>
  <c r="AE45" i="1" s="1"/>
  <c r="H44" i="1"/>
  <c r="AE44" i="1" s="1"/>
  <c r="G40" i="1"/>
  <c r="F49" i="1"/>
  <c r="AD49" i="1" s="1"/>
  <c r="F48" i="1"/>
  <c r="AD48" i="1" s="1"/>
  <c r="F47" i="1"/>
  <c r="AD47" i="1" s="1"/>
  <c r="F46" i="1"/>
  <c r="AD46" i="1" s="1"/>
  <c r="F45" i="1"/>
  <c r="AD45" i="1" s="1"/>
  <c r="F44" i="1"/>
  <c r="AD44" i="1" s="1"/>
  <c r="H53" i="1" l="1"/>
  <c r="AE46" i="1"/>
  <c r="G24" i="1"/>
  <c r="C130" i="1"/>
  <c r="F24" i="1"/>
  <c r="AE19" i="1" l="1"/>
  <c r="AE15" i="1"/>
  <c r="AE9" i="1"/>
  <c r="AE11" i="1"/>
  <c r="AE16" i="1"/>
  <c r="AE10" i="1"/>
  <c r="AE18" i="1"/>
  <c r="AE14" i="1"/>
  <c r="AE8" i="1"/>
  <c r="AE17" i="1"/>
  <c r="AE7" i="1"/>
  <c r="Z10" i="1"/>
  <c r="V24" i="1"/>
  <c r="Z11" i="1"/>
  <c r="Z9" i="1"/>
  <c r="V22" i="1" l="1"/>
  <c r="V23" i="1"/>
  <c r="G117" i="1"/>
  <c r="G136" i="1" l="1"/>
  <c r="G134" i="1"/>
  <c r="C115" i="1" l="1"/>
  <c r="K18" i="1" l="1"/>
  <c r="M18" i="1" s="1"/>
  <c r="L12" i="1"/>
  <c r="K11" i="1"/>
  <c r="M11" i="1" s="1"/>
  <c r="K10" i="1"/>
  <c r="M10" i="1" s="1"/>
  <c r="S131" i="1" l="1"/>
  <c r="S130" i="1"/>
  <c r="C134" i="1"/>
  <c r="G137" i="1"/>
  <c r="T117" i="1"/>
  <c r="T126" i="1" s="1"/>
  <c r="S125" i="1" s="1"/>
  <c r="K9" i="1"/>
  <c r="M9" i="1" s="1"/>
  <c r="D115" i="1"/>
  <c r="B115" i="1" s="1"/>
  <c r="A80" i="1"/>
  <c r="A79" i="1"/>
  <c r="A78" i="1"/>
  <c r="F107" i="1"/>
  <c r="Z8" i="1" s="1"/>
  <c r="F102" i="1"/>
  <c r="Z7" i="1" s="1"/>
  <c r="B102" i="1"/>
  <c r="B107" i="1"/>
  <c r="S132" i="1" l="1"/>
  <c r="K17" i="1"/>
  <c r="M17" i="1" s="1"/>
  <c r="C136" i="1"/>
  <c r="K19" i="1" s="1"/>
  <c r="M19" i="1" s="1"/>
  <c r="S123" i="1"/>
  <c r="S124" i="1"/>
  <c r="G69" i="1"/>
  <c r="G68" i="1"/>
  <c r="F67" i="1"/>
  <c r="F66" i="1"/>
  <c r="G67" i="1"/>
  <c r="G66" i="1"/>
  <c r="D70" i="1"/>
  <c r="C69" i="1"/>
  <c r="C68" i="1"/>
  <c r="C67" i="1"/>
  <c r="B67" i="1"/>
  <c r="C66" i="1"/>
  <c r="B66" i="1"/>
  <c r="B68" i="1" l="1"/>
  <c r="B78" i="1" s="1"/>
  <c r="F68" i="1"/>
  <c r="F69" i="1"/>
  <c r="H69" i="1" s="1"/>
  <c r="D67" i="1"/>
  <c r="B69" i="1"/>
  <c r="Y80" i="1" s="1"/>
  <c r="H67" i="1"/>
  <c r="H60" i="1"/>
  <c r="H62" i="1" s="1"/>
  <c r="H81" i="1"/>
  <c r="D60" i="1"/>
  <c r="D61" i="1" s="1"/>
  <c r="D49" i="1"/>
  <c r="AC49" i="1" s="1"/>
  <c r="D48" i="1"/>
  <c r="AC48" i="1" s="1"/>
  <c r="B38" i="1" l="1"/>
  <c r="Y60" i="1"/>
  <c r="B39" i="18"/>
  <c r="B39" i="16"/>
  <c r="B39" i="20"/>
  <c r="B39" i="10"/>
  <c r="B39" i="15"/>
  <c r="B39" i="1"/>
  <c r="B40" i="1" s="1"/>
  <c r="B38" i="15"/>
  <c r="B38" i="10"/>
  <c r="B38" i="16"/>
  <c r="B38" i="18"/>
  <c r="B38" i="20"/>
  <c r="Y64" i="1"/>
  <c r="D69" i="1"/>
  <c r="D79" i="1" s="1"/>
  <c r="B79" i="1"/>
  <c r="B80" i="1" s="1"/>
  <c r="D62" i="1"/>
  <c r="H61" i="1"/>
  <c r="B27" i="4"/>
  <c r="B40" i="10" l="1"/>
  <c r="B43" i="10" s="1"/>
  <c r="F43" i="10" s="1"/>
  <c r="F52" i="10" s="1"/>
  <c r="F54" i="10" s="1"/>
  <c r="B40" i="15"/>
  <c r="B43" i="15" s="1"/>
  <c r="V43" i="15" s="1"/>
  <c r="B40" i="18"/>
  <c r="B43" i="18" s="1"/>
  <c r="H43" i="18" s="1"/>
  <c r="H52" i="18" s="1"/>
  <c r="H54" i="18" s="1"/>
  <c r="D43" i="10"/>
  <c r="D52" i="10" s="1"/>
  <c r="D54" i="10" s="1"/>
  <c r="B40" i="20"/>
  <c r="B43" i="20" s="1"/>
  <c r="V43" i="18"/>
  <c r="D43" i="15"/>
  <c r="D52" i="15" s="1"/>
  <c r="D54" i="15" s="1"/>
  <c r="B6" i="15" s="1"/>
  <c r="B40" i="16"/>
  <c r="B43" i="16" s="1"/>
  <c r="S60" i="1"/>
  <c r="S59" i="1"/>
  <c r="B43" i="1"/>
  <c r="H136" i="1"/>
  <c r="B130" i="1"/>
  <c r="E40" i="1"/>
  <c r="H43" i="15" l="1"/>
  <c r="H52" i="15" s="1"/>
  <c r="H54" i="15" s="1"/>
  <c r="F43" i="15"/>
  <c r="F52" i="15" s="1"/>
  <c r="F54" i="15" s="1"/>
  <c r="E6" i="15" s="1"/>
  <c r="V43" i="10"/>
  <c r="H43" i="10"/>
  <c r="H52" i="10" s="1"/>
  <c r="H54" i="10" s="1"/>
  <c r="H6" i="10" s="1"/>
  <c r="AL43" i="10"/>
  <c r="D43" i="18"/>
  <c r="D52" i="18" s="1"/>
  <c r="D54" i="18" s="1"/>
  <c r="B6" i="18" s="1"/>
  <c r="B12" i="18" s="1"/>
  <c r="F43" i="18"/>
  <c r="F52" i="18" s="1"/>
  <c r="F54" i="18" s="1"/>
  <c r="AL43" i="15"/>
  <c r="AJ43" i="15"/>
  <c r="AK43" i="10"/>
  <c r="AK43" i="15"/>
  <c r="AJ43" i="18"/>
  <c r="O43" i="1"/>
  <c r="F43" i="1"/>
  <c r="AD43" i="1" s="1"/>
  <c r="H43" i="1"/>
  <c r="AE43" i="1" s="1"/>
  <c r="AL43" i="18"/>
  <c r="AJ43" i="10"/>
  <c r="AK5" i="9"/>
  <c r="AZ5" i="9" s="1"/>
  <c r="E12" i="15"/>
  <c r="AB23" i="15"/>
  <c r="F43" i="16"/>
  <c r="F52" i="16" s="1"/>
  <c r="F54" i="16" s="1"/>
  <c r="E6" i="16" s="1"/>
  <c r="H43" i="16"/>
  <c r="H52" i="16" s="1"/>
  <c r="H54" i="16" s="1"/>
  <c r="D43" i="16"/>
  <c r="D52" i="16" s="1"/>
  <c r="D54" i="16" s="1"/>
  <c r="V43" i="16"/>
  <c r="AK6" i="9"/>
  <c r="AZ6" i="9" s="1"/>
  <c r="M6" i="15"/>
  <c r="B12" i="15"/>
  <c r="AA23" i="15"/>
  <c r="AD23" i="15"/>
  <c r="AK3" i="9"/>
  <c r="M6" i="10"/>
  <c r="H12" i="10"/>
  <c r="AC23" i="10"/>
  <c r="AD23" i="10"/>
  <c r="D130" i="1"/>
  <c r="H135" i="1"/>
  <c r="B24" i="1"/>
  <c r="U24" i="1"/>
  <c r="F53" i="1"/>
  <c r="AM43" i="10" l="1"/>
  <c r="AO43" i="10" s="1"/>
  <c r="AK4" i="9"/>
  <c r="AZ4" i="9" s="1"/>
  <c r="M6" i="18"/>
  <c r="AD23" i="18"/>
  <c r="AA23" i="18"/>
  <c r="AK43" i="18"/>
  <c r="AM43" i="15"/>
  <c r="AO43" i="15" s="1"/>
  <c r="AK43" i="16"/>
  <c r="AL43" i="16"/>
  <c r="AM43" i="18"/>
  <c r="AO43" i="18" s="1"/>
  <c r="I3" i="9"/>
  <c r="H22" i="10"/>
  <c r="AK13" i="9"/>
  <c r="AZ13" i="9" s="1"/>
  <c r="BZ23" i="9" s="1"/>
  <c r="AZ3" i="9"/>
  <c r="O6" i="15"/>
  <c r="P6" i="15" s="1"/>
  <c r="Q6" i="15"/>
  <c r="Q22" i="15" s="1"/>
  <c r="N6" i="15"/>
  <c r="N12" i="15" s="1"/>
  <c r="N22" i="15" s="1"/>
  <c r="M12" i="15"/>
  <c r="M22" i="15" s="1"/>
  <c r="AJ43" i="16"/>
  <c r="AK9" i="9"/>
  <c r="AZ9" i="9" s="1"/>
  <c r="E12" i="16"/>
  <c r="AB23" i="16"/>
  <c r="B25" i="1"/>
  <c r="G95" i="1"/>
  <c r="G94" i="1"/>
  <c r="C94" i="1"/>
  <c r="C95" i="1" s="1"/>
  <c r="I4" i="9"/>
  <c r="K4" i="9" s="1"/>
  <c r="B22" i="18"/>
  <c r="B6" i="16"/>
  <c r="AK10" i="9" s="1"/>
  <c r="AZ10" i="9" s="1"/>
  <c r="I5" i="9"/>
  <c r="K5" i="9" s="1"/>
  <c r="E22" i="15"/>
  <c r="N6" i="10"/>
  <c r="N12" i="10" s="1"/>
  <c r="N22" i="10" s="1"/>
  <c r="Q6" i="10"/>
  <c r="Q22" i="10" s="1"/>
  <c r="O6" i="10"/>
  <c r="P6" i="10" s="1"/>
  <c r="M12" i="10"/>
  <c r="M22" i="10" s="1"/>
  <c r="I6" i="9"/>
  <c r="K6" i="9" s="1"/>
  <c r="B22" i="15"/>
  <c r="O6" i="18"/>
  <c r="N6" i="18"/>
  <c r="N12" i="18" s="1"/>
  <c r="N22" i="18" s="1"/>
  <c r="Q6" i="18"/>
  <c r="Q22" i="18" s="1"/>
  <c r="M12" i="18"/>
  <c r="M22" i="18" s="1"/>
  <c r="Y7" i="1"/>
  <c r="Y9" i="1"/>
  <c r="Y11" i="1"/>
  <c r="Y10" i="1"/>
  <c r="Y8" i="1"/>
  <c r="E135" i="1"/>
  <c r="D135" i="1"/>
  <c r="H134" i="1"/>
  <c r="H137" i="1"/>
  <c r="E134" i="1"/>
  <c r="D134" i="1"/>
  <c r="F52" i="1"/>
  <c r="F54" i="1" s="1"/>
  <c r="AA64" i="1"/>
  <c r="AA80" i="1"/>
  <c r="AA60" i="1"/>
  <c r="X9" i="1"/>
  <c r="T24" i="1"/>
  <c r="W24" i="1" s="1"/>
  <c r="X8" i="1"/>
  <c r="X11" i="1"/>
  <c r="X7" i="1"/>
  <c r="AC7" i="1" s="1"/>
  <c r="X10" i="1"/>
  <c r="AM43" i="16" l="1"/>
  <c r="AO43" i="16" s="1"/>
  <c r="I9" i="9"/>
  <c r="K9" i="9" s="1"/>
  <c r="E22" i="16"/>
  <c r="O14" i="18"/>
  <c r="O17" i="18"/>
  <c r="P17" i="18" s="1"/>
  <c r="AM17" i="18" s="1"/>
  <c r="O15" i="18"/>
  <c r="P15" i="18" s="1"/>
  <c r="AM15" i="18" s="1"/>
  <c r="O11" i="18"/>
  <c r="P11" i="18" s="1"/>
  <c r="AM11" i="18" s="1"/>
  <c r="O9" i="18"/>
  <c r="P9" i="18" s="1"/>
  <c r="AM9" i="18" s="1"/>
  <c r="O16" i="18"/>
  <c r="P16" i="18" s="1"/>
  <c r="AM16" i="18" s="1"/>
  <c r="O19" i="18"/>
  <c r="P19" i="18" s="1"/>
  <c r="AM19" i="18" s="1"/>
  <c r="O8" i="18"/>
  <c r="P8" i="18" s="1"/>
  <c r="AM8" i="18" s="1"/>
  <c r="O18" i="18"/>
  <c r="P18" i="18" s="1"/>
  <c r="AM18" i="18" s="1"/>
  <c r="O7" i="18"/>
  <c r="P7" i="18" s="1"/>
  <c r="AM7" i="18" s="1"/>
  <c r="O10" i="18"/>
  <c r="P10" i="18" s="1"/>
  <c r="AM10" i="18" s="1"/>
  <c r="G88" i="1"/>
  <c r="Y63" i="1"/>
  <c r="Y65" i="1" s="1"/>
  <c r="AD65" i="1" s="1"/>
  <c r="M6" i="16"/>
  <c r="B12" i="16"/>
  <c r="AA23" i="16"/>
  <c r="AD23" i="16"/>
  <c r="O10" i="15"/>
  <c r="P10" i="15" s="1"/>
  <c r="AM10" i="15" s="1"/>
  <c r="O18" i="15"/>
  <c r="P18" i="15" s="1"/>
  <c r="AM18" i="15" s="1"/>
  <c r="O11" i="15"/>
  <c r="P11" i="15" s="1"/>
  <c r="AM11" i="15" s="1"/>
  <c r="O15" i="15"/>
  <c r="P15" i="15" s="1"/>
  <c r="AM15" i="15" s="1"/>
  <c r="O8" i="15"/>
  <c r="P8" i="15" s="1"/>
  <c r="AM8" i="15" s="1"/>
  <c r="O17" i="15"/>
  <c r="P17" i="15" s="1"/>
  <c r="AM17" i="15" s="1"/>
  <c r="O19" i="15"/>
  <c r="P19" i="15" s="1"/>
  <c r="AM19" i="15" s="1"/>
  <c r="O14" i="15"/>
  <c r="O7" i="15"/>
  <c r="P7" i="15" s="1"/>
  <c r="AM7" i="15" s="1"/>
  <c r="O16" i="15"/>
  <c r="P16" i="15" s="1"/>
  <c r="AM16" i="15" s="1"/>
  <c r="O9" i="15"/>
  <c r="P9" i="15" s="1"/>
  <c r="AM9" i="15" s="1"/>
  <c r="I13" i="9"/>
  <c r="K13" i="9" s="1"/>
  <c r="K3" i="9"/>
  <c r="P6" i="18"/>
  <c r="O15" i="10"/>
  <c r="P15" i="10" s="1"/>
  <c r="AM15" i="10" s="1"/>
  <c r="O8" i="10"/>
  <c r="P8" i="10" s="1"/>
  <c r="AM8" i="10" s="1"/>
  <c r="O16" i="10"/>
  <c r="P16" i="10" s="1"/>
  <c r="AM16" i="10" s="1"/>
  <c r="O9" i="10"/>
  <c r="P9" i="10" s="1"/>
  <c r="AM9" i="10" s="1"/>
  <c r="O18" i="10"/>
  <c r="P18" i="10" s="1"/>
  <c r="AM18" i="10" s="1"/>
  <c r="O19" i="10"/>
  <c r="P19" i="10" s="1"/>
  <c r="AM19" i="10" s="1"/>
  <c r="O14" i="10"/>
  <c r="O7" i="10"/>
  <c r="P7" i="10" s="1"/>
  <c r="AM7" i="10" s="1"/>
  <c r="O17" i="10"/>
  <c r="P17" i="10" s="1"/>
  <c r="AM17" i="10" s="1"/>
  <c r="O10" i="10"/>
  <c r="P10" i="10" s="1"/>
  <c r="AM10" i="10" s="1"/>
  <c r="O11" i="10"/>
  <c r="P11" i="10" s="1"/>
  <c r="AM11" i="10" s="1"/>
  <c r="AD10" i="1"/>
  <c r="AA10" i="1"/>
  <c r="AD11" i="1"/>
  <c r="AA11" i="1"/>
  <c r="V17" i="1"/>
  <c r="G17" i="1"/>
  <c r="V18" i="1"/>
  <c r="G18" i="1"/>
  <c r="AD9" i="1"/>
  <c r="AA9" i="1"/>
  <c r="AD8" i="1"/>
  <c r="AA8" i="1"/>
  <c r="AD7" i="1"/>
  <c r="AA7" i="1"/>
  <c r="E88" i="1"/>
  <c r="X63" i="1"/>
  <c r="X65" i="1" s="1"/>
  <c r="AC65" i="1" s="1"/>
  <c r="F17" i="1"/>
  <c r="U17" i="1"/>
  <c r="F18" i="1"/>
  <c r="U18" i="1"/>
  <c r="H140" i="1"/>
  <c r="G140" i="1" s="1"/>
  <c r="H141" i="1"/>
  <c r="G141" i="1" s="1"/>
  <c r="D136" i="1"/>
  <c r="B19" i="1" s="1"/>
  <c r="E136" i="1"/>
  <c r="F6" i="1"/>
  <c r="AC9" i="1"/>
  <c r="AC11" i="1"/>
  <c r="AC10" i="1"/>
  <c r="AC8" i="1"/>
  <c r="H79" i="1"/>
  <c r="H117" i="1"/>
  <c r="N18" i="1"/>
  <c r="N11" i="1"/>
  <c r="N17" i="1"/>
  <c r="N10" i="1"/>
  <c r="N9" i="1"/>
  <c r="N19" i="1"/>
  <c r="H124" i="1"/>
  <c r="H121" i="1"/>
  <c r="G96" i="1"/>
  <c r="C96" i="1"/>
  <c r="N8" i="1" s="1"/>
  <c r="B34" i="1"/>
  <c r="C32" i="1" s="1"/>
  <c r="H20" i="1"/>
  <c r="H12" i="1"/>
  <c r="E27" i="4"/>
  <c r="D26" i="4"/>
  <c r="C26" i="4"/>
  <c r="K22" i="4"/>
  <c r="I21" i="4"/>
  <c r="F21" i="4"/>
  <c r="D21" i="4"/>
  <c r="D22" i="4" s="1"/>
  <c r="C21" i="4"/>
  <c r="C22" i="4" s="1"/>
  <c r="B21" i="4"/>
  <c r="B22" i="4" s="1"/>
  <c r="G20" i="4"/>
  <c r="K20" i="4" s="1"/>
  <c r="E20" i="4"/>
  <c r="G19" i="4"/>
  <c r="K19" i="4" s="1"/>
  <c r="E19" i="4"/>
  <c r="G18" i="4"/>
  <c r="H18" i="4" s="1"/>
  <c r="J18" i="4" s="1"/>
  <c r="E18" i="4"/>
  <c r="G17" i="4"/>
  <c r="K17" i="4" s="1"/>
  <c r="E17" i="4"/>
  <c r="G16" i="4"/>
  <c r="H16" i="4" s="1"/>
  <c r="J16" i="4" s="1"/>
  <c r="E16" i="4"/>
  <c r="G15" i="4"/>
  <c r="K15" i="4" s="1"/>
  <c r="E15" i="4"/>
  <c r="G14" i="4"/>
  <c r="E14" i="4"/>
  <c r="N14" i="4" s="1"/>
  <c r="G13" i="4"/>
  <c r="E13" i="4"/>
  <c r="N13" i="4" s="1"/>
  <c r="G12" i="4"/>
  <c r="H12" i="4" s="1"/>
  <c r="J12" i="4" s="1"/>
  <c r="E12" i="4"/>
  <c r="N12" i="4" s="1"/>
  <c r="G11" i="4"/>
  <c r="H11" i="4" s="1"/>
  <c r="J11" i="4" s="1"/>
  <c r="E11" i="4"/>
  <c r="N11" i="4" s="1"/>
  <c r="G10" i="4"/>
  <c r="K10" i="4" s="1"/>
  <c r="E10" i="4"/>
  <c r="G9" i="4"/>
  <c r="H9" i="4" s="1"/>
  <c r="J9" i="4" s="1"/>
  <c r="E9" i="4"/>
  <c r="G8" i="4"/>
  <c r="H8" i="4" s="1"/>
  <c r="J8" i="4" s="1"/>
  <c r="E8" i="4"/>
  <c r="G7" i="4"/>
  <c r="H7" i="4" s="1"/>
  <c r="J7" i="4" s="1"/>
  <c r="E7" i="4"/>
  <c r="M7" i="4" s="1"/>
  <c r="G6" i="4"/>
  <c r="H6" i="4" s="1"/>
  <c r="J6" i="4" s="1"/>
  <c r="E6" i="4"/>
  <c r="M6" i="4" s="1"/>
  <c r="G5" i="4"/>
  <c r="H5" i="4" s="1"/>
  <c r="J5" i="4" s="1"/>
  <c r="E5" i="4"/>
  <c r="M5" i="4" s="1"/>
  <c r="G4" i="4"/>
  <c r="H4" i="4" s="1"/>
  <c r="J4" i="4" s="1"/>
  <c r="E4" i="4"/>
  <c r="M4" i="4" s="1"/>
  <c r="G3" i="4"/>
  <c r="H3" i="4" s="1"/>
  <c r="J3" i="4" s="1"/>
  <c r="E3" i="4"/>
  <c r="M3" i="4" s="1"/>
  <c r="G2" i="4"/>
  <c r="H2" i="4" s="1"/>
  <c r="E2" i="4"/>
  <c r="M2" i="4" s="1"/>
  <c r="O12" i="18" l="1"/>
  <c r="H10" i="4"/>
  <c r="J10" i="4" s="1"/>
  <c r="L11" i="4"/>
  <c r="L14" i="4"/>
  <c r="E26" i="4"/>
  <c r="L12" i="4"/>
  <c r="H15" i="4"/>
  <c r="J15" i="4" s="1"/>
  <c r="M13" i="4"/>
  <c r="AP9" i="10"/>
  <c r="CL9" i="9" s="1"/>
  <c r="CR9" i="9" s="1"/>
  <c r="AO9" i="10"/>
  <c r="AN9" i="10"/>
  <c r="AP9" i="15"/>
  <c r="AN9" i="15"/>
  <c r="AO9" i="15"/>
  <c r="AO11" i="15"/>
  <c r="AP11" i="15"/>
  <c r="AN11" i="15"/>
  <c r="O12" i="15"/>
  <c r="AO9" i="18"/>
  <c r="AN9" i="18"/>
  <c r="AP9" i="18"/>
  <c r="K9" i="4"/>
  <c r="H17" i="4"/>
  <c r="J17" i="4" s="1"/>
  <c r="AN16" i="10"/>
  <c r="AO16" i="10"/>
  <c r="AP16" i="10"/>
  <c r="CL16" i="9" s="1"/>
  <c r="CR16" i="9" s="1"/>
  <c r="P12" i="18"/>
  <c r="AN17" i="15"/>
  <c r="AP17" i="15"/>
  <c r="AO17" i="15"/>
  <c r="AO8" i="18"/>
  <c r="AN8" i="18"/>
  <c r="AP8" i="18"/>
  <c r="AP11" i="18"/>
  <c r="AO11" i="18"/>
  <c r="AN11" i="18"/>
  <c r="H19" i="4"/>
  <c r="J19" i="4" s="1"/>
  <c r="H20" i="4"/>
  <c r="J20" i="4" s="1"/>
  <c r="AN10" i="10"/>
  <c r="AO10" i="10"/>
  <c r="AP10" i="10"/>
  <c r="CL10" i="9" s="1"/>
  <c r="CR10" i="9" s="1"/>
  <c r="AO19" i="10"/>
  <c r="AN19" i="10"/>
  <c r="AP19" i="10"/>
  <c r="CL19" i="9" s="1"/>
  <c r="CR19" i="9" s="1"/>
  <c r="AP8" i="10"/>
  <c r="CL8" i="9" s="1"/>
  <c r="CR8" i="9" s="1"/>
  <c r="AN8" i="10"/>
  <c r="AO8" i="10"/>
  <c r="AP7" i="15"/>
  <c r="AM12" i="15"/>
  <c r="AO7" i="15"/>
  <c r="AN7" i="15"/>
  <c r="AP8" i="15"/>
  <c r="AO8" i="15"/>
  <c r="AN8" i="15"/>
  <c r="AN10" i="15"/>
  <c r="AP10" i="15"/>
  <c r="AO10" i="15"/>
  <c r="Y15" i="1"/>
  <c r="Z15" i="1"/>
  <c r="AP10" i="18"/>
  <c r="AN10" i="18"/>
  <c r="AO10" i="18"/>
  <c r="AO19" i="18"/>
  <c r="AP19" i="18"/>
  <c r="AN19" i="18"/>
  <c r="AN15" i="18"/>
  <c r="AO15" i="18"/>
  <c r="AP15" i="18"/>
  <c r="K12" i="4"/>
  <c r="AN7" i="10"/>
  <c r="AM12" i="10"/>
  <c r="AO7" i="10"/>
  <c r="AP7" i="10"/>
  <c r="O29" i="18"/>
  <c r="AP19" i="15"/>
  <c r="AN19" i="15"/>
  <c r="AO19" i="15"/>
  <c r="O6" i="16"/>
  <c r="P6" i="16" s="1"/>
  <c r="N6" i="16"/>
  <c r="N12" i="16" s="1"/>
  <c r="N22" i="16" s="1"/>
  <c r="Q6" i="16"/>
  <c r="Q22" i="16" s="1"/>
  <c r="M12" i="16"/>
  <c r="M22" i="16" s="1"/>
  <c r="AN18" i="18"/>
  <c r="AP18" i="18"/>
  <c r="AO18" i="18"/>
  <c r="O20" i="18"/>
  <c r="P29" i="18" s="1"/>
  <c r="P14" i="18"/>
  <c r="M14" i="4"/>
  <c r="AN11" i="10"/>
  <c r="AO11" i="10"/>
  <c r="AP11" i="10"/>
  <c r="CL11" i="9" s="1"/>
  <c r="CR11" i="9" s="1"/>
  <c r="P14" i="10"/>
  <c r="O20" i="10"/>
  <c r="P29" i="10" s="1"/>
  <c r="AO16" i="15"/>
  <c r="AN16" i="15"/>
  <c r="AP16" i="15"/>
  <c r="AO18" i="15"/>
  <c r="AN18" i="15"/>
  <c r="AP18" i="15"/>
  <c r="O12" i="10"/>
  <c r="M11" i="4"/>
  <c r="H13" i="4"/>
  <c r="J13" i="4" s="1"/>
  <c r="K13" i="4" s="1"/>
  <c r="M12" i="4"/>
  <c r="L13" i="4"/>
  <c r="H14" i="4"/>
  <c r="J14" i="4" s="1"/>
  <c r="K14" i="4" s="1"/>
  <c r="AP17" i="10"/>
  <c r="CL17" i="9" s="1"/>
  <c r="CR17" i="9" s="1"/>
  <c r="AN17" i="10"/>
  <c r="AO17" i="10"/>
  <c r="AO18" i="10"/>
  <c r="AN18" i="10"/>
  <c r="AP18" i="10"/>
  <c r="CL18" i="9" s="1"/>
  <c r="CR18" i="9" s="1"/>
  <c r="AO15" i="10"/>
  <c r="AP15" i="10"/>
  <c r="CL15" i="9" s="1"/>
  <c r="CR15" i="9" s="1"/>
  <c r="AN15" i="10"/>
  <c r="P14" i="15"/>
  <c r="O20" i="15"/>
  <c r="P29" i="15" s="1"/>
  <c r="AO15" i="15"/>
  <c r="AP15" i="15"/>
  <c r="AN15" i="15"/>
  <c r="P12" i="10"/>
  <c r="I10" i="9"/>
  <c r="K10" i="9" s="1"/>
  <c r="B22" i="16"/>
  <c r="AO7" i="18"/>
  <c r="AM12" i="18"/>
  <c r="AN7" i="18"/>
  <c r="AP7" i="18"/>
  <c r="AP16" i="18"/>
  <c r="AN16" i="18"/>
  <c r="AO16" i="18"/>
  <c r="AP17" i="18"/>
  <c r="AO17" i="18"/>
  <c r="AN17" i="18"/>
  <c r="P12" i="15"/>
  <c r="G19" i="1"/>
  <c r="V19" i="1"/>
  <c r="G10" i="1"/>
  <c r="V10" i="1"/>
  <c r="B9" i="1"/>
  <c r="G9" i="1"/>
  <c r="V9" i="1"/>
  <c r="G11" i="1"/>
  <c r="V11" i="1"/>
  <c r="X15" i="1"/>
  <c r="F19" i="1"/>
  <c r="U19" i="1"/>
  <c r="E140" i="1"/>
  <c r="AA63" i="1"/>
  <c r="AA65" i="1" s="1"/>
  <c r="E141" i="1"/>
  <c r="G142" i="1"/>
  <c r="D142" i="1" s="1"/>
  <c r="E137" i="1"/>
  <c r="B17" i="1"/>
  <c r="F10" i="1"/>
  <c r="B10" i="1"/>
  <c r="F9" i="1"/>
  <c r="F11" i="1"/>
  <c r="B11" i="1"/>
  <c r="U9" i="1"/>
  <c r="T9" i="1"/>
  <c r="T10" i="1"/>
  <c r="U10" i="1"/>
  <c r="T11" i="1"/>
  <c r="U11" i="1"/>
  <c r="H96" i="1"/>
  <c r="N7" i="1"/>
  <c r="D96" i="1"/>
  <c r="K8" i="1" s="1"/>
  <c r="H22" i="1"/>
  <c r="J2" i="4"/>
  <c r="D25" i="4"/>
  <c r="D28" i="4" s="1"/>
  <c r="K11" i="4"/>
  <c r="E22" i="4"/>
  <c r="L2" i="4"/>
  <c r="L5" i="4"/>
  <c r="L7" i="4"/>
  <c r="G21" i="4"/>
  <c r="N2" i="4"/>
  <c r="N3" i="4"/>
  <c r="N4" i="4"/>
  <c r="N5" i="4"/>
  <c r="N6" i="4"/>
  <c r="N7" i="4"/>
  <c r="E21" i="4"/>
  <c r="K3" i="4"/>
  <c r="K4" i="4"/>
  <c r="K5" i="4"/>
  <c r="K6" i="4"/>
  <c r="K7" i="4"/>
  <c r="K8" i="4"/>
  <c r="K16" i="4"/>
  <c r="L3" i="4"/>
  <c r="L4" i="4"/>
  <c r="L6" i="4"/>
  <c r="J21" i="4" l="1"/>
  <c r="AA15" i="1"/>
  <c r="AN12" i="18"/>
  <c r="AN12" i="15"/>
  <c r="B25" i="4"/>
  <c r="P37" i="15"/>
  <c r="P37" i="10"/>
  <c r="P37" i="18"/>
  <c r="O22" i="18"/>
  <c r="AP12" i="15"/>
  <c r="P20" i="15"/>
  <c r="P30" i="15" s="1"/>
  <c r="P38" i="15" s="1"/>
  <c r="AM14" i="15"/>
  <c r="O29" i="10"/>
  <c r="O22" i="10"/>
  <c r="AM14" i="10"/>
  <c r="P20" i="10"/>
  <c r="P30" i="10" s="1"/>
  <c r="P38" i="10" s="1"/>
  <c r="O19" i="16"/>
  <c r="P19" i="16" s="1"/>
  <c r="AM19" i="16" s="1"/>
  <c r="O14" i="16"/>
  <c r="O17" i="16"/>
  <c r="P17" i="16" s="1"/>
  <c r="AM17" i="16" s="1"/>
  <c r="O16" i="16"/>
  <c r="P16" i="16" s="1"/>
  <c r="AM16" i="16" s="1"/>
  <c r="O11" i="16"/>
  <c r="P11" i="16" s="1"/>
  <c r="AM11" i="16" s="1"/>
  <c r="O18" i="16"/>
  <c r="P18" i="16" s="1"/>
  <c r="AM18" i="16" s="1"/>
  <c r="O7" i="16"/>
  <c r="P7" i="16" s="1"/>
  <c r="AM7" i="16" s="1"/>
  <c r="O15" i="16"/>
  <c r="P15" i="16" s="1"/>
  <c r="AM15" i="16" s="1"/>
  <c r="O8" i="16"/>
  <c r="P8" i="16" s="1"/>
  <c r="AM8" i="16" s="1"/>
  <c r="O9" i="16"/>
  <c r="P9" i="16" s="1"/>
  <c r="AM9" i="16" s="1"/>
  <c r="O10" i="16"/>
  <c r="P10" i="16" s="1"/>
  <c r="AM10" i="16" s="1"/>
  <c r="N29" i="18"/>
  <c r="O37" i="18"/>
  <c r="AP12" i="18"/>
  <c r="CL7" i="9"/>
  <c r="AP12" i="10"/>
  <c r="AO12" i="15"/>
  <c r="O30" i="10"/>
  <c r="C25" i="4"/>
  <c r="E25" i="4" s="1"/>
  <c r="K2" i="4"/>
  <c r="B24" i="4" s="1"/>
  <c r="H21" i="4"/>
  <c r="AO12" i="18"/>
  <c r="AN12" i="10"/>
  <c r="O22" i="15"/>
  <c r="O29" i="15"/>
  <c r="C24" i="4"/>
  <c r="O30" i="15"/>
  <c r="P22" i="15"/>
  <c r="P20" i="18"/>
  <c r="P30" i="18" s="1"/>
  <c r="P38" i="18" s="1"/>
  <c r="AM14" i="18"/>
  <c r="AO12" i="10"/>
  <c r="O30" i="18"/>
  <c r="W11" i="1"/>
  <c r="AB11" i="1" s="1"/>
  <c r="W10" i="1"/>
  <c r="AB10" i="1" s="1"/>
  <c r="W9" i="1"/>
  <c r="AB9" i="1" s="1"/>
  <c r="D141" i="1"/>
  <c r="D140" i="1"/>
  <c r="E142" i="1"/>
  <c r="T17" i="1"/>
  <c r="W17" i="1" s="1"/>
  <c r="M8" i="1"/>
  <c r="K7" i="1"/>
  <c r="M7" i="1" s="1"/>
  <c r="C105" i="1"/>
  <c r="D105" i="1" s="1"/>
  <c r="G100" i="1"/>
  <c r="H100" i="1" s="1"/>
  <c r="C101" i="1"/>
  <c r="D101" i="1" s="1"/>
  <c r="C100" i="1"/>
  <c r="G101" i="1"/>
  <c r="H101" i="1" s="1"/>
  <c r="C104" i="1"/>
  <c r="D104" i="1" s="1"/>
  <c r="C106" i="1"/>
  <c r="G104" i="1"/>
  <c r="H104" i="1" s="1"/>
  <c r="G106" i="1"/>
  <c r="H106" i="1" s="1"/>
  <c r="G105" i="1"/>
  <c r="H105" i="1" s="1"/>
  <c r="O12" i="16" l="1"/>
  <c r="P32" i="18"/>
  <c r="P34" i="18" s="1"/>
  <c r="O32" i="15"/>
  <c r="O34" i="15" s="1"/>
  <c r="O37" i="15"/>
  <c r="N29" i="15"/>
  <c r="AN16" i="16"/>
  <c r="AP16" i="16"/>
  <c r="AO16" i="16"/>
  <c r="O29" i="16"/>
  <c r="AN14" i="18"/>
  <c r="AN20" i="18" s="1"/>
  <c r="AN21" i="18" s="1"/>
  <c r="L4" i="9" s="1"/>
  <c r="M4" i="9" s="1"/>
  <c r="AM20" i="18"/>
  <c r="AM21" i="18" s="1"/>
  <c r="AP14" i="18"/>
  <c r="AP20" i="18" s="1"/>
  <c r="AP21" i="18" s="1"/>
  <c r="AO14" i="18"/>
  <c r="AO20" i="18" s="1"/>
  <c r="AO21" i="18" s="1"/>
  <c r="CL12" i="9"/>
  <c r="CR7" i="9"/>
  <c r="CR12" i="9" s="1"/>
  <c r="AO17" i="16"/>
  <c r="AN17" i="16"/>
  <c r="AP17" i="16"/>
  <c r="O32" i="18"/>
  <c r="O34" i="18" s="1"/>
  <c r="O38" i="18"/>
  <c r="N38" i="18" s="1"/>
  <c r="N30" i="18"/>
  <c r="N32" i="18" s="1"/>
  <c r="N34" i="18" s="1"/>
  <c r="N30" i="15"/>
  <c r="O38" i="15"/>
  <c r="N38" i="15" s="1"/>
  <c r="O38" i="10"/>
  <c r="N38" i="10" s="1"/>
  <c r="N30" i="10"/>
  <c r="AN9" i="16"/>
  <c r="AO9" i="16"/>
  <c r="AP9" i="16"/>
  <c r="AO18" i="16"/>
  <c r="AN18" i="16"/>
  <c r="AP18" i="16"/>
  <c r="P14" i="16"/>
  <c r="O20" i="16"/>
  <c r="P29" i="16" s="1"/>
  <c r="P40" i="18"/>
  <c r="P42" i="18" s="1"/>
  <c r="P40" i="15"/>
  <c r="P42" i="15" s="1"/>
  <c r="AO15" i="16"/>
  <c r="AP15" i="16"/>
  <c r="AN15" i="16"/>
  <c r="AP14" i="15"/>
  <c r="AP20" i="15" s="1"/>
  <c r="AP21" i="15" s="1"/>
  <c r="AN14" i="15"/>
  <c r="AN20" i="15" s="1"/>
  <c r="AN21" i="15" s="1"/>
  <c r="L6" i="9" s="1"/>
  <c r="M6" i="9" s="1"/>
  <c r="AM20" i="15"/>
  <c r="AM21" i="15" s="1"/>
  <c r="AO14" i="15"/>
  <c r="AO20" i="15" s="1"/>
  <c r="AO21" i="15" s="1"/>
  <c r="L5" i="9" s="1"/>
  <c r="M5" i="9" s="1"/>
  <c r="P40" i="10"/>
  <c r="P42" i="10" s="1"/>
  <c r="P22" i="10"/>
  <c r="AO10" i="16"/>
  <c r="AP10" i="16"/>
  <c r="AN10" i="16"/>
  <c r="AN7" i="16"/>
  <c r="AP7" i="16"/>
  <c r="AO7" i="16"/>
  <c r="AM12" i="16"/>
  <c r="AO14" i="10"/>
  <c r="AO20" i="10" s="1"/>
  <c r="AO21" i="10" s="1"/>
  <c r="AP14" i="10"/>
  <c r="AM20" i="10"/>
  <c r="AM21" i="10" s="1"/>
  <c r="AN14" i="10"/>
  <c r="AN20" i="10" s="1"/>
  <c r="AN21" i="10" s="1"/>
  <c r="P32" i="15"/>
  <c r="P34" i="15" s="1"/>
  <c r="K21" i="4"/>
  <c r="P22" i="18"/>
  <c r="P12" i="16"/>
  <c r="N37" i="18"/>
  <c r="AP8" i="16"/>
  <c r="AO8" i="16"/>
  <c r="AN8" i="16"/>
  <c r="AP11" i="16"/>
  <c r="AN11" i="16"/>
  <c r="AO11" i="16"/>
  <c r="AN19" i="16"/>
  <c r="AO19" i="16"/>
  <c r="AP19" i="16"/>
  <c r="O37" i="10"/>
  <c r="N29" i="10"/>
  <c r="O32" i="10"/>
  <c r="O34" i="10" s="1"/>
  <c r="P32" i="10"/>
  <c r="P34" i="10" s="1"/>
  <c r="K12" i="1"/>
  <c r="H102" i="1"/>
  <c r="G7" i="1" s="1"/>
  <c r="H107" i="1"/>
  <c r="G8" i="1" s="1"/>
  <c r="C28" i="4"/>
  <c r="E24" i="4"/>
  <c r="E28" i="4" s="1"/>
  <c r="B28" i="4"/>
  <c r="O40" i="18" l="1"/>
  <c r="O42" i="18" s="1"/>
  <c r="N40" i="18"/>
  <c r="N42" i="18" s="1"/>
  <c r="N32" i="10"/>
  <c r="N34" i="10" s="1"/>
  <c r="AP12" i="16"/>
  <c r="N32" i="15"/>
  <c r="N34" i="15" s="1"/>
  <c r="CL14" i="9"/>
  <c r="AP20" i="10"/>
  <c r="AP21" i="10" s="1"/>
  <c r="P37" i="16"/>
  <c r="N37" i="10"/>
  <c r="N40" i="10" s="1"/>
  <c r="N42" i="10" s="1"/>
  <c r="O40" i="10"/>
  <c r="O42" i="10" s="1"/>
  <c r="O30" i="16"/>
  <c r="O32" i="16" s="1"/>
  <c r="O34" i="16" s="1"/>
  <c r="AN12" i="16"/>
  <c r="O22" i="16"/>
  <c r="P20" i="16"/>
  <c r="P30" i="16" s="1"/>
  <c r="P38" i="16" s="1"/>
  <c r="AM14" i="16"/>
  <c r="N37" i="15"/>
  <c r="N40" i="15" s="1"/>
  <c r="N42" i="15" s="1"/>
  <c r="O40" i="15"/>
  <c r="O42" i="15" s="1"/>
  <c r="AO12" i="16"/>
  <c r="O37" i="16"/>
  <c r="N29" i="16"/>
  <c r="F8" i="1"/>
  <c r="G102" i="1"/>
  <c r="F7" i="1"/>
  <c r="H109" i="1"/>
  <c r="G107" i="1"/>
  <c r="P32" i="16" l="1"/>
  <c r="P34" i="16" s="1"/>
  <c r="AP14" i="16"/>
  <c r="AP20" i="16" s="1"/>
  <c r="AP21" i="16" s="1"/>
  <c r="AO14" i="16"/>
  <c r="AO20" i="16" s="1"/>
  <c r="AO21" i="16" s="1"/>
  <c r="L9" i="9" s="1"/>
  <c r="M9" i="9" s="1"/>
  <c r="AM20" i="16"/>
  <c r="AM21" i="16" s="1"/>
  <c r="AN14" i="16"/>
  <c r="AN20" i="16" s="1"/>
  <c r="AN21" i="16" s="1"/>
  <c r="L10" i="9" s="1"/>
  <c r="M10" i="9" s="1"/>
  <c r="E21" i="9"/>
  <c r="E20" i="9" s="1"/>
  <c r="E24" i="9" s="1"/>
  <c r="E26" i="9" s="1"/>
  <c r="L3" i="9"/>
  <c r="N37" i="16"/>
  <c r="O38" i="16"/>
  <c r="N38" i="16" s="1"/>
  <c r="N30" i="16"/>
  <c r="N32" i="16" s="1"/>
  <c r="N34" i="16" s="1"/>
  <c r="P40" i="16"/>
  <c r="P42" i="16" s="1"/>
  <c r="P22" i="16"/>
  <c r="CR14" i="9"/>
  <c r="CR20" i="9" s="1"/>
  <c r="CR21" i="9" s="1"/>
  <c r="CL20" i="9"/>
  <c r="CL21" i="9" s="1"/>
  <c r="U7" i="1"/>
  <c r="V7" i="1"/>
  <c r="U8" i="1"/>
  <c r="V8" i="1"/>
  <c r="F12" i="1"/>
  <c r="O40" i="16" l="1"/>
  <c r="O42" i="16" s="1"/>
  <c r="N40" i="16"/>
  <c r="N42" i="16" s="1"/>
  <c r="L13" i="9"/>
  <c r="M13" i="9" s="1"/>
  <c r="M3" i="9"/>
  <c r="U12" i="1"/>
  <c r="V12" i="1"/>
  <c r="T141" i="1"/>
  <c r="S139" i="1" s="1"/>
  <c r="S122" i="1"/>
  <c r="T73" i="1"/>
  <c r="S71" i="1" s="1"/>
  <c r="S64" i="1"/>
  <c r="S63" i="1"/>
  <c r="S72" i="1" l="1"/>
  <c r="S140" i="1"/>
  <c r="S68" i="1"/>
  <c r="S120" i="1"/>
  <c r="S118" i="1"/>
  <c r="S121" i="1"/>
  <c r="S119" i="1"/>
  <c r="S136" i="1"/>
  <c r="S70" i="1"/>
  <c r="S117" i="1"/>
  <c r="S138" i="1"/>
  <c r="S135" i="1"/>
  <c r="S137" i="1"/>
  <c r="S67" i="1"/>
  <c r="S69" i="1"/>
  <c r="S126" i="1" l="1"/>
  <c r="S141" i="1"/>
  <c r="S73" i="1"/>
  <c r="B136" i="1" l="1"/>
  <c r="B135" i="1"/>
  <c r="B134" i="1" l="1"/>
  <c r="B116" i="1"/>
  <c r="F117" i="1" s="1"/>
  <c r="F118" i="1" s="1"/>
  <c r="D106" i="1"/>
  <c r="D100" i="1"/>
  <c r="D102" i="1" s="1"/>
  <c r="H82" i="1"/>
  <c r="D47" i="1"/>
  <c r="AC47" i="1" s="1"/>
  <c r="D46" i="1"/>
  <c r="AC46" i="1" s="1"/>
  <c r="D45" i="1"/>
  <c r="D44" i="1"/>
  <c r="C40" i="1"/>
  <c r="C33" i="1"/>
  <c r="D20" i="1"/>
  <c r="C20" i="1"/>
  <c r="D12" i="1"/>
  <c r="C12" i="1"/>
  <c r="H52" i="1" l="1"/>
  <c r="H54" i="1" s="1"/>
  <c r="G6" i="1" s="1"/>
  <c r="G12" i="1" s="1"/>
  <c r="AC44" i="1"/>
  <c r="E117" i="1"/>
  <c r="E118" i="1" s="1"/>
  <c r="B7" i="1"/>
  <c r="M125" i="1"/>
  <c r="M123" i="1"/>
  <c r="M124" i="1"/>
  <c r="M122" i="1"/>
  <c r="M117" i="1"/>
  <c r="M120" i="1"/>
  <c r="M121" i="1"/>
  <c r="M119" i="1"/>
  <c r="M118" i="1"/>
  <c r="M139" i="1"/>
  <c r="M137" i="1"/>
  <c r="M136" i="1"/>
  <c r="M138" i="1"/>
  <c r="M135" i="1"/>
  <c r="M140" i="1"/>
  <c r="C102" i="1"/>
  <c r="T7" i="1" s="1"/>
  <c r="D107" i="1"/>
  <c r="G82" i="1"/>
  <c r="F82" i="1"/>
  <c r="AC45" i="1"/>
  <c r="D53" i="1"/>
  <c r="B73" i="1"/>
  <c r="M131" i="1"/>
  <c r="M130" i="1"/>
  <c r="O10" i="1"/>
  <c r="D66" i="1"/>
  <c r="D43" i="1"/>
  <c r="D52" i="1" s="1"/>
  <c r="H68" i="1"/>
  <c r="B72" i="1"/>
  <c r="O8" i="1"/>
  <c r="H83" i="1"/>
  <c r="D22" i="1"/>
  <c r="C22" i="1"/>
  <c r="O17" i="1"/>
  <c r="Z17" i="1" s="1"/>
  <c r="O19" i="1"/>
  <c r="C31" i="1"/>
  <c r="C30" i="1"/>
  <c r="F72" i="1"/>
  <c r="F74" i="1" s="1"/>
  <c r="N15" i="1" s="1"/>
  <c r="H66" i="1"/>
  <c r="W7" i="1" l="1"/>
  <c r="AB7" i="1" s="1"/>
  <c r="Z19" i="1"/>
  <c r="Y19" i="1"/>
  <c r="AD19" i="1" s="1"/>
  <c r="Y17" i="1"/>
  <c r="AD17" i="1" s="1"/>
  <c r="X17" i="1"/>
  <c r="B8" i="1"/>
  <c r="M141" i="1"/>
  <c r="M132" i="1"/>
  <c r="M126" i="1"/>
  <c r="D109" i="1"/>
  <c r="C107" i="1"/>
  <c r="T8" i="1" s="1"/>
  <c r="W8" i="1" s="1"/>
  <c r="F76" i="1"/>
  <c r="F83" i="1"/>
  <c r="F81" i="1" s="1"/>
  <c r="G83" i="1"/>
  <c r="G81" i="1" s="1"/>
  <c r="B81" i="1"/>
  <c r="B82" i="1" s="1"/>
  <c r="D73" i="1"/>
  <c r="C73" i="1" s="1"/>
  <c r="B74" i="1"/>
  <c r="B75" i="1"/>
  <c r="X79" i="1" s="1"/>
  <c r="AC43" i="1"/>
  <c r="H72" i="1"/>
  <c r="H74" i="1" s="1"/>
  <c r="K15" i="1" s="1"/>
  <c r="M15" i="1" s="1"/>
  <c r="D68" i="1"/>
  <c r="D72" i="1" s="1"/>
  <c r="D54" i="1"/>
  <c r="B83" i="1"/>
  <c r="C34" i="1"/>
  <c r="O18" i="1"/>
  <c r="H130" i="1"/>
  <c r="M12" i="1"/>
  <c r="O7" i="1"/>
  <c r="O9" i="1"/>
  <c r="O11" i="1"/>
  <c r="G87" i="1" l="1"/>
  <c r="G89" i="1"/>
  <c r="Y16" i="1" s="1"/>
  <c r="Y59" i="1"/>
  <c r="Y61" i="1" s="1"/>
  <c r="AD61" i="1" s="1"/>
  <c r="Y14" i="1"/>
  <c r="Z14" i="1"/>
  <c r="Z16" i="1"/>
  <c r="Y79" i="1"/>
  <c r="Y81" i="1" s="1"/>
  <c r="AD81" i="1" s="1"/>
  <c r="AA17" i="1"/>
  <c r="AB17" i="1" s="1"/>
  <c r="Y18" i="1"/>
  <c r="AD18" i="1" s="1"/>
  <c r="Z18" i="1"/>
  <c r="E87" i="1"/>
  <c r="E89" i="1"/>
  <c r="AC17" i="1"/>
  <c r="X81" i="1"/>
  <c r="AC81" i="1" s="1"/>
  <c r="B6" i="1"/>
  <c r="B12" i="1" s="1"/>
  <c r="X59" i="1"/>
  <c r="B18" i="1"/>
  <c r="N14" i="1"/>
  <c r="AD15" i="1"/>
  <c r="AC15" i="1"/>
  <c r="AB8" i="1"/>
  <c r="T12" i="1"/>
  <c r="T18" i="1"/>
  <c r="T19" i="1"/>
  <c r="G74" i="1"/>
  <c r="M64" i="1"/>
  <c r="D81" i="1"/>
  <c r="C81" i="1" s="1"/>
  <c r="D78" i="1"/>
  <c r="B76" i="1"/>
  <c r="G72" i="1"/>
  <c r="C72" i="1"/>
  <c r="D74" i="1"/>
  <c r="N16" i="1"/>
  <c r="D137" i="1"/>
  <c r="X18" i="1" l="1"/>
  <c r="W18" i="1"/>
  <c r="W19" i="1"/>
  <c r="X19" i="1"/>
  <c r="AA19" i="1" s="1"/>
  <c r="AA18" i="1"/>
  <c r="X16" i="1"/>
  <c r="AA16" i="1" s="1"/>
  <c r="AD14" i="1"/>
  <c r="H75" i="1"/>
  <c r="H88" i="1"/>
  <c r="F88" i="1"/>
  <c r="X14" i="1"/>
  <c r="AC18" i="1"/>
  <c r="AA79" i="1"/>
  <c r="AA81" i="1" s="1"/>
  <c r="X61" i="1"/>
  <c r="AC61" i="1" s="1"/>
  <c r="AA59" i="1"/>
  <c r="AA61" i="1" s="1"/>
  <c r="H76" i="1"/>
  <c r="B84" i="1"/>
  <c r="D80" i="1"/>
  <c r="C78" i="1"/>
  <c r="M63" i="1"/>
  <c r="M65" i="1" s="1"/>
  <c r="O15" i="1"/>
  <c r="C74" i="1"/>
  <c r="D75" i="1" s="1"/>
  <c r="L14" i="1" s="1"/>
  <c r="C79" i="1"/>
  <c r="AC19" i="1" l="1"/>
  <c r="V15" i="1"/>
  <c r="G15" i="1"/>
  <c r="F15" i="1"/>
  <c r="U15" i="1"/>
  <c r="AC14" i="1"/>
  <c r="AA14" i="1"/>
  <c r="T15" i="1"/>
  <c r="B15" i="1"/>
  <c r="F87" i="1"/>
  <c r="H87" i="1"/>
  <c r="AB18" i="1"/>
  <c r="AB19" i="1"/>
  <c r="AD16" i="1"/>
  <c r="AC16" i="1"/>
  <c r="C80" i="1"/>
  <c r="D82" i="1"/>
  <c r="D76" i="1"/>
  <c r="W15" i="1" l="1"/>
  <c r="AB15" i="1" s="1"/>
  <c r="AB65" i="1" s="1"/>
  <c r="U65" i="1" s="1"/>
  <c r="U14" i="1"/>
  <c r="G14" i="1"/>
  <c r="V14" i="1"/>
  <c r="F14" i="1"/>
  <c r="T14" i="1"/>
  <c r="B14" i="1"/>
  <c r="K14" i="1"/>
  <c r="M14" i="1" s="1"/>
  <c r="M59" i="1" s="1"/>
  <c r="C82" i="1"/>
  <c r="W14" i="1" l="1"/>
  <c r="AB14" i="1" s="1"/>
  <c r="AB61" i="1" s="1"/>
  <c r="U61" i="1" s="1"/>
  <c r="T65" i="1"/>
  <c r="W65" i="1" s="1"/>
  <c r="D83" i="1"/>
  <c r="L16" i="1" s="1"/>
  <c r="L20" i="1" s="1"/>
  <c r="L21" i="1" s="1"/>
  <c r="F89" i="1"/>
  <c r="H89" i="1"/>
  <c r="M60" i="1"/>
  <c r="M61" i="1" s="1"/>
  <c r="O14" i="1"/>
  <c r="D84" i="1"/>
  <c r="G16" i="1" l="1"/>
  <c r="G20" i="1" s="1"/>
  <c r="G22" i="1" s="1"/>
  <c r="U16" i="1"/>
  <c r="F16" i="1"/>
  <c r="F20" i="1" s="1"/>
  <c r="F22" i="1" s="1"/>
  <c r="V16" i="1"/>
  <c r="V20" i="1" s="1"/>
  <c r="V21" i="1" s="1"/>
  <c r="T16" i="1"/>
  <c r="B16" i="1"/>
  <c r="B20" i="1" s="1"/>
  <c r="B22" i="1" s="1"/>
  <c r="K16" i="1"/>
  <c r="K20" i="1" s="1"/>
  <c r="K21" i="1" s="1"/>
  <c r="T61" i="1"/>
  <c r="W16" i="1" l="1"/>
  <c r="M16" i="1"/>
  <c r="M67" i="1" s="1"/>
  <c r="W61" i="1"/>
  <c r="U20" i="1"/>
  <c r="U21" i="1" s="1"/>
  <c r="U22" i="1" s="1"/>
  <c r="U23" i="1" s="1"/>
  <c r="T20" i="1"/>
  <c r="T21" i="1" s="1"/>
  <c r="T22" i="1" s="1"/>
  <c r="T23" i="1" s="1"/>
  <c r="W12" i="1"/>
  <c r="M20" i="1" l="1"/>
  <c r="M21" i="1" s="1"/>
  <c r="M72" i="1"/>
  <c r="M70" i="1"/>
  <c r="M68" i="1"/>
  <c r="M71" i="1"/>
  <c r="O16" i="1"/>
  <c r="M69" i="1"/>
  <c r="W20" i="1"/>
  <c r="W21" i="1" s="1"/>
  <c r="W22" i="1" s="1"/>
  <c r="W23" i="1" s="1"/>
  <c r="AB16" i="1"/>
  <c r="AB81" i="1" s="1"/>
  <c r="U81" i="1" s="1"/>
  <c r="M73" i="1" l="1"/>
  <c r="T81" i="1"/>
  <c r="W81" i="1" l="1"/>
  <c r="H43" i="20" l="1"/>
  <c r="H52" i="20" s="1"/>
  <c r="H54" i="20" s="1"/>
  <c r="V43" i="20"/>
  <c r="F43" i="20"/>
  <c r="F52" i="20" s="1"/>
  <c r="F54" i="20" s="1"/>
  <c r="E6" i="20" s="1"/>
  <c r="D43" i="20"/>
  <c r="D52" i="20" l="1"/>
  <c r="D54" i="20" s="1"/>
  <c r="B6" i="20" s="1"/>
  <c r="AK43" i="20"/>
  <c r="CH43" i="9" s="1"/>
  <c r="CC43" i="9" s="1"/>
  <c r="AL43" i="20"/>
  <c r="CI43" i="9" s="1"/>
  <c r="CD43" i="9" s="1"/>
  <c r="AB23" i="20"/>
  <c r="E12" i="20"/>
  <c r="AK7" i="9"/>
  <c r="AJ43" i="20"/>
  <c r="AM43" i="20" l="1"/>
  <c r="CG43" i="9"/>
  <c r="AZ7" i="9"/>
  <c r="AK14" i="9"/>
  <c r="I7" i="9"/>
  <c r="E22" i="20"/>
  <c r="CE43" i="9" l="1"/>
  <c r="BS43" i="9" s="1"/>
  <c r="CB43" i="9"/>
  <c r="AA23" i="20"/>
  <c r="M6" i="20"/>
  <c r="AD23" i="20"/>
  <c r="B12" i="20"/>
  <c r="AK8" i="9"/>
  <c r="AZ14" i="9"/>
  <c r="I14" i="9"/>
  <c r="K7" i="9"/>
  <c r="AO43" i="20"/>
  <c r="AK43" i="9" l="1"/>
  <c r="AK50" i="9" s="1"/>
  <c r="BX43" i="9"/>
  <c r="BY43" i="9"/>
  <c r="BY50" i="9" s="1"/>
  <c r="L19" i="9" s="1"/>
  <c r="L25" i="9" s="1"/>
  <c r="L35" i="9" s="1"/>
  <c r="BZ43" i="9"/>
  <c r="BZ50" i="9" s="1"/>
  <c r="M19" i="9" s="1"/>
  <c r="M25" i="9" s="1"/>
  <c r="M35" i="9" s="1"/>
  <c r="Q6" i="20"/>
  <c r="Q22" i="20" s="1"/>
  <c r="O6" i="20"/>
  <c r="P6" i="20" s="1"/>
  <c r="N6" i="20"/>
  <c r="N12" i="20" s="1"/>
  <c r="N22" i="20" s="1"/>
  <c r="M12" i="20"/>
  <c r="M22" i="20" s="1"/>
  <c r="I8" i="9"/>
  <c r="B22" i="20"/>
  <c r="AK11" i="9"/>
  <c r="AZ8" i="9"/>
  <c r="AZ11" i="9" s="1"/>
  <c r="AK15" i="9"/>
  <c r="BY23" i="9"/>
  <c r="K14" i="9"/>
  <c r="CA43" i="9" l="1"/>
  <c r="CA50" i="9" s="1"/>
  <c r="BX50" i="9"/>
  <c r="K19" i="9" s="1"/>
  <c r="K25" i="9" s="1"/>
  <c r="K35" i="9" s="1"/>
  <c r="O9" i="20"/>
  <c r="P9" i="20" s="1"/>
  <c r="AM9" i="20" s="1"/>
  <c r="O15" i="20"/>
  <c r="P15" i="20" s="1"/>
  <c r="AM15" i="20" s="1"/>
  <c r="O10" i="20"/>
  <c r="P10" i="20" s="1"/>
  <c r="AM10" i="20" s="1"/>
  <c r="O7" i="20"/>
  <c r="O8" i="20"/>
  <c r="P8" i="20" s="1"/>
  <c r="AM8" i="20" s="1"/>
  <c r="O16" i="20"/>
  <c r="P16" i="20" s="1"/>
  <c r="AM16" i="20" s="1"/>
  <c r="O19" i="20"/>
  <c r="P19" i="20" s="1"/>
  <c r="AM19" i="20" s="1"/>
  <c r="O11" i="20"/>
  <c r="P11" i="20" s="1"/>
  <c r="AM11" i="20" s="1"/>
  <c r="O14" i="20"/>
  <c r="O17" i="20"/>
  <c r="P17" i="20" s="1"/>
  <c r="AM17" i="20" s="1"/>
  <c r="O18" i="20"/>
  <c r="P18" i="20" s="1"/>
  <c r="AM18" i="20" s="1"/>
  <c r="AZ15" i="9"/>
  <c r="AK16" i="9"/>
  <c r="K8" i="9"/>
  <c r="K11" i="9" s="1"/>
  <c r="I11" i="9"/>
  <c r="I15" i="9"/>
  <c r="AN11" i="20" l="1"/>
  <c r="CJ11" i="9" s="1"/>
  <c r="AP11" i="20"/>
  <c r="AO11" i="20"/>
  <c r="CK11" i="9" s="1"/>
  <c r="CQ11" i="9" s="1"/>
  <c r="P7" i="20"/>
  <c r="O12" i="20"/>
  <c r="AO18" i="20"/>
  <c r="CK18" i="9" s="1"/>
  <c r="CQ18" i="9" s="1"/>
  <c r="AP18" i="20"/>
  <c r="AN18" i="20"/>
  <c r="CJ18" i="9" s="1"/>
  <c r="AN19" i="20"/>
  <c r="CJ19" i="9" s="1"/>
  <c r="AP19" i="20"/>
  <c r="AO19" i="20"/>
  <c r="CK19" i="9" s="1"/>
  <c r="CQ19" i="9" s="1"/>
  <c r="AN10" i="20"/>
  <c r="CJ10" i="9" s="1"/>
  <c r="AP10" i="20"/>
  <c r="AO10" i="20"/>
  <c r="CK10" i="9" s="1"/>
  <c r="CQ10" i="9" s="1"/>
  <c r="AN17" i="20"/>
  <c r="CJ17" i="9" s="1"/>
  <c r="AP17" i="20"/>
  <c r="AO17" i="20"/>
  <c r="CK17" i="9" s="1"/>
  <c r="CQ17" i="9" s="1"/>
  <c r="AN16" i="20"/>
  <c r="CJ16" i="9" s="1"/>
  <c r="AO16" i="20"/>
  <c r="CK16" i="9" s="1"/>
  <c r="CQ16" i="9" s="1"/>
  <c r="AP16" i="20"/>
  <c r="AN15" i="20"/>
  <c r="CJ15" i="9" s="1"/>
  <c r="AP15" i="20"/>
  <c r="AO15" i="20"/>
  <c r="CK15" i="9" s="1"/>
  <c r="CQ15" i="9" s="1"/>
  <c r="K15" i="9"/>
  <c r="K16" i="9" s="1"/>
  <c r="I16" i="9"/>
  <c r="BX23" i="9"/>
  <c r="AZ16" i="9"/>
  <c r="CA23" i="9" s="1"/>
  <c r="P14" i="20"/>
  <c r="O20" i="20"/>
  <c r="P29" i="20" s="1"/>
  <c r="P37" i="20" s="1"/>
  <c r="D20" i="9" s="1"/>
  <c r="AO8" i="20"/>
  <c r="CK8" i="9" s="1"/>
  <c r="CQ8" i="9" s="1"/>
  <c r="AN8" i="20"/>
  <c r="CJ8" i="9" s="1"/>
  <c r="AP8" i="20"/>
  <c r="AP9" i="20"/>
  <c r="AN9" i="20"/>
  <c r="CJ9" i="9" s="1"/>
  <c r="AO9" i="20"/>
  <c r="CK9" i="9" s="1"/>
  <c r="CQ9" i="9" s="1"/>
  <c r="AM14" i="20" l="1"/>
  <c r="P20" i="20"/>
  <c r="P30" i="20" s="1"/>
  <c r="P38" i="20" s="1"/>
  <c r="CM8" i="9"/>
  <c r="CN8" i="9" s="1"/>
  <c r="CO8" i="9" s="1"/>
  <c r="CP8" i="9"/>
  <c r="CM17" i="9"/>
  <c r="CN17" i="9" s="1"/>
  <c r="CO17" i="9" s="1"/>
  <c r="CP17" i="9"/>
  <c r="CP10" i="9"/>
  <c r="CM10" i="9"/>
  <c r="CN10" i="9" s="1"/>
  <c r="CO10" i="9" s="1"/>
  <c r="AM7" i="20"/>
  <c r="P12" i="20"/>
  <c r="CP9" i="9"/>
  <c r="CM9" i="9"/>
  <c r="CN9" i="9" s="1"/>
  <c r="CO9" i="9" s="1"/>
  <c r="CM16" i="9"/>
  <c r="CN16" i="9" s="1"/>
  <c r="CO16" i="9" s="1"/>
  <c r="CP16" i="9"/>
  <c r="CP18" i="9"/>
  <c r="CM18" i="9"/>
  <c r="CN18" i="9" s="1"/>
  <c r="CO18" i="9" s="1"/>
  <c r="CM15" i="9"/>
  <c r="CN15" i="9" s="1"/>
  <c r="CO15" i="9" s="1"/>
  <c r="CP15" i="9"/>
  <c r="CM19" i="9"/>
  <c r="CN19" i="9" s="1"/>
  <c r="CO19" i="9" s="1"/>
  <c r="CP19" i="9"/>
  <c r="O29" i="20"/>
  <c r="O22" i="20"/>
  <c r="CP11" i="9"/>
  <c r="CM11" i="9"/>
  <c r="CN11" i="9" s="1"/>
  <c r="CO11" i="9" s="1"/>
  <c r="P32" i="20" l="1"/>
  <c r="P34" i="20" s="1"/>
  <c r="O30" i="20"/>
  <c r="O32" i="20" s="1"/>
  <c r="O34" i="20" s="1"/>
  <c r="P22" i="20"/>
  <c r="O37" i="20"/>
  <c r="N29" i="20"/>
  <c r="AP7" i="20"/>
  <c r="AP12" i="20" s="1"/>
  <c r="AM12" i="20"/>
  <c r="AN7" i="20"/>
  <c r="AO7" i="20"/>
  <c r="AP14" i="20"/>
  <c r="AP20" i="20" s="1"/>
  <c r="AO14" i="20"/>
  <c r="AM20" i="20"/>
  <c r="AN14" i="20"/>
  <c r="D21" i="9"/>
  <c r="P40" i="20"/>
  <c r="P42" i="20" s="1"/>
  <c r="AP21" i="20" l="1"/>
  <c r="AM21" i="20"/>
  <c r="AN12" i="20"/>
  <c r="CJ7" i="9"/>
  <c r="CK14" i="9"/>
  <c r="AO20" i="20"/>
  <c r="C20" i="9"/>
  <c r="N37" i="20"/>
  <c r="AN20" i="20"/>
  <c r="CJ14" i="9"/>
  <c r="CK7" i="9"/>
  <c r="AO12" i="20"/>
  <c r="O38" i="20"/>
  <c r="O40" i="20" s="1"/>
  <c r="O42" i="20" s="1"/>
  <c r="N30" i="20"/>
  <c r="N32" i="20" s="1"/>
  <c r="N34" i="20" s="1"/>
  <c r="D24" i="9"/>
  <c r="D26" i="9" s="1"/>
  <c r="AN21" i="20" l="1"/>
  <c r="CQ7" i="9"/>
  <c r="CQ12" i="9" s="1"/>
  <c r="CK12" i="9"/>
  <c r="CK20" i="9"/>
  <c r="CQ14" i="9"/>
  <c r="CQ20" i="9" s="1"/>
  <c r="CM14" i="9"/>
  <c r="CJ20" i="9"/>
  <c r="CP14" i="9"/>
  <c r="CP20" i="9" s="1"/>
  <c r="B20" i="9"/>
  <c r="CM7" i="9"/>
  <c r="CP7" i="9"/>
  <c r="CP12" i="9" s="1"/>
  <c r="CJ12" i="9"/>
  <c r="C21" i="9"/>
  <c r="B21" i="9" s="1"/>
  <c r="N38" i="20"/>
  <c r="N40" i="20" s="1"/>
  <c r="N42" i="20" s="1"/>
  <c r="G21" i="9"/>
  <c r="G20" i="9" s="1"/>
  <c r="G24" i="9" s="1"/>
  <c r="G26" i="9" s="1"/>
  <c r="L8" i="9"/>
  <c r="AO21" i="20"/>
  <c r="CK21" i="9" l="1"/>
  <c r="C24" i="9"/>
  <c r="C26" i="9" s="1"/>
  <c r="CQ21" i="9"/>
  <c r="CP21" i="9"/>
  <c r="CN7" i="9"/>
  <c r="CM12" i="9"/>
  <c r="CJ21" i="9"/>
  <c r="F21" i="9"/>
  <c r="F20" i="9" s="1"/>
  <c r="F24" i="9" s="1"/>
  <c r="F26" i="9" s="1"/>
  <c r="L7" i="9"/>
  <c r="B24" i="9"/>
  <c r="B26" i="9" s="1"/>
  <c r="CN14" i="9"/>
  <c r="CM20" i="9"/>
  <c r="M8" i="9"/>
  <c r="L15" i="9"/>
  <c r="M15" i="9" s="1"/>
  <c r="CM21" i="9" l="1"/>
  <c r="M7" i="9"/>
  <c r="M11" i="9" s="1"/>
  <c r="L14" i="9"/>
  <c r="L11" i="9"/>
  <c r="CN12" i="9"/>
  <c r="CO7" i="9"/>
  <c r="CN20" i="9"/>
  <c r="CO14" i="9"/>
  <c r="CN21" i="9" l="1"/>
  <c r="L16" i="9"/>
  <c r="M14" i="9"/>
  <c r="M16" i="9" s="1"/>
  <c r="B32" i="48"/>
  <c r="B26" i="48" s="1"/>
  <c r="B6" i="48" l="1"/>
  <c r="AE52" i="48"/>
  <c r="AE59" i="48"/>
  <c r="BP52" i="48"/>
  <c r="BR52" i="48" s="1"/>
  <c r="G108" i="48"/>
  <c r="BH14" i="48"/>
  <c r="AE56" i="48"/>
  <c r="B27" i="48"/>
  <c r="B15" i="48" s="1"/>
  <c r="BH11" i="48"/>
  <c r="BH9" i="48"/>
  <c r="AE53" i="48"/>
  <c r="BH18" i="48"/>
  <c r="BH17" i="48"/>
  <c r="BH8" i="48"/>
  <c r="C107" i="48"/>
  <c r="BP58" i="48"/>
  <c r="BR58" i="48" s="1"/>
  <c r="BT58" i="48" s="1"/>
  <c r="BW58" i="48" s="1"/>
  <c r="BH10" i="48"/>
  <c r="BP53" i="48"/>
  <c r="BR53" i="48" s="1"/>
  <c r="BH19" i="48"/>
  <c r="B9" i="48"/>
  <c r="BP59" i="48"/>
  <c r="BR59" i="48" s="1"/>
  <c r="BT59" i="48" s="1"/>
  <c r="BW59" i="48" s="1"/>
  <c r="B16" i="48"/>
  <c r="B10" i="48"/>
  <c r="B18" i="48"/>
  <c r="AE61" i="48"/>
  <c r="BH7" i="48"/>
  <c r="BP61" i="48"/>
  <c r="BP60" i="48"/>
  <c r="BR60" i="48" s="1"/>
  <c r="BT60" i="48" s="1"/>
  <c r="BW60" i="48" s="1"/>
  <c r="BH16" i="48"/>
  <c r="AE57" i="48"/>
  <c r="BP56" i="48"/>
  <c r="BR56" i="48" s="1"/>
  <c r="BT56" i="48" s="1"/>
  <c r="BW56" i="48" s="1"/>
  <c r="B11" i="48"/>
  <c r="B19" i="48"/>
  <c r="BP57" i="48"/>
  <c r="BR57" i="48" s="1"/>
  <c r="BT57" i="48" s="1"/>
  <c r="BW57" i="48" s="1"/>
  <c r="BH15" i="48"/>
  <c r="AE60" i="48"/>
  <c r="B14" i="48"/>
  <c r="G107" i="48"/>
  <c r="AE58" i="48"/>
  <c r="AE54" i="48"/>
  <c r="AE55" i="48"/>
  <c r="D32" i="48"/>
  <c r="D41" i="48" s="1"/>
  <c r="B41" i="48"/>
  <c r="C32" i="48" s="1"/>
  <c r="H9" i="48" l="1"/>
  <c r="H15" i="48"/>
  <c r="H10" i="48"/>
  <c r="H16" i="48"/>
  <c r="H14" i="48"/>
  <c r="H18" i="48"/>
  <c r="H11" i="48"/>
  <c r="H19" i="48"/>
  <c r="D161" i="48"/>
  <c r="E41" i="48"/>
  <c r="B20" i="48"/>
  <c r="BA71" i="48"/>
  <c r="E9" i="48"/>
  <c r="E19" i="48"/>
  <c r="BA75" i="48"/>
  <c r="BB71" i="48"/>
  <c r="BB73" i="48" s="1"/>
  <c r="BL73" i="48" s="1"/>
  <c r="AS73" i="48" s="1"/>
  <c r="E16" i="48"/>
  <c r="E15" i="48"/>
  <c r="BA92" i="48"/>
  <c r="E10" i="48"/>
  <c r="BB92" i="48"/>
  <c r="BB94" i="48" s="1"/>
  <c r="BL94" i="48" s="1"/>
  <c r="AS94" i="48" s="1"/>
  <c r="BB75" i="48"/>
  <c r="BB77" i="48" s="1"/>
  <c r="BL77" i="48" s="1"/>
  <c r="AS77" i="48" s="1"/>
  <c r="E14" i="48"/>
  <c r="E18" i="48"/>
  <c r="AA26" i="48"/>
  <c r="AA17" i="48" s="1"/>
  <c r="E11" i="48"/>
  <c r="AE64" i="48"/>
  <c r="G109" i="48"/>
  <c r="H109" i="48" s="1"/>
  <c r="C39" i="48"/>
  <c r="C38" i="48"/>
  <c r="C35" i="48"/>
  <c r="C33" i="48"/>
  <c r="C40" i="48"/>
  <c r="C34" i="48"/>
  <c r="C31" i="48"/>
  <c r="C36" i="48"/>
  <c r="C37" i="48"/>
  <c r="C108" i="48"/>
  <c r="AC33" i="48" s="1"/>
  <c r="AE65" i="48"/>
  <c r="H20" i="48" l="1"/>
  <c r="AA16" i="48"/>
  <c r="AA18" i="48"/>
  <c r="AD35" i="48" s="1"/>
  <c r="AA19" i="48"/>
  <c r="AA11" i="48"/>
  <c r="AB11" i="48" s="1"/>
  <c r="AC11" i="48" s="1"/>
  <c r="G113" i="48"/>
  <c r="H113" i="48" s="1"/>
  <c r="G114" i="48"/>
  <c r="H114" i="48" s="1"/>
  <c r="C113" i="48"/>
  <c r="D113" i="48" s="1"/>
  <c r="C114" i="48"/>
  <c r="D114" i="48" s="1"/>
  <c r="AA10" i="48"/>
  <c r="E20" i="48"/>
  <c r="BI75" i="48"/>
  <c r="BI77" i="48" s="1"/>
  <c r="BA77" i="48"/>
  <c r="BK77" i="48" s="1"/>
  <c r="AR77" i="48" s="1"/>
  <c r="AZ77" i="48" s="1"/>
  <c r="AA9" i="48"/>
  <c r="C41" i="48"/>
  <c r="AA15" i="48"/>
  <c r="BA73" i="48"/>
  <c r="BK73" i="48" s="1"/>
  <c r="AR73" i="48" s="1"/>
  <c r="AZ73" i="48" s="1"/>
  <c r="BI71" i="48"/>
  <c r="BI73" i="48" s="1"/>
  <c r="AA6" i="48"/>
  <c r="C109" i="48"/>
  <c r="D109" i="48" s="1"/>
  <c r="AE66" i="48"/>
  <c r="BI92" i="48"/>
  <c r="BI94" i="48" s="1"/>
  <c r="BA94" i="48"/>
  <c r="BK94" i="48" s="1"/>
  <c r="AR94" i="48" s="1"/>
  <c r="AZ94" i="48" s="1"/>
  <c r="AB33" i="48"/>
  <c r="AC41" i="48"/>
  <c r="AB41" i="48" s="1"/>
  <c r="AA14" i="48"/>
  <c r="G119" i="48" l="1"/>
  <c r="H119" i="48" s="1"/>
  <c r="G117" i="48"/>
  <c r="H117" i="48" s="1"/>
  <c r="C118" i="48"/>
  <c r="D118" i="48" s="1"/>
  <c r="C117" i="48"/>
  <c r="D117" i="48" s="1"/>
  <c r="G118" i="48"/>
  <c r="H118" i="48" s="1"/>
  <c r="C119" i="48"/>
  <c r="D119" i="48" s="1"/>
  <c r="D115" i="48"/>
  <c r="AA20" i="48"/>
  <c r="AB10" i="48"/>
  <c r="AC10" i="48" s="1"/>
  <c r="H115" i="48"/>
  <c r="H7" i="48" s="1"/>
  <c r="AB9" i="48"/>
  <c r="AC9" i="48" s="1"/>
  <c r="AB6" i="48"/>
  <c r="AC6" i="48" s="1"/>
  <c r="AB35" i="48"/>
  <c r="AD43" i="48"/>
  <c r="AB43" i="48" s="1"/>
  <c r="W12" i="48" l="1"/>
  <c r="W22" i="48" s="1"/>
  <c r="W24" i="48" s="1"/>
  <c r="S6" i="36" s="1"/>
  <c r="B7" i="48"/>
  <c r="E7" i="48"/>
  <c r="G115" i="48"/>
  <c r="C115" i="48"/>
  <c r="D120" i="48"/>
  <c r="AB22" i="48"/>
  <c r="H120" i="48"/>
  <c r="C120" i="48" l="1"/>
  <c r="B8" i="48"/>
  <c r="B12" i="48" s="1"/>
  <c r="B22" i="48" s="1"/>
  <c r="B24" i="48" s="1"/>
  <c r="L6" i="36" s="1"/>
  <c r="H122" i="48"/>
  <c r="H8" i="48"/>
  <c r="H12" i="48" s="1"/>
  <c r="H22" i="48" s="1"/>
  <c r="H24" i="48" s="1"/>
  <c r="N6" i="36" s="1"/>
  <c r="D122" i="48"/>
  <c r="G120" i="48"/>
  <c r="E8" i="48"/>
  <c r="AA7" i="48"/>
  <c r="AA8" i="48" l="1"/>
  <c r="AA12" i="48" s="1"/>
  <c r="AA22" i="48" s="1"/>
  <c r="AB7" i="48"/>
  <c r="AC7" i="48" s="1"/>
  <c r="E12" i="48"/>
  <c r="E22" i="48" s="1"/>
  <c r="E24" i="48" s="1"/>
  <c r="AB8" i="48" l="1"/>
  <c r="AC8" i="48" s="1"/>
  <c r="AC12" i="48" s="1"/>
  <c r="M6" i="36"/>
  <c r="AA24" i="48"/>
  <c r="AA23" i="48" s="1"/>
  <c r="AB12" i="48"/>
  <c r="AC31" i="48" l="1"/>
  <c r="AB14" i="48"/>
  <c r="AB15" i="48" s="1"/>
  <c r="AC15" i="48" s="1"/>
  <c r="AC32" i="48"/>
  <c r="AC40" i="48" l="1"/>
  <c r="AB16" i="48"/>
  <c r="AC16" i="48" s="1"/>
  <c r="AC14" i="48"/>
  <c r="AC34" i="48"/>
  <c r="AC36" i="48" s="1"/>
  <c r="AC39" i="48"/>
  <c r="AB17" i="48" l="1"/>
  <c r="AC17" i="48" s="1"/>
  <c r="AC42" i="48"/>
  <c r="AC44" i="48" s="1"/>
  <c r="AB19" i="48" l="1"/>
  <c r="AC19" i="48" s="1"/>
  <c r="AB18" i="48" l="1"/>
  <c r="AC18" i="48" s="1"/>
  <c r="AC20" i="48" s="1"/>
  <c r="AB20" i="48" l="1"/>
  <c r="AD31" i="48" s="1"/>
  <c r="AD39" i="48" s="1"/>
  <c r="AD32" i="48"/>
  <c r="AC22" i="48"/>
  <c r="AB31" i="48" l="1"/>
  <c r="AD40" i="48"/>
  <c r="AB40" i="48" s="1"/>
  <c r="AB32" i="48"/>
  <c r="AB39" i="48"/>
  <c r="AD34" i="48"/>
  <c r="AD36" i="48" s="1"/>
  <c r="AB34" i="48" l="1"/>
  <c r="AB36" i="48" s="1"/>
  <c r="AB42" i="48"/>
  <c r="AB44" i="48" s="1"/>
  <c r="AD42" i="48"/>
  <c r="AD4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3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 
17.5M Original per J. Campbell
+4.6M NRT IND moved from NI RC
-8.0M CB Lite moved to NI RC</t>
        </r>
      </text>
    </comment>
    <comment ref="B3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Purchases</t>
        </r>
      </text>
    </comment>
    <comment ref="B3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Transfers U106 to U102</t>
        </r>
      </text>
    </comment>
    <comment ref="C4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AU4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Sep17 actual</t>
        </r>
      </text>
    </comment>
    <comment ref="G44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4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Mar17 actual</t>
        </r>
      </text>
    </comment>
    <comment ref="B4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7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7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7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7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8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8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8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8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8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9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E49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9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50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E50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50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51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I51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62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 total as of 10/31/17
53 total per 2017 std (33 NIRO + 20 KS).
Reduction of 8 taken from NIRO (33-8=25)</t>
        </r>
      </text>
    </comment>
    <comment ref="C62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F62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16 total as of 10/31/17
15 total per 2017 std (11 NIRO + 4 KS).
Increase of 1 added to NIRO (11+1=12)</t>
        </r>
      </text>
    </comment>
    <comment ref="G62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B63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C63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F63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G63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B72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Hrs already included in NIRO S/T &amp; O/T</t>
        </r>
      </text>
    </comment>
    <comment ref="D72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96 days x ($35.78 x 1.02) x 12 hrs/day x 1.5 OT)</t>
        </r>
      </text>
    </comment>
    <comment ref="H80" authorId="1" shapeId="0" xr:uid="{00000000-0006-0000-0100-00002E000000}">
      <text>
        <r>
          <rPr>
            <sz val="8"/>
            <color indexed="81"/>
            <rFont val="Tahoma"/>
            <family val="2"/>
          </rPr>
          <t>Per D. Kessler shipping and bagging credit worksheet method</t>
        </r>
      </text>
    </comment>
    <comment ref="H83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1,617 hrs</t>
        </r>
        <r>
          <rPr>
            <sz val="9"/>
            <color indexed="81"/>
            <rFont val="Tahoma"/>
            <family val="2"/>
          </rPr>
          <t xml:space="preserve"> bagging (20,700,000 lbs at 12,800 lbs per hr)
10,377 hrs total
Historically approx. 6 to 6.5 FTE's assigned to shipping &amp; bagging labor. Reasonableness check as follows:
12,510 hrs / 2,080 hrs per yr per FTE = 6.0 FTEs</t>
        </r>
      </text>
    </comment>
    <comment ref="H84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5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20,700,000 lbs at 12,800 lbs/hr
12,800 lbs/hr=4 bags/hr at 3,200 lbs ea, or 0.25 hrs/bag.</t>
        </r>
      </text>
    </comment>
    <comment ref="F150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3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    2,000 Base Ceramic per forecast
+14,400 Industrial Ceramic per forecast
-  7,200 CG incl in Industrial forecast
+    100 CL substrate for NI Fusion prodn</t>
        </r>
      </text>
    </comment>
    <comment ref="B3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Per J. Campbell, half of 14,400 Industrial Ceramic forecast is CG.  Assumed 50/50 split 280/300</t>
        </r>
      </text>
    </comment>
    <comment ref="B39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Per J. Campbell, half of 14,400 Industrial Ceramic forecast is CG.  Assumed 50/50 split 280/300</t>
        </r>
      </text>
    </comment>
    <comment ref="A44" authorId="0" shapeId="0" xr:uid="{00000000-0006-0000-0300-000004000000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B4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Oct18 Purchases</t>
        </r>
      </text>
    </comment>
    <comment ref="B4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Oct18 Transfers U106 to U102</t>
        </r>
      </text>
    </comment>
    <comment ref="C5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E5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I5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Jun 18 Actual</t>
        </r>
      </text>
    </comment>
    <comment ref="K5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O5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Q52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BS52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53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Pending completion of 2019 MCI std, used Oct18 Ytd avg cost transfer receipts at EUF from MCI.</t>
        </r>
      </text>
    </comment>
    <comment ref="G5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O53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Q53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B54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Pending completion of 2019 TMB std, used Oct18 Ytd avg cost consumed in EUF production.</t>
        </r>
      </text>
    </comment>
    <comment ref="B55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Pending completion of 2019 TMB std, used Oct18 Ytd avg cost consumed in EUF production.</t>
        </r>
      </text>
    </comment>
    <comment ref="B56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Oct18 actual</t>
        </r>
      </text>
    </comment>
    <comment ref="C56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I56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Jun 18 Actual</t>
        </r>
      </text>
    </comment>
    <comment ref="K56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Q56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B57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Oct18 actual</t>
        </r>
      </text>
    </comment>
    <comment ref="C57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E57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G57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I57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Jun 18 Actual</t>
        </r>
      </text>
    </comment>
    <comment ref="K57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O57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Q57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B58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Oct18 actual</t>
        </r>
      </text>
    </comment>
    <comment ref="C58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E58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I58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Jun 18 Actual</t>
        </r>
      </text>
    </comment>
    <comment ref="K58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O58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Q58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Oct 18 Actual</t>
        </r>
      </text>
    </comment>
    <comment ref="B5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Oct18 actual</t>
        </r>
      </text>
    </comment>
    <comment ref="E59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G59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M59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B6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Sep18 actual</t>
        </r>
      </text>
    </comment>
    <comment ref="E60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G60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M60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B61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I61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Jun 18 Actual</t>
        </r>
      </text>
    </comment>
    <comment ref="K61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Jan-Oct 18 Actual</t>
        </r>
      </text>
    </comment>
    <comment ref="B72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 total as of 10/31/17
53 total per 2017 std (33 NIRO + 20 KS).
Reduction of 8 taken from NIRO (33-8=25)</t>
        </r>
      </text>
    </comment>
    <comment ref="C72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F7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16 total as of 10/31/17
15 total per 2017 std (11 NIRO + 4 KS).
Increase of 1 added to NIRO (11+1=12)</t>
        </r>
      </text>
    </comment>
    <comment ref="G72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B7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</t>
        </r>
      </text>
    </comment>
    <comment ref="C73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</t>
        </r>
      </text>
    </comment>
    <comment ref="F73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G73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B82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Hrs already included in NIRO S/T &amp; O/T</t>
        </r>
      </text>
    </comment>
    <comment ref="D82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 xml:space="preserve">96 days x ($35.78 x 1.02) x 12 hrs/day x 1.5 OT)
</t>
        </r>
        <r>
          <rPr>
            <sz val="9"/>
            <color indexed="81"/>
            <rFont val="Tahoma"/>
            <family val="2"/>
          </rPr>
          <t>Note: OIC rate built into average hourly rate, therefore zeroed out this formula.</t>
        </r>
      </text>
    </comment>
    <comment ref="H90" authorId="1" shapeId="0" xr:uid="{00000000-0006-0000-0300-000046000000}">
      <text>
        <r>
          <rPr>
            <sz val="8"/>
            <color indexed="81"/>
            <rFont val="Tahoma"/>
            <family val="2"/>
          </rPr>
          <t>Per D. Kessler shipping and bagging credit worksheet method</t>
        </r>
      </text>
    </comment>
    <comment ref="H93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1,617 hrs</t>
        </r>
        <r>
          <rPr>
            <sz val="9"/>
            <color indexed="81"/>
            <rFont val="Tahoma"/>
            <family val="2"/>
          </rPr>
          <t xml:space="preserve"> bagging (20,700,000 lbs at 12,800 lbs per hr)
10,377 hrs total
Historically approx. 6 to 6.5 FTE's assigned to shipping &amp; bagging labor. Reasonableness check as follows:
12,510 hrs / 2,080 hrs per yr per FTE = 6.0 FTEs</t>
        </r>
      </text>
    </comment>
    <comment ref="H94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95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20,700,000 lbs at 12,800 lbs/hr
12,800 lbs/hr=4 bags/hr at 3,200 lbs ea, or 0.25 hrs/bag.</t>
        </r>
      </text>
    </comment>
    <comment ref="H106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Avg of Oct &amp; Aug 2018 that were 100% NIRO.</t>
        </r>
      </text>
    </comment>
    <comment ref="D107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Per R. Riffey email 9/12/18, based on B. Phelts forecast.</t>
        </r>
      </text>
    </comment>
    <comment ref="H108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Ytd Oct18 avg $0.087</t>
        </r>
      </text>
    </comment>
    <comment ref="B112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Avg of Oct &amp; Aug 2018 that were 100% NIRO.</t>
        </r>
      </text>
    </comment>
    <comment ref="F160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std.</t>
        </r>
      </text>
    </comment>
    <comment ref="D163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8F39F82A-EFA8-4318-BEBC-72C16E442A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4759C6D1-90E4-479F-B6A0-F8E6F26C3A03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BF48E446-2A80-4A33-A213-B98AD0C47CF5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A5E71988-5989-4813-BEE3-6C2B6AFEED65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1DBE5DB6-5192-4674-AAEF-3A8786CC0952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C3FC63D7-666F-491C-923A-83847A5A4944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82F4FA61-DB27-4634-A3B0-C719BEFB791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5325395B-8528-4E28-83D1-5A8B99BAC80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308CA148-59FB-4F09-B358-5888AA1EB4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EBC8617A-6754-45D5-9FB8-F6BB7E7795F7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1FDBA3DF-5790-4B7D-8249-FAB3AD95595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9076F69E-17D2-471F-A24B-6A47061B318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E613066C-58B7-49BE-825B-D72CA3359D4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877B6B6D-C476-4D37-B754-54F2D119AEF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4FE53ADD-F0C7-4474-A68C-C040129CA37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8EB259F7-0AA5-4210-A305-4FCA9F59A14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1CE909E2-A473-416D-ADCC-1C4C79007E4A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0653E88D-A372-4452-A1CF-068A35678ED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25860027-2403-45DA-BE7B-A188837B119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2B5E1ED3-E424-4415-96BF-57C73D9873A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09FA3FEF-F649-40D3-9943-9C95B597E28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E212DDAF-6D0A-405D-BAE1-789E570E80A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B55C73A0-A5B7-4C7B-A91A-E1E0BDB8BB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B39E68D6-1906-4EA5-93C3-84FFC3F6EC9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EBEC49FA-464D-4EC0-B11F-9572FF99B179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F5AAADD9-09AE-4839-A9BA-0B8E3E7356EC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EB03E2EF-3026-4B7A-A0E0-0F0C8C5A313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46D9B7C9-0E3D-42E0-9ABC-5A4FE64A29D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A83AEBE5-2FEB-4F1D-9AE9-55B9CAFF662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DCCA6443-9808-4700-AC30-F5FBB9E438C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2012D6D9-D1FD-4F56-8E8F-E4AB7C1B653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70E41764-C1B0-4562-A222-494A32956063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6FE94B8E-9946-4585-B445-81ABF1993E14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D127CF37-5F04-49CC-96E8-5895A750401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4AB6DEDF-9EDE-406E-AACC-2A9277BF16C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F91BCBE7-28B7-410C-8F60-6A5969416709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5ED55FBB-19A3-48A5-879B-DC9A7092E91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AACCCAC3-1B42-4AE8-B87C-4FF9BE207039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8B96C321-C665-43AF-B7D2-2552D3C00FFA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6F9CFA21-BC7E-40C5-8216-6EEE107B4E76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77EBDF8B-AF1F-43F4-B63D-175DDEB42BD9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97F3FBE5-F7FC-4FBA-82F4-DBC995CB6695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02064C6B-050E-4E7F-BFA0-A86746A7FFF1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67201506-85FD-46D8-9E21-FA16A820515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454080CD-D718-4819-8BFB-7C3A071ECC3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F2CAE9F9-871C-4594-A28B-5855ED94D10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191E9A19-5FE9-4B3A-B583-F999A69757FC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DBFD106A-4BC6-4EA1-99F6-26346C8C5BF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481DB8A0-20A6-436E-87B2-EEF720813E3E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F67B905B-4A62-4002-9275-159637701A5E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C886B550-5560-43A8-8A73-C47A62B5C05D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8B32F793-62A6-422E-9285-50E6A2D29B9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0681D1C3-168D-4D83-8AB4-F9C8153D77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7CC52A87-71BA-4F7F-9FFC-8AA392C65D0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0205F94A-2DF9-484B-BA47-7AA180B7DE8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0805FAA3-C407-425F-8A5B-253571B0DDA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66A10E86-4F08-49D7-B31B-CA49D1AB818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F9846224-14C0-4157-BC09-E98EAB28AF3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911A1BB1-DA88-4D93-9F38-607D41F8253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B3D11AFB-E30E-4519-A956-19C0A5951F2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93E5E569-8A4A-4C87-A778-0A664159E83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02EF3419-41BC-4BA8-B94F-961662BA6FE8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8AB916B1-1977-4EC9-A3B6-5F906D36453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FA519F80-D059-4CF2-BE71-7EB8E17ECAB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4096173B-3987-47D4-B6FE-CA67E368DE1B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8DA113BA-B8BA-4BE3-BD27-5C6B3F5A8C1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2032F7FE-9037-4C0B-835A-53BC82F5136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6C45B53D-1529-4BA1-ACA4-5F6F8D5B228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C1DCD809-603B-4796-A890-61DDAEA7357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6758126C-0A94-4076-8937-06BDF806777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B4E31B6F-4A7F-42C2-850F-DE5D46FE713D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9F5C4410-A46A-41BD-9E34-BA65DB3B235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9BC4B729-74A3-42B8-A8C2-2FD6479B19A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C63F6DAF-83AB-40CC-97EC-74BF0F9AD9A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19F6BE75-0077-4E20-9FB9-1BC96B5649B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A6A98048-7DA0-4E39-8EC9-240E20E5676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479E082E-1C35-4B6E-A408-93F278A0FB53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677F4C9E-5EC8-4913-8A5C-A430850C6ACA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E79E8B75-ABD8-48E9-A87B-FBEAC6FA967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4518F8C9-6120-4CEA-904B-89E0EA6E542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617D83B7-A8DD-488D-A45C-A72C4F985793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DF49BEF1-CBB8-4D0A-A844-A1CC66F327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5FE05539-848A-4CAD-A125-2470267C3DDD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3E791CC3-ADF3-47FB-831A-FF48B527A0D2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755F6EA2-E680-4BF0-B6E7-2586E24AAB74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C68634DB-88C2-457E-8EF2-58BFF0E19C11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B6EDC6E7-E815-4219-8A50-B491BE7FD712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4671B18D-57AC-4B02-97E0-23571B10D8D0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767C85CC-56CC-4BBF-A28B-6DE1CE40C50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FA1C5348-6961-46A7-9D09-D22D74249C5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3D4C4C51-7BAB-42F1-8A5C-2B2FD9CD914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F984AA3F-BF5F-4D43-9ED0-326C5C252B2A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3B16EF28-ECB9-48ED-A52B-6BFF53913263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0D823B37-3A6D-4D41-96E5-C9DF9B771DD0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A23EE713-08D1-4767-BCC2-8DBF1C27B59B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D9942F87-E610-419B-96A8-FB37495ABB4F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E9706696-CAB8-479F-9D2A-B3F9C847E2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CDDDCD92-D95E-4CC4-945E-F73EE53404F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00719B16-49B8-4F1D-8033-F0D6AFF966D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E4CBB1EB-902B-4C56-8CAB-C6626A013A6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8F3DC5D4-A5C4-4385-804F-B1E0DCE7171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FB418DA2-7945-4C71-9A46-54B8AA81DB7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40C3CE3A-E750-4BB6-9D1D-7AC14286072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DC37C5ED-A186-4103-82D4-D8309D77AA1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781CDA30-0295-4D00-A42D-5568050B36A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89EE1CBC-55E0-4F41-88E8-8C20C9B5336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C52531ED-DE8D-48C4-9A3B-3CA903F4827A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84CE3278-1804-43C9-9F7D-E297442C83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8B8D75D9-2E16-4929-B67C-1720100C8A4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5D572672-1AF0-4644-BAEB-CF89CEB25034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25196F45-9DDA-4DCD-83EA-D21EA9CEDC9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8142FFE7-996E-4FAC-9271-DAA6EBA6FD8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8001D423-C013-4333-997F-59148240873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C82C4E9D-B63A-4AD5-99ED-8E25449F81C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7A1945B1-7A73-4C88-9DAD-D5772834BBA1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4DC588DD-9407-4916-9EAD-2D06B5B31D9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C215A242-487F-4930-96CD-0748E8E27A7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233C481F-013E-4CD0-9B2E-A16163C8182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98E3C92A-4B32-4CC5-8490-F13C8363D2C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8F672A85-6FD1-418A-A854-02C871CF529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8E261D2C-F2AD-49AE-92D0-2C5707B9A7B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CC33607B-C04D-4049-AD9D-175EB057FD36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0DAEDE01-3208-49D1-BB80-781C300E20BC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72C4664A-F5BF-4BEE-9069-20CA4043A79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E90B7F8B-F660-4C8A-A3E4-E265B54EC5D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3BC6B85A-566F-43DC-A15A-D894000B58F7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005405FD-DA20-4909-BD88-662D6733A5E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18274DFB-CF41-4C9C-8B76-305F4ECB1309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BD3713FB-1988-4A63-9D18-44EC75A1F188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BAAD0A4A-E924-4136-8C06-7B0927AD8972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A970B7B1-7EE7-47DB-8B2F-970477C65A1F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DEB54F2E-00DF-4B5A-9011-C9EB84F6965B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75F60401-A187-4158-9DD6-F69908B942DE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C04BC961-847F-4C8E-805B-A4BDF45BEED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910A8F84-790C-4097-875B-C0EB1C08AE0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D0550710-5F94-4330-AB61-2DB5A96FDBA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E483DAA9-A805-4EF6-B13D-E72DC73BE201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9C09D58A-A4B0-4651-BD9E-7BDBFE4FB80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22DF6334-730D-4999-B2EE-545F8A730A93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C8C2A71B-0D75-43C6-AB27-0937EBE6359F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44A9119C-B9CD-4867-8BBE-1D81725BF907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AC322AC1-FC36-4837-B596-E1BC4FC53C6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6F58196C-738B-4369-BBB6-F0F89F8D29F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89DBDAA1-6DB0-431D-9B78-78D1548354B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A5252E48-F802-46F7-8941-2B5E100495F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4FF03DCB-7E4A-44D7-AA47-F6A69CEA10B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914E00E0-F6EE-4F05-AE73-06D05C315E2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FD947BAD-C586-43CD-9415-275556FB5B6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B3F40D27-F8EA-4C74-BC1A-ED86114CC23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3371AAEC-C5D7-4812-8E94-AEB95C467B9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0AABCC14-C702-46FC-949B-B1EB05FF1EF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1BB2A962-E1DE-4224-9A14-300A49E48427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99F78639-6358-4BCF-8F58-3D38FC5A3CE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E4B1C8D3-AC23-4E63-85C0-F0AE5CDEC13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A13FAD4F-2751-451D-A918-5F71F720F4D1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167CA797-10CB-4637-BDC6-E1B419A87C2F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AB3485FF-457B-4322-9FD0-28371C065A3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92A08045-5CF5-4B50-B183-0BF6EFA2DE8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6158A3F4-8909-4F7D-BB4D-9A3E7CF3CE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A316DC33-DEF3-460A-B83C-4B8BC33EB97C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522D55E5-FC7B-4834-893E-B5FCB8A0223C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42B6488B-A5BD-44FB-9540-DDD5582465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72CC5506-A01B-457D-B4EA-0A4AF184BAF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07E2DE5F-4AB8-4ADB-BCAF-50C09CB4A31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96EC9AF9-58EA-4EB2-A574-3FC598C599B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080C5326-4EED-47BF-8211-1F922A33351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A502EE1A-D9E7-4D43-88E5-EBA70BD66094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CC267480-C6BD-4C8C-B0C4-3411EE8C7B16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AA9A794B-B6D8-42E3-95F6-552A79150F3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FD25964F-C04A-460D-AF13-9F6CE65963F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92A547DE-C830-4EF9-9C96-6BBBC625107A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68AB9043-FC10-43D1-96EF-40C7469DEC9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65DF822B-A6C8-44CF-A3BD-7CD6FA7F321D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36946578-92DE-4AA1-9940-7FAE9E75EC45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8C8C6AF7-A090-4C80-990F-6597B83C4628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BC888C0E-0EB6-43B9-969A-6ABFEB8C07D1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FD2DAF03-CBED-49F7-8FC4-B7F39DBAA329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7A4C694B-249F-4DB9-A751-2BDE9FD8B5D1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F621CC14-588F-46FA-963E-51DD66E1BDD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2E662DD9-7B6B-4C8A-94D9-2E942D205BA7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FACF4EA2-F866-4A1F-9D17-E5E53458F30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373F9166-2FD8-4259-8F16-E75A6A4E9538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D18FA276-CCAE-495E-A8D0-D3F89615F94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20E692AD-E228-4362-9C6B-C6FABF2DE5A5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7FE01056-32C2-4725-8CF0-4A34019C61E6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32F3A377-A5B2-42D5-B92A-FC53956B779B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47B608E0-CF47-41C7-876A-C700E855444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F399B63E-E26C-484C-8210-95152B5D3C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143D0A43-0DE7-425E-A6BE-6F57D11FFD8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BFC47C6A-A91A-4435-A43F-0717EC4C97D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EC967714-C259-49C9-BEB5-E036B4EFC4C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2D3A65C0-7102-4E58-BF07-F831B85AA35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D0201506-1223-44C5-8ED4-F386CBAA877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1FFD56B6-043A-4EB4-B9D9-956DE4868AD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977EAD4B-8632-41C3-BDC2-82080591E3C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7B7629C5-5387-414E-8E91-5EBCBEDF37D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71FF1FF0-D9C9-4F03-8523-36165DBDD8D1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62C1D1F4-DF0A-47AA-B63D-FAAA3E7151D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5AEA0376-EB56-4149-B98C-CAE004D083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7A36CE48-8249-4728-9F77-1EBFE03C04D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4CF85161-4DD9-4A0C-9834-D92A3ECCB173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E2B96D0C-3DA0-4F34-B5AC-FBE2C84A0F7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26C24310-7F29-4354-9264-368326EA919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30253F38-727C-45D8-A15D-5E1096D3F3D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5D0CC899-1BEB-4DB2-BF52-7E64CE70E51F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10E8EA3B-1B43-4842-AFE0-0F9E14E96A0F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23A829E0-AB84-4CFA-87FA-150BF0B21CD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D785776E-6A31-4748-BFDC-F90D4E2E34F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60AA41E7-1EAA-46AB-84BC-A56E9C38A15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3C79E301-696E-48C9-BAA9-2737CE4A51E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9B058490-CD5C-4524-9B45-EEA6A1ED14C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F9919556-281D-420D-A39D-988BC6A2628E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E1D6FD9A-42D1-47A0-A241-E1CBA0ACCD26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166C0B33-EC6D-44AB-A0A1-157AB8F55B8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7CA3E0C5-1216-4C62-A5CB-9CC8C1B8A18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128B81A2-5820-4567-9B11-55B943321BF5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8AEA6B6E-2E87-4692-B23E-75500F51004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D6DD6FCA-A0A2-4EA0-80CA-828003DD24E5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023F2D4E-E914-438D-867A-B0E23DD26F1D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EFCA74F2-8EDB-4939-86EB-332BCBF24220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108F56F8-ABBE-4704-8461-402EF10C5298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4100FC14-974E-41E3-A0ED-51141AADA7BB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1EDB706A-5369-4905-9BB5-706356FF4645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AEA35144-1CB6-43CD-8D3C-FAC275E9B70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4C3A75CA-5AEE-43F2-85D3-062241F22B1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291C4CC6-9CFA-4B13-8989-ABF5D226E3B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02A83C44-76FD-423D-BCE5-AD9EF40ACB2A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4BD58B84-77CD-403F-93F2-7B03AA8F7F9F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2D895075-A98C-48C8-B4E5-A97D79E3B523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B613FF9B-F17C-49FC-88CC-72785BB7C814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52E7333B-C7DA-4ED9-8375-E2856B44426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54D4E70D-2862-4ED0-8D97-CFFFA034267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D0C0E159-5E05-4BD2-A537-48EF1C753B7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9B23B9E4-1120-4CD0-87EC-875E4BB54E6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3A11BEDB-8EC5-4B28-9588-AC1FF195954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1796DFAE-5634-4496-8583-C1D6623B782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655F68E6-2DC3-4BB0-91D7-9AC94BDDA5B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427F5106-7643-4722-9377-BF1234B0429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27E150EB-0A43-4606-BE93-06501E048F0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B6543A4D-49EA-4B9A-8C87-7898004F56A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58892CE1-7BB5-413E-BAE2-9BE45605048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0D7A7DE1-01DE-4C7C-A354-2DD38F091479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39011704-72F1-423E-B20D-21A8E168EBA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6191F303-125A-4BA3-A8FF-E460FE3226D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E24D454D-7244-4784-929A-47CA1C1E9220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645848ED-0681-42D4-9A9F-B7BF34DECF64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31370AE8-5D43-4F5A-A7D1-C734FDEE000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AE954E80-97A8-413F-ABA6-756C316BBEA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00D82791-130A-4C73-8FAD-4420FB6D27A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150D93B6-603C-402F-BC08-2B883737378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30A4747A-CD13-415A-AFE5-E8447C25937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5C8A827D-B0DE-44B2-B04B-ACA83B24E23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19BDA165-4B74-4ADE-B3F3-C4BF250AD80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9A82A56C-47CF-49A4-AC51-FCC5F88A2A9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C90C8CBC-19A6-444A-AA7D-A334F4E0415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2CCEBEB5-64FF-43F1-AEA8-1D69AD201B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576F607F-29BB-4553-A0A5-17B30B534907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10DC92DF-F2CD-4CEF-9F07-A8123B16BE3A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52D47997-466A-4BF3-A570-83BAF173E75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09F225BD-E572-40B8-AC1D-B43C1692CB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3DA20890-9B9D-42B4-A8BC-6AE647749E8C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1888E554-0BF2-420F-8319-7B7B0BE242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4D616B6A-AB03-4AC6-B4CF-70771D8F4E06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696A54F7-AA7A-43B4-98BC-5D4619BAD8E9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10053086-6EA1-4B22-BCB4-EAC3ED5DFAFD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7B858B9C-9AF6-436D-8341-863EC3B7EFE9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DDBC26E3-4191-42C7-AE0F-7FD42AE9DC24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3BD2F9DA-2802-4203-BF73-6262EA834759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725A82AB-C0B4-4D41-B3AC-23C005FC196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D2C7E93F-2C89-4D36-A9E3-D47E95EBBEF8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089A3935-2C38-4826-B71C-86D5AD9CF56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6A4A0A6B-02DF-425A-9404-20EC3BF83B5A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0921C532-0B91-40BC-8815-6E6FED261576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E46AD229-8E96-4F83-8296-8D8F04AB111F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FCE62DB0-4742-4659-AFC4-7CBCCB64E84F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D48E8DAD-1A3F-454A-A467-3E59FFF8771A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83499A3E-3324-4118-BAE4-78E34DA53FD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C9BD7EBB-450F-4146-B265-45C5FC86848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4FA8E317-F57A-4A4F-90C0-338A6BE8683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CAD4BC4B-E038-4A77-A855-27FB596190B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51C7DD4B-ADCF-404E-AE60-8AE97EE2220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5F09FEFD-BC36-4E02-A510-4CAC262BCF9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5EB2E99B-435B-45CD-8AA4-6EBFE92E69F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EF0652C0-114B-4FF1-8315-359E1A666665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8FFFD0F5-A9D9-4220-BA4B-5299F8245EC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E4C21B4E-A7B8-47AB-9016-52D689EAC05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DCC66CD8-CBD0-4D79-BFBA-0AABE25C4FC9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5841D607-BA0A-4014-BE37-4901E4120F8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3ED035DA-8B78-4E0B-A489-3C1F79BB0DD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49DC3AC5-03AD-4E6B-A2C6-9082A82EBC7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67300515-4AC9-48A8-9A6D-BD227D5F2573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72F5C215-DCA9-4BF6-B7EC-DC61F8CF4E4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8B2D0BA2-5D36-4E70-A16F-60EE82EB16A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517C986F-A3A3-404A-BD2F-34F977DA126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6534B36C-9937-4173-9283-0D4DEBDC8508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64FAFE03-8B83-4F7B-BFC4-44D43D3EAF09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546137EE-C76F-4826-8CEF-FE64DC37DB7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52AE58FF-373A-4915-8C52-EBB819E7652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00D27A04-0EE9-4402-B637-3D33D119098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74409E84-36CA-4961-8B9E-0F321BD48EC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AA1B6A52-2DE9-4A62-AD46-8FF81547410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B5EE7729-1096-4D89-AF85-835F4463F40F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EB25FFC2-9B4A-4DB7-A47F-7BDC035E3211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ECFEB676-3361-4EA5-80ED-0208C849823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414D883D-0648-4AFC-A057-2D70B9C4DD7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55ED85A5-AAC6-4730-BCFD-F1A50681D250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F75C514C-ED2F-4F06-8590-882FD926ABC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74E02DDD-F5EC-41E1-BCB5-785D2E60C26E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AEC134A3-AFF2-4832-AF28-2D895F1C5227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ED58820B-761F-4BDC-A4A5-B39CFD788DEE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9447E294-C145-46E3-90CD-6CC20464BAF0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E810F0A4-B692-4330-A815-136F220241FD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66430A78-F249-4FE9-AD98-6914130A9005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18C770C0-AF85-4AAC-A0F9-AA345093B43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CB1CE06B-8A52-45BC-B603-0C187E41FDE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63B71334-536B-4C89-91D2-EDB5B0CDF2B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A044FBD6-EF2D-4910-B977-6449C06E4F8F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C0C85AB9-6F55-40FB-AFB1-1F128E217BE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ACE6B4AB-E2CD-4622-B752-4D5EF6C6B7FC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5DA340D8-7B37-402C-8D6C-87BBA8972F8C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14115554-91E4-4552-A2DE-DB811088D141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9A3E5387-9BC9-41B6-B52B-635DF479638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AF2CE601-5ADC-4613-BCC2-CA919DED51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B50C5306-9444-4E2A-8B62-9BBB78069A9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0ED63633-EE4A-46E6-B17A-39607D28678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D484E8A2-2DCD-46E8-A928-594B2994176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DA522C70-CF51-4F1F-87B7-B801428E543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3C1C61D8-0C16-4940-A9AD-4A221C526FF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6B0C7ABF-FD17-4CB4-A3D9-90B13F5AF2A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E0AEA253-D266-405A-AD7C-92F85BCAB6C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25DDBB4E-0CD1-491B-A343-576797DEB4D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60CC4AC6-F23C-48BF-975F-6E1A9FA01D16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B047FE0F-03D7-4F72-95F3-2F172CA3E75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0DD09F5C-D53D-445A-8FC7-8A583DC32C2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923D09E8-A881-41C8-AEF6-1657C23413B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13D6939C-B3C0-483D-AF20-203769F2B283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15CAC434-AD0D-4A05-B6DB-C483D33AB52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CBBCDF4C-E8A6-4E26-A8A4-686803B3128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81CB446E-8808-4A9F-A684-5C5E81A7744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8956AA40-6B69-4864-82B9-85DE3EF04181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837494D8-9FD6-42F7-A460-8A93A75604A4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0C8C1631-921E-4AF8-99F2-B4489EF6C09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CADBE95D-4A4F-4DE2-8F10-EDBCE41B316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04BC81C7-3672-41DB-A8CA-EF2E0C15DFC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DB3A8949-C4EA-49FD-833C-C4E9A9CBAC9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F43D1A25-0751-4FDB-9764-612462DB1B0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B933AC4D-12E6-4404-96C6-D6D6CED3086C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6DA8A85B-14E3-4052-9EF3-A9D3BF72339F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1F273BBE-A874-4393-A598-6B3B272843C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118B3C62-C4B6-42BC-8A85-88B861939A5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374C6E61-80A9-4FA4-B9E5-C2FD51FF8709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E8E3729F-05F4-463D-BE0D-DE06F62001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B53A5A2D-AF20-4B3F-8267-DCB3524C0D23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0730D29F-BA95-4E75-A29A-2FB951D1D8F4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1FBF0E56-8CC1-4F10-B922-8502190522A0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C03D9292-3D11-405D-BCE6-80CD79C6BBD0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0B1E581E-7863-4B42-902A-36B586FA3A3B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CA49AB4B-EC1D-42AC-AB4E-716A42998530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4BF8AE7B-9385-46E2-B75D-9A913B4CBC9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029EF46B-9C23-4524-8328-FAEE1CC3121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CE107B2B-7496-4264-81CF-B8532A0C039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A4104302-1517-4CAB-9A44-A3E63C55C484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D659A966-7703-47FC-9D38-7D57622D2F4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409B4957-BE1D-413E-9FBD-5E9A0B22F6E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EC827FC8-FA9B-471F-B4B5-F0157CCC7A25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54D24374-B4A6-411B-B14B-F0353CEE45D5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28E6E7C9-9EA8-4082-852C-2678D41EDF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D4F83FEA-4C62-4290-9C24-569C62E6218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61753B43-ED26-40FC-85D0-32B446A4B8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23179B59-76EC-4274-9D46-C0DDF92C3D8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7B2E5D62-C727-4FA0-9E7A-E8F0F4F131D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4BA7CEA7-97C9-4B46-AF38-DEFB667FC1E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7D7CB1CC-D313-41A5-92A4-A324DBF1053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F8BBE982-992D-45B1-A1E9-0D5CE93424B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08C5AED8-85D5-44CB-AFA5-C075EE30983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6239BF5D-7DB0-4CF8-B2C9-D43F41AC9B5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176D7FB6-C7DF-48A8-A020-72F55B7B5789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4D2E629C-A323-4103-9C14-35419DA8CA8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7BBE09C1-FF68-4B6B-A086-8229B534015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880D9863-36F4-40AA-8A2C-69D1D82AEED6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DAD10EBE-F915-4623-8E6C-4018C74E3378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7D1BE9FA-D1EF-45E9-8015-806EE6CD955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966C8ECD-1320-4DAB-BEBD-73789615E35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20A4F1E8-A47B-40A5-83F4-D9D0AD85815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0F181BA7-47C9-4580-8F51-547024F18551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5331FEA6-786B-4A52-9B02-FDB56B62473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351605D0-A38D-45A7-9CE1-AE19C4988FD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4A3598CB-8EB9-42BA-96F7-B4DE945B34A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4D04C88D-BEA1-4D6C-93BC-A7327DCE3FF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6B1FB4E9-9DDD-4CE2-B608-5B9614237BE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1F2EF8CF-09AD-446D-B81A-24D548AB05B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14638A68-10C0-4096-97CE-F45E091AD0D9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5BCECAD0-E112-4615-8CB0-BF4F6ACDAB34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611B30C6-6050-407E-AAB7-57906A1EDB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63815731-D284-47BD-9434-175723EBE12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3514E14E-3056-4435-AD8C-E06425580929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61B43EBA-2111-4E67-84FA-19027D0E38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9B51CA4A-87AA-422E-8C1D-7C59CB4A1199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ECD14AAA-FCD2-4859-8FE8-1FC724AE8232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30333117-CF3D-4430-9B3D-EED63EC696B7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CAE80FE7-B642-47F2-98EB-E1CFF73CC650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0153202C-1B56-434B-A5F7-D573E27A26AD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26569136-3590-4319-963F-C42E1F69B031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8FE6DE04-1C9B-49C8-B5FD-EE9C16EFD79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41D67E66-EC3A-461D-AA85-96591EBAB87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D0EB3958-08BD-4AD0-8D90-B3184BA913E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D15A1224-7156-4295-B8FE-D3BC4F7889AC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CB841756-8A50-4A9D-8BB7-198808AEB6EE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A7047D16-3FC8-491A-B3E7-278CD39CCD22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4CC96EE8-446B-4A7D-ACE6-47A01B52B82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BDFD988B-B2B1-4AE1-BB3C-A75AB5F35AAC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D398071C-A0D8-4247-825D-14229887F32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C44EBA27-4EDE-4531-A6E6-A996099FCA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164C1FCF-0817-480F-95BF-A9BE314FEE8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1A1938AA-C2B1-4B9E-B50D-99A9EB14DD9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85D3D08C-8704-4C4A-B9E0-923B040BAE6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794D4DCA-8A44-4006-A539-708A12C7530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E8B58A9A-CFC1-4610-8957-2635D8FC75E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A9FD90D3-6A41-4C45-9D09-C614391118F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3FDDE731-1994-43F8-AB54-85576B0BDB2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7CDB2F13-AED4-4566-8EFA-AF0B2C08C33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08DB91D2-C581-498B-BDF5-AE0C17804C3F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3E75E6EB-1B5C-4D21-80E5-8768BC0ECD7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18579825-67FB-4094-8657-EF8C5DC7E95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63F3F8BE-A0D9-4204-995D-08E56AE14456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2E960A30-6169-423C-A00B-08B354E6FDB8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0308A92D-CBEC-4534-B874-27C82D9FC52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30AED40D-47EF-431A-8E50-6A96C937FA1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FD629347-1726-4367-B546-C7485B9FF7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6084EA9C-22BF-471C-B187-80A86DB69A0B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26FD1594-FE0D-4F0F-A3ED-4CC632173C79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4963C4D7-DC7F-424A-A595-3B657C71342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9B4E4AD4-2F78-4D82-B945-5B688BC1816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FC637E20-AC24-4CBF-A9F4-5F64C86C69A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5A50BA6A-5A49-43B4-BE57-B02A019AF49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6B34B9DB-5308-40A1-99FB-1CD014B7D95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A0A3042A-2A08-4D86-98F9-84C80ABD5B59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73C56952-D689-4A82-A131-D12031979FE7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8F1D8A97-BB83-4021-B6FB-04210D5F23A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2896372E-14FD-4B86-B3CA-00F25D03E4D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236719FF-5D89-453A-A3E0-9C807C705FAE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D78D2256-E8D7-42D3-B590-296BE920F9A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D8ACFA08-04AB-488A-92DC-9B98AE6D2742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F256AA6B-D556-4180-965D-2971FE4E2F95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8A80D60A-690B-47F1-9873-51EC5EDCD81C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CE36C07A-BACC-41A8-A9EB-7EB5045BFF04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F209E2B0-FC61-44F8-BB8B-43725375901A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6CD9F8A9-40B1-464B-910C-F1389B70A0AF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421CE5EB-67C0-4232-82B8-0C5BD06A661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C2BEA0B5-B7CA-4C7E-9D40-AF5719DFACA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8A7C96F2-167C-4390-AC7C-401681E7441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DFA213E7-37ED-45B0-893B-34EF73BC1DD0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A7A975CC-2B0E-4285-8B35-60D1CB57427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CF76198E-0CBA-4A72-B854-32EAEB71D01B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B27A6B46-C8AD-41E2-8D9F-C07154CFFD8A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8454A0FA-70E9-4E92-ABB4-246745E32E09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4E4DABD8-B05D-4856-99CA-375CA020D2F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0E28BC2C-83C0-4F05-A4A4-3E9AD01305C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1B3E2FB7-EAE4-445C-AE0B-7C09E0DE758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7FF008C6-3DC3-4ABD-BD74-4019C4415E5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3D1A3205-1FFE-4859-ACA0-5F6ECEDBAB65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550D9F85-F28B-4C8A-81EA-4AF5A2640DD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38D12DF5-8426-4C85-AF19-EB6E1BE4E8F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615518D3-5D63-471A-8EBF-66C6F08958E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24F191DC-A790-49A6-AA2B-1848D858F7A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C6FFB9E6-54E3-434F-9698-F9683805437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F2A97B98-825A-45B2-9238-28A72B435590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F3CE48CB-1B85-4AE7-B502-34109178362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0E437935-CFA7-4F73-8E8F-F41B121B116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060C0FA4-39FB-46DD-A338-8E9CE8EADB74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A0DC4E04-FB17-4E3C-8CFF-401AEB8A084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F10EF377-DA24-4181-99CB-97D3B54CDA9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930548E4-6F6C-4E64-9E8E-6A471B94BE2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2EF28ECD-E22B-472C-9F1D-C9FD52AA851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4E666A7B-5DA3-498E-82E0-BC52C7FE5985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A91517D7-DE32-411E-8012-1270C47F417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C5FAFF5A-4F83-45CA-B0C7-22F2444D88D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E3501A3C-DE12-48BF-863A-877597ADFB8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5E905537-F451-4CD9-AF03-10898643C19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EF873A80-F87B-4C0C-AF41-9FE6A8EB314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0A4E4701-0D7E-4DCD-BEC2-78186B3634B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36788927-BFD6-4835-AA41-BF8D78ACE5F7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E233AD52-00A1-49B2-AA51-8A4845367D8D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AD9AEACF-999B-402E-B269-A82BB62EBF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EFE56AF9-879D-4A85-BA85-982C3ED3926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BF2AEEFD-793D-4C10-BC1E-C9E259D5D069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1AEDB65B-4A18-4DB4-8396-9D3E1B56A43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3AC5E838-5F2D-4F82-ADA8-17A5D1CC927F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D196C23F-267C-459B-A739-EE4529396211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DDF435C9-1FF0-4250-8328-1D99122EAF85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682C5A72-496F-4ED4-BA00-4EFA681C6E7B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614870A0-0F19-45C0-A8DD-61557336844D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87ED82D3-3A44-499C-A182-D711E0317315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08FE4B98-F08F-41D8-B844-939D42FAAB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90F398FA-66DF-428B-984B-D2EDAA80CE1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Girouard, David</author>
  </authors>
  <commentList>
    <comment ref="AB22" authorId="0" shapeId="0" xr:uid="{E8FEF406-CC73-45D4-8EC2-EF806FA0F9B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2020 limits
</t>
        </r>
      </text>
    </comment>
    <comment ref="A44" authorId="1" shapeId="0" xr:uid="{372B9D0D-7A1D-4D61-B119-C302E3588950}">
      <text>
        <r>
          <rPr>
            <sz val="9"/>
            <color indexed="81"/>
            <rFont val="Tahoma"/>
            <family val="2"/>
          </rPr>
          <t>Purchase Price/lb * Yield Factor * Scrap Factor * Mix = Std. Cost Contribution</t>
        </r>
      </text>
    </comment>
    <comment ref="C52" authorId="1" shapeId="0" xr:uid="{67F888BA-F97D-4AC5-B012-2F8754314513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E52" authorId="1" shapeId="0" xr:uid="{C658BC3D-214F-4308-A7DF-FE56577103D0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I52" authorId="1" shapeId="0" xr:uid="{31655D31-E0BB-4DD7-9690-EE2A7D67AE78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2" authorId="1" shapeId="0" xr:uid="{F1837845-7E9C-4A6B-98EE-FFFEF3E29D66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2" authorId="1" shapeId="0" xr:uid="{01946E40-1C52-4304-948B-7CE6911A33F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2" authorId="1" shapeId="0" xr:uid="{728FB937-B75D-41A1-B7CB-ACFF0D476CC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2" authorId="1" shapeId="0" xr:uid="{620AFE43-19FD-4DC8-9C3E-4428A6A70CC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BS52" authorId="1" shapeId="0" xr:uid="{AE5F4418-6DAA-461C-BEF6-298FD95D3AF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T52" authorId="1" shapeId="0" xr:uid="{53A77A14-D433-4BBF-AE33-C2FA1EBB5858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V52" authorId="1" shapeId="0" xr:uid="{8308407B-9684-46DE-BB6E-EEBA75E06B9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W52" authorId="1" shapeId="0" xr:uid="{EF02DDA0-FCD0-4A24-BCFD-94A7549D135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X52" authorId="1" shapeId="0" xr:uid="{AD2BCA07-07A6-4937-868B-53D8B30F3487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O53" authorId="1" shapeId="0" xr:uid="{C585F619-4F26-49FC-9B7A-1712773EC10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</t>
        </r>
      </text>
    </comment>
    <comment ref="Q53" authorId="1" shapeId="0" xr:uid="{DD8EED59-2D16-4F51-817A-7D18E061BE2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K56" authorId="1" shapeId="0" xr:uid="{CD914832-2A2E-4B3A-8F5B-3530E808F28D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O56" authorId="1" shapeId="0" xr:uid="{E7DAD2D7-6C84-4195-B789-C06B6064320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6" authorId="1" shapeId="0" xr:uid="{D59BFCBD-E172-4BE7-B5A5-A6E7DF5DE54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7" authorId="1" shapeId="0" xr:uid="{F2C266CC-4576-4CD8-BFEA-358B89299CB7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7" authorId="1" shapeId="0" xr:uid="{50BEFCC5-283F-447C-A328-8AA518499393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7" authorId="1" shapeId="0" xr:uid="{67F74901-7367-4583-9474-5ED710E7E39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7" authorId="1" shapeId="0" xr:uid="{4C903129-DBA5-4203-A818-563B271A212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7" authorId="1" shapeId="0" xr:uid="{6765154C-806E-466F-A519-612597DFC12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58" authorId="1" shapeId="0" xr:uid="{AB8DEA57-68D0-4470-B2D3-F89DE86A70CC}">
      <text>
        <r>
          <rPr>
            <b/>
            <sz val="9"/>
            <color indexed="81"/>
            <rFont val="Tahoma"/>
            <family val="2"/>
          </rPr>
          <t>DJG-
Jan-Aug 2022</t>
        </r>
      </text>
    </comment>
    <comment ref="K58" authorId="1" shapeId="0" xr:uid="{E4681BA9-B123-41A6-B54B-7C44E2E3D392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58" authorId="1" shapeId="0" xr:uid="{85B97E0D-CC2A-474F-92D1-DF5386A64CE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O58" authorId="1" shapeId="0" xr:uid="{A067597F-F6FA-45DB-A8E0-ED96E615497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21 Actual Order 702387
DJG- no change due to no prod in 22</t>
        </r>
      </text>
    </comment>
    <comment ref="Q58" authorId="1" shapeId="0" xr:uid="{4CEA5139-1D9D-48F3-90D3-A48D0DDFEA0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59" authorId="1" shapeId="0" xr:uid="{05A450DA-7904-43DA-9F53-AA56502A8B2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M60" authorId="1" shapeId="0" xr:uid="{52057BDC-AC5B-48B4-B8A9-7BCCC9DC9E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I61" authorId="2" shapeId="0" xr:uid="{5934BB13-18FA-4631-A305-84A36C7626B0}">
      <text>
        <r>
          <rPr>
            <b/>
            <sz val="9"/>
            <color indexed="81"/>
            <rFont val="Tahoma"/>
            <family val="2"/>
          </rPr>
          <t>DJG-
Expected BOM for regular NRT dose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1" authorId="1" shapeId="0" xr:uid="{CC23810F-ED42-463E-8606-794953AAD9B4}">
      <text>
        <r>
          <rPr>
            <b/>
            <sz val="9"/>
            <color indexed="81"/>
            <rFont val="Tahoma"/>
            <family val="2"/>
          </rPr>
          <t>Mar 18 Actual</t>
        </r>
      </text>
    </comment>
    <comment ref="M61" authorId="1" shapeId="0" xr:uid="{60214B20-4EAE-40A6-806C-92D88CFE845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19 Actual</t>
        </r>
      </text>
    </comment>
    <comment ref="H107" authorId="1" shapeId="0" xr:uid="{C52A1CA8-39B4-454C-9120-FB2DAE4FC05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D108" authorId="1" shapeId="0" xr:uid="{69A311AC-B70D-4A5B-9D74-F6A080213089}">
      <text>
        <r>
          <rPr>
            <b/>
            <sz val="9"/>
            <color indexed="81"/>
            <rFont val="Tahoma"/>
            <family val="2"/>
          </rPr>
          <t>DJG-
Per DM/SN
9/16/22</t>
        </r>
      </text>
    </comment>
    <comment ref="H108" authorId="1" shapeId="0" xr:uid="{7E7E50D2-25A2-496A-98DF-BC81B62ED9D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22 Actual </t>
        </r>
      </text>
    </comment>
    <comment ref="B113" authorId="1" shapeId="0" xr:uid="{2D9003BE-C382-4B9B-B509-B5510DD965EA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4" authorId="1" shapeId="0" xr:uid="{F70F17B4-B7B3-4995-AE0C-DD4B8EECAF34}">
      <text>
        <r>
          <rPr>
            <b/>
            <sz val="9"/>
            <color indexed="81"/>
            <rFont val="Tahoma"/>
            <family val="2"/>
          </rPr>
          <t>DJG-
Jan-Aug 22</t>
        </r>
      </text>
    </comment>
    <comment ref="B117" authorId="1" shapeId="0" xr:uid="{A6AA4F46-8CD4-4CEA-B4DA-A0B0C6C3C29E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7" authorId="2" shapeId="0" xr:uid="{E1E74875-AECD-4953-81B9-0F5C8E84E309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1" shapeId="0" xr:uid="{8E2B6C44-6050-464F-A89E-A6E57D137FE0}">
      <text>
        <r>
          <rPr>
            <b/>
            <sz val="9"/>
            <color indexed="81"/>
            <rFont val="Tahoma"/>
            <family val="2"/>
          </rPr>
          <t>DJG-
Jan-Aug22 CL</t>
        </r>
      </text>
    </comment>
    <comment ref="F119" authorId="2" shapeId="0" xr:uid="{893A8E69-CBC9-4059-BDA7-03CA64709A10}">
      <text>
        <r>
          <rPr>
            <b/>
            <sz val="9"/>
            <color indexed="81"/>
            <rFont val="Tahoma"/>
            <family val="2"/>
          </rPr>
          <t>DJG-
Jan-Aug 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1" authorId="1" shapeId="0" xr:uid="{0C98E244-0BA0-461F-BDF8-0B545E5292E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D164" authorId="1" shapeId="0" xr:uid="{57E63088-DC29-4578-AFF0-9D5C85D08C7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45% takes into consideration IPC for salaried supervisors, which is approximately 5% of hourly labor cost.  Actual IPC rate closer to 40% of total hourly + supervision.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3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Purchases</t>
        </r>
      </text>
    </comment>
    <comment ref="B39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Transfers U106 to U102</t>
        </r>
      </text>
    </comment>
    <comment ref="C4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3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3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3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AU43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Sep17 actual</t>
        </r>
      </text>
    </comment>
    <comment ref="G44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45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Nov17 actual</t>
        </r>
      </text>
    </comment>
    <comment ref="B46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6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6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6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7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7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7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7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7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7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8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8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8" authorId="0" shapeId="0" xr:uid="{00000000-0006-0000-0900-000017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8" authorId="0" shapeId="0" xr:uid="{00000000-0006-0000-0900-000018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8" authorId="0" shapeId="0" xr:uid="{00000000-0006-0000-0900-000019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8" authorId="0" shapeId="0" xr:uid="{00000000-0006-0000-0900-00001A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9" authorId="0" shapeId="0" xr:uid="{00000000-0006-0000-0900-00001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E49" authorId="0" shapeId="0" xr:uid="{00000000-0006-0000-0900-00001C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9" authorId="0" shapeId="0" xr:uid="{00000000-0006-0000-0900-00001D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50" authorId="0" shapeId="0" xr:uid="{00000000-0006-0000-0900-00001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E50" authorId="0" shapeId="0" xr:uid="{00000000-0006-0000-0900-00001F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50" authorId="0" shapeId="0" xr:uid="{00000000-0006-0000-0900-000020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51" authorId="0" shapeId="0" xr:uid="{00000000-0006-0000-0900-00002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I51" authorId="0" shapeId="0" xr:uid="{00000000-0006-0000-0900-000022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62" authorId="0" shapeId="0" xr:uid="{00000000-0006-0000-0900-00002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 total as of 10/31/17
53 total per 2017 std (33 NIRO + 20 KS).
Reduction of 8 taken from NIRO (33-8=25)</t>
        </r>
      </text>
    </comment>
    <comment ref="C62" authorId="0" shapeId="0" xr:uid="{00000000-0006-0000-0900-00002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F62" authorId="0" shapeId="0" xr:uid="{00000000-0006-0000-0900-00002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16 total as of 10/31/17
15 total per 2017 std (11 NIRO + 4 KS).
Increase of 1 added to NIRO (11+1=12)</t>
        </r>
      </text>
    </comment>
    <comment ref="G62" authorId="0" shapeId="0" xr:uid="{00000000-0006-0000-0900-00002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B63" authorId="0" shapeId="0" xr:uid="{00000000-0006-0000-0900-00002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C63" authorId="0" shapeId="0" xr:uid="{00000000-0006-0000-0900-00002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F63" authorId="0" shapeId="0" xr:uid="{00000000-0006-0000-0900-00002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G63" authorId="0" shapeId="0" xr:uid="{00000000-0006-0000-0900-00002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B72" authorId="0" shapeId="0" xr:uid="{00000000-0006-0000-0900-00002B000000}">
      <text>
        <r>
          <rPr>
            <b/>
            <sz val="9"/>
            <color indexed="81"/>
            <rFont val="Tahoma"/>
            <family val="2"/>
          </rPr>
          <t>Hrs already included in NIRO S/T &amp; O/T</t>
        </r>
      </text>
    </comment>
    <comment ref="D72" authorId="0" shapeId="0" xr:uid="{00000000-0006-0000-0900-00002C000000}">
      <text>
        <r>
          <rPr>
            <b/>
            <sz val="9"/>
            <color indexed="81"/>
            <rFont val="Tahoma"/>
            <family val="2"/>
          </rPr>
          <t>96 days x ($35.78 x 1.02) x 12 hrs/day x 1.5 OT)</t>
        </r>
      </text>
    </comment>
    <comment ref="H80" authorId="1" shapeId="0" xr:uid="{00000000-0006-0000-0900-00002D000000}">
      <text>
        <r>
          <rPr>
            <sz val="8"/>
            <color indexed="81"/>
            <rFont val="Tahoma"/>
            <family val="2"/>
          </rPr>
          <t>Per D. Kessler shipping and bagging credit worksheet method</t>
        </r>
      </text>
    </comment>
    <comment ref="H83" authorId="0" shapeId="0" xr:uid="{00000000-0006-0000-0900-00002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1,617 hrs</t>
        </r>
        <r>
          <rPr>
            <sz val="9"/>
            <color indexed="81"/>
            <rFont val="Tahoma"/>
            <family val="2"/>
          </rPr>
          <t xml:space="preserve"> bagging (20,700,000 lbs at 12,800 lbs per hr)
10,377 hrs total
Historically approx. 6 to 6.5 FTE's assigned to shipping &amp; bagging labor. Reasonableness check as follows:
12,510 hrs / 2,080 hrs per yr per FTE = 6.0 FTEs</t>
        </r>
      </text>
    </comment>
    <comment ref="H84" authorId="0" shapeId="0" xr:uid="{00000000-0006-0000-0900-00002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5" authorId="0" shapeId="0" xr:uid="{00000000-0006-0000-0900-00003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20,700,000 lbs at 12,800 lbs/hr
12,800 lbs/hr=4 bags/hr at 3,200 lbs ea, or 0.25 hrs/bag.</t>
        </r>
      </text>
    </comment>
    <comment ref="F150" authorId="0" shapeId="0" xr:uid="{00000000-0006-0000-0900-00003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3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 
17.5M Original per J. Campbell
+4.6M NRT IND moved from NI RC
-8.0M CB Lite moved to NI RC</t>
        </r>
      </text>
    </comment>
    <comment ref="B38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Purchases</t>
        </r>
      </text>
    </comment>
    <comment ref="B39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Transfers U106 to U102</t>
        </r>
      </text>
    </comment>
    <comment ref="C43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3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3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3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AU43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Sep17 actual</t>
        </r>
      </text>
    </comment>
    <comment ref="G44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45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Nov17 actual</t>
        </r>
      </text>
    </comment>
    <comment ref="B46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6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6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6" authorId="0" shapeId="0" xr:uid="{00000000-0006-0000-0A00-00000F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7" authorId="0" shapeId="0" xr:uid="{00000000-0006-0000-0A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7" authorId="0" shapeId="0" xr:uid="{00000000-0006-0000-0A00-000011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7" authorId="0" shapeId="0" xr:uid="{00000000-0006-0000-0A00-000012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7" authorId="0" shapeId="0" xr:uid="{00000000-0006-0000-0A00-000013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7" authorId="0" shapeId="0" xr:uid="{00000000-0006-0000-0A00-000014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7" authorId="0" shapeId="0" xr:uid="{00000000-0006-0000-0A00-000015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8" authorId="0" shapeId="0" xr:uid="{00000000-0006-0000-0A00-00001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C48" authorId="0" shapeId="0" xr:uid="{00000000-0006-0000-0A00-000017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E48" authorId="0" shapeId="0" xr:uid="{00000000-0006-0000-0A00-000018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8" authorId="0" shapeId="0" xr:uid="{00000000-0006-0000-0A00-000019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I48" authorId="0" shapeId="0" xr:uid="{00000000-0006-0000-0A00-00001A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K48" authorId="0" shapeId="0" xr:uid="{00000000-0006-0000-0A00-00001B000000}">
      <text>
        <r>
          <rPr>
            <b/>
            <sz val="9"/>
            <color indexed="81"/>
            <rFont val="Tahoma"/>
            <family val="2"/>
          </rPr>
          <t>Same as CEP/CL/HP</t>
        </r>
      </text>
    </comment>
    <comment ref="B49" authorId="0" shapeId="0" xr:uid="{00000000-0006-0000-0A00-00001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E49" authorId="0" shapeId="0" xr:uid="{00000000-0006-0000-0A00-00001D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49" authorId="0" shapeId="0" xr:uid="{00000000-0006-0000-0A00-00001E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50" authorId="0" shapeId="0" xr:uid="{00000000-0006-0000-0A00-00001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E50" authorId="0" shapeId="0" xr:uid="{00000000-0006-0000-0A00-000020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G50" authorId="0" shapeId="0" xr:uid="{00000000-0006-0000-0A00-000021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51" authorId="0" shapeId="0" xr:uid="{00000000-0006-0000-0A00-00002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Oct17 actual</t>
        </r>
      </text>
    </comment>
    <comment ref="I51" authorId="0" shapeId="0" xr:uid="{00000000-0006-0000-0A00-000023000000}">
      <text>
        <r>
          <rPr>
            <b/>
            <sz val="9"/>
            <color indexed="81"/>
            <rFont val="Tahoma"/>
            <family val="2"/>
          </rPr>
          <t>Jan-Oct 17 Actual</t>
        </r>
      </text>
    </comment>
    <comment ref="B62" authorId="0" shapeId="0" xr:uid="{00000000-0006-0000-0A00-00002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45 total as of 10/31/17
53 total per 2017 std (33 NIRO + 20 KS).
Reduction of 8 taken from NIRO (33-8=25)</t>
        </r>
      </text>
    </comment>
    <comment ref="C62" authorId="0" shapeId="0" xr:uid="{00000000-0006-0000-0A00-00002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F62" authorId="0" shapeId="0" xr:uid="{00000000-0006-0000-0A00-00002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16 total as of 10/31/17
15 total per 2017 std (11 NIRO + 4 KS).
Increase of 1 added to NIRO (11+1=12)</t>
        </r>
      </text>
    </comment>
    <comment ref="G62" authorId="0" shapeId="0" xr:uid="{00000000-0006-0000-0A00-00002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Assumed same as 2017 std.</t>
        </r>
      </text>
    </comment>
    <comment ref="B63" authorId="0" shapeId="0" xr:uid="{00000000-0006-0000-0A00-00002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C63" authorId="0" shapeId="0" xr:uid="{00000000-0006-0000-0A00-00002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F63" authorId="0" shapeId="0" xr:uid="{00000000-0006-0000-0A00-00002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G63" authorId="0" shapeId="0" xr:uid="{00000000-0006-0000-0A00-00002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</t>
        </r>
      </text>
    </comment>
    <comment ref="B72" authorId="0" shapeId="0" xr:uid="{00000000-0006-0000-0A00-00002C000000}">
      <text>
        <r>
          <rPr>
            <b/>
            <sz val="9"/>
            <color indexed="81"/>
            <rFont val="Tahoma"/>
            <family val="2"/>
          </rPr>
          <t>Hrs already included in NIRO S/T &amp; O/T</t>
        </r>
      </text>
    </comment>
    <comment ref="D72" authorId="0" shapeId="0" xr:uid="{00000000-0006-0000-0A00-00002D000000}">
      <text>
        <r>
          <rPr>
            <b/>
            <sz val="9"/>
            <color indexed="81"/>
            <rFont val="Tahoma"/>
            <family val="2"/>
          </rPr>
          <t>96 days x ($35.78 x 1.02) x 12 hrs/day x 1.5 OT)</t>
        </r>
      </text>
    </comment>
    <comment ref="H80" authorId="1" shapeId="0" xr:uid="{00000000-0006-0000-0A00-00002E000000}">
      <text>
        <r>
          <rPr>
            <sz val="8"/>
            <color indexed="81"/>
            <rFont val="Tahoma"/>
            <family val="2"/>
          </rPr>
          <t>Per D. Kessler shipping and bagging credit worksheet method</t>
        </r>
      </text>
    </comment>
    <comment ref="H83" authorId="0" shapeId="0" xr:uid="{00000000-0006-0000-0A00-00002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1,617 hrs</t>
        </r>
        <r>
          <rPr>
            <sz val="9"/>
            <color indexed="81"/>
            <rFont val="Tahoma"/>
            <family val="2"/>
          </rPr>
          <t xml:space="preserve"> bagging (20,700,000 lbs at 12,800 lbs per hr)
10,377 hrs total
Historically approx. 6 to 6.5 FTE's assigned to shipping &amp; bagging labor. Reasonableness check as follows:
12,510 hrs / 2,080 hrs per yr per FTE = 6.0 FTEs</t>
        </r>
      </text>
    </comment>
    <comment ref="H84" authorId="0" shapeId="0" xr:uid="{00000000-0006-0000-0A00-00003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5" authorId="0" shapeId="0" xr:uid="{00000000-0006-0000-0A00-00003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20,700,000 lbs at 12,800 lbs/hr
12,800 lbs/hr=4 bags/hr at 3,200 lbs ea, or 0.25 hrs/bag.</t>
        </r>
      </text>
    </comment>
    <comment ref="F150" authorId="0" shapeId="0" xr:uid="{00000000-0006-0000-0A00-00003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assumed same as 2017 std.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</authors>
  <commentList>
    <comment ref="K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O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  <comment ref="AA2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AE2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  <comment ref="AP2" authorId="0" shapeId="0" xr:uid="{00000000-0006-0000-0B00-000005000000}">
      <text>
        <r>
          <rPr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target qty"</t>
        </r>
      </text>
    </comment>
    <comment ref="AQ2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AU2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  <comment ref="BF2" authorId="0" shapeId="0" xr:uid="{00000000-0006-0000-0B00-000008000000}">
      <text>
        <r>
          <rPr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target qty"</t>
        </r>
      </text>
    </comment>
    <comment ref="BG2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BK2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  <comment ref="BW2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CA2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  <comment ref="CM2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CQ2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  <comment ref="DC2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 xml:space="preserve">Std Qty x Std Unit Cost
</t>
        </r>
        <r>
          <rPr>
            <sz val="9"/>
            <color indexed="81"/>
            <rFont val="Tahoma"/>
            <family val="2"/>
          </rPr>
          <t>(SAP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Tahoma"/>
            <family val="2"/>
          </rPr>
          <t>Total tgt costs")</t>
        </r>
      </text>
    </comment>
    <comment ref="DG2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 xml:space="preserve">Act Qty x Std Unit Cost
</t>
        </r>
        <r>
          <rPr>
            <sz val="9"/>
            <color indexed="81"/>
            <rFont val="Tahoma"/>
            <family val="2"/>
          </rPr>
          <t>(SAP "Total ctrl cost")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38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9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C43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AP43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$0.1425 MCI 2016 actual cost + $0.01 hauling to EUF.
Note: EUF bauxite pellets inventory avg cost/lb $0.142 excludes $0.012/lb MCI under-absorption.</t>
        </r>
      </text>
    </comment>
    <comment ref="B45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2017 Std: used Nov '16 purchase price
2016 Std:
$1.41/lb Dupont (62.5%)
$1.20/lb ALP (37.5%)</t>
        </r>
      </text>
    </comment>
    <comment ref="B46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Nov '16 purchase price</t>
        </r>
      </text>
    </comment>
    <comment ref="B47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Avg of Sep-Nov '16 purchases</t>
        </r>
      </text>
    </comment>
    <comment ref="B48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Sep '16 purchase price</t>
        </r>
      </text>
    </comment>
    <comment ref="B49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Oct '16 purchase price</t>
        </r>
      </text>
    </comment>
    <comment ref="D70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NIRO:
96 days x (34.91 x 1.03) x 12 hrs/day x 1.5 OT)</t>
        </r>
      </text>
    </comment>
    <comment ref="H78" authorId="1" shapeId="0" xr:uid="{00000000-0006-0000-0E00-00000C000000}">
      <text>
        <r>
          <rPr>
            <sz val="8"/>
            <color indexed="81"/>
            <rFont val="Tahoma"/>
            <family val="2"/>
          </rPr>
          <t>Per D. Kessler shipping and bagging credit worksheet</t>
        </r>
      </text>
    </comment>
    <comment ref="H8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3,750 hrs</t>
        </r>
        <r>
          <rPr>
            <sz val="9"/>
            <color indexed="81"/>
            <rFont val="Tahoma"/>
            <family val="2"/>
          </rPr>
          <t xml:space="preserve"> bagging (48,000,000 lbs at 12,800 lbs per hr)
12,510 hrs total
Historically approx. 6 to 6.5 FTE's assigned to shipping &amp; bagging labor. Reasonableness check as follows:
12,510 hrs / 2,080 hrs per yr per FTE = 6.0 FTEs</t>
        </r>
      </text>
    </comment>
    <comment ref="H82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3" authorId="0" shapeId="0" xr:uid="{00000000-0006-0000-0E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48,000,000 lbs at 12,800 lbs/hr
12,800 lbs/hr=4 bags/hr at 3,200 lbs ea, or 0.25 hrs/bag.</t>
        </r>
      </text>
    </comment>
    <comment ref="F148" authorId="0" shapeId="0" xr:uid="{00000000-0006-0000-0E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6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8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9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C43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AP43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$0.1425 MCI 2016 actual cost + $0.01 hauling to EUF.
Note: EUF bauxite pellets inventory avg cost/lb $0.142 excludes $0.012/lb MCI under-absorption.</t>
        </r>
      </text>
    </comment>
    <comment ref="B45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2017 Std: used Nov '16 purchase price
2016 Std:
$1.41/lb Dupont (62.5%)
$1.20/lb ALP (37.5%)</t>
        </r>
      </text>
    </comment>
    <comment ref="B46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Nov '16 purchase price</t>
        </r>
      </text>
    </comment>
    <comment ref="B47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Avg of Sep-Nov '16 purchases</t>
        </r>
      </text>
    </comment>
    <comment ref="B48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Sep '16 purchase price</t>
        </r>
      </text>
    </comment>
    <comment ref="B49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Oct '16 purchase price</t>
        </r>
      </text>
    </comment>
    <comment ref="D70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NIRO:
96 days x (34.91 x 1.03) x 12 hrs/day x 1.5 OT)</t>
        </r>
      </text>
    </comment>
    <comment ref="H78" authorId="1" shapeId="0" xr:uid="{00000000-0006-0000-0F00-00000D000000}">
      <text>
        <r>
          <rPr>
            <sz val="8"/>
            <color indexed="81"/>
            <rFont val="Tahoma"/>
            <family val="2"/>
          </rPr>
          <t>Per D. Kessler shipping and bagging credit worksheet</t>
        </r>
      </text>
    </comment>
    <comment ref="H8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3,750 hrs</t>
        </r>
        <r>
          <rPr>
            <sz val="9"/>
            <color indexed="81"/>
            <rFont val="Tahoma"/>
            <family val="2"/>
          </rPr>
          <t xml:space="preserve"> bagging (48,000,000 lbs at 12,800 lbs per hr)
12,510 hrs total
Historically approx. 6 to 6.5 FTE's assigned to shipping &amp; bagging labor. Reasonableness check as follows:
12,510 hrs / 2,080 hrs per yr per FTE = 6.0 FTEs</t>
        </r>
      </text>
    </comment>
    <comment ref="H82" authorId="0" shapeId="0" xr:uid="{00000000-0006-0000-0F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3" authorId="0" shapeId="0" xr:uid="{00000000-0006-0000-0F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48,000,000 lbs at 12,800 lbs/hr
12,800 lbs/hr=4 bags/hr at 3,200 lbs ea, or 0.25 hrs/bag.</t>
        </r>
      </text>
    </comment>
    <comment ref="F148" authorId="0" shapeId="0" xr:uid="{00000000-0006-0000-0F00-00001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6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8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9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C43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AP43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$0.1425 MCI 2016 actual cost + $0.01 hauling to EUF.
Note: EUF bauxite pellets inventory avg cost/lb $0.142 excludes $0.012/lb MCI under-absorption.</t>
        </r>
      </text>
    </comment>
    <comment ref="B45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2017 Std: used Nov '16 purchase price
2016 Std:
$1.41/lb Dupont (62.5%)
$1.20/lb ALP (37.5%)</t>
        </r>
      </text>
    </comment>
    <comment ref="B46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Nov '16 purchase price</t>
        </r>
      </text>
    </comment>
    <comment ref="B47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Avg of Sep-Nov '16 purchases</t>
        </r>
      </text>
    </comment>
    <comment ref="B48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Sep '16 purchase price</t>
        </r>
      </text>
    </comment>
    <comment ref="B49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Oct '16 purchase price</t>
        </r>
      </text>
    </comment>
    <comment ref="B6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C6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F6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G61" authorId="0" shapeId="0" xr:uid="{00000000-0006-0000-10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D70" authorId="0" shapeId="0" xr:uid="{00000000-0006-0000-1000-000010000000}">
      <text>
        <r>
          <rPr>
            <b/>
            <sz val="9"/>
            <color indexed="81"/>
            <rFont val="Tahoma"/>
            <family val="2"/>
          </rPr>
          <t>NIRO:
96 days x (34.91 x 1.03) x 12 hrs/day x 1.5 OT)</t>
        </r>
      </text>
    </comment>
    <comment ref="H78" authorId="1" shapeId="0" xr:uid="{00000000-0006-0000-1000-000011000000}">
      <text>
        <r>
          <rPr>
            <sz val="8"/>
            <color indexed="81"/>
            <rFont val="Tahoma"/>
            <family val="2"/>
          </rPr>
          <t>Per D. Kessler shipping and bagging credit worksheet</t>
        </r>
      </text>
    </comment>
    <comment ref="H81" authorId="0" shapeId="0" xr:uid="{00000000-0006-0000-1000-00001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3,750 hrs</t>
        </r>
        <r>
          <rPr>
            <sz val="9"/>
            <color indexed="81"/>
            <rFont val="Tahoma"/>
            <family val="2"/>
          </rPr>
          <t xml:space="preserve"> bagging (48,000,000 lbs at 12,800 lbs per hr)
12,510 hrs total
Historically approx. 6 to 6.5 FTE's assigned to shipping &amp; bagging labor. Reasonableness check as follows:
12,510 hrs / 2,080 hrs per yr per FTE = 6.0 FTEs</t>
        </r>
      </text>
    </comment>
    <comment ref="H82" authorId="0" shapeId="0" xr:uid="{00000000-0006-0000-1000-00001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3" authorId="0" shapeId="0" xr:uid="{00000000-0006-0000-1000-00001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48,000,000 lbs at 12,800 lbs/hr
12,800 lbs/hr=4 bags/hr at 3,200 lbs ea, or 0.25 hrs/bag.</t>
        </r>
      </text>
    </comment>
    <comment ref="F148" authorId="0" shapeId="0" xr:uid="{00000000-0006-0000-1000-00001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8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9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43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Reduced to reflect Apr-17 expected cost savings per E. Bautista &amp; R. Riffey</t>
        </r>
      </text>
    </comment>
    <comment ref="C43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AP43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$0.1425 MCI 2016 actual cost + $0.01 hauling to EUF.
Note: EUF bauxite pellets inventory avg cost/lb $0.142 excludes $0.012/lb MCI under-absorption.</t>
        </r>
      </text>
    </comment>
    <comment ref="B45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2017 Std: used Nov '16 purchase price
2016 Std:
$1.41/lb Dupont (62.5%)
$1.20/lb ALP (37.5%)</t>
        </r>
      </text>
    </comment>
    <comment ref="B46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Nov '16 purchase price</t>
        </r>
      </text>
    </comment>
    <comment ref="B47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Avg of Sep-Nov '16 purchases</t>
        </r>
      </text>
    </comment>
    <comment ref="B48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Reduced to reflect Apr-17 expected cost savings per E. Bautista &amp; R. Riffey</t>
        </r>
      </text>
    </comment>
    <comment ref="B49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Reduced to reflect Apr-17 expected cost savings per E. Bautista &amp; R. Riffey</t>
        </r>
      </text>
    </comment>
    <comment ref="B6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C6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F61" authorId="0" shapeId="0" xr:uid="{00000000-0006-0000-11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G61" authorId="0" shapeId="0" xr:uid="{00000000-0006-0000-11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D70" authorId="0" shapeId="0" xr:uid="{00000000-0006-0000-1100-000011000000}">
      <text>
        <r>
          <rPr>
            <b/>
            <sz val="9"/>
            <color indexed="81"/>
            <rFont val="Tahoma"/>
            <family val="2"/>
          </rPr>
          <t>NIRO:
96 days x (34.91 x 1.03) x 12 hrs/day x 1.5 OT)</t>
        </r>
      </text>
    </comment>
    <comment ref="H78" authorId="1" shapeId="0" xr:uid="{00000000-0006-0000-1100-000012000000}">
      <text>
        <r>
          <rPr>
            <sz val="8"/>
            <color indexed="81"/>
            <rFont val="Tahoma"/>
            <family val="2"/>
          </rPr>
          <t>Per D. Kessler shipping and bagging credit worksheet</t>
        </r>
      </text>
    </comment>
    <comment ref="H81" authorId="0" shapeId="0" xr:uid="{00000000-0006-0000-1100-00001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3,750 hrs</t>
        </r>
        <r>
          <rPr>
            <sz val="9"/>
            <color indexed="81"/>
            <rFont val="Tahoma"/>
            <family val="2"/>
          </rPr>
          <t xml:space="preserve"> bagging (48,000,000 lbs at 12,800 lbs per hr)
12,510 hrs total
Historically approx. 6 to 6.5 FTE's assigned to shipping &amp; bagging labor. Reasonableness check as follows:
12,510 hrs / 2,080 hrs per yr per FTE = 6.0 FTEs</t>
        </r>
      </text>
    </comment>
    <comment ref="H82" authorId="0" shapeId="0" xr:uid="{00000000-0006-0000-1100-00001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3" authorId="0" shapeId="0" xr:uid="{00000000-0006-0000-1100-00001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48,000,000 lbs at 12,800 lbs/hr
12,800 lbs/hr=4 bags/hr at 3,200 lbs ea, or 0.25 hrs/bag.</t>
        </r>
      </text>
    </comment>
    <comment ref="F148" authorId="0" shapeId="0" xr:uid="{00000000-0006-0000-1100-00001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8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39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B43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Reduced to reflect Apr-17 expected cost savings per E. Bautista &amp; R. Riffey</t>
        </r>
      </text>
    </comment>
    <comment ref="C43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Reduced cost in 2017 per R. Riffey &amp; E. Bautista</t>
        </r>
      </text>
    </comment>
    <comment ref="AP43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majority of 10/31/16 inventory stockpiled at mine at $0.011/lb avg.  Used $0.014/lb avg cost at EUF plant, which include hauling from mine. </t>
        </r>
      </text>
    </comment>
    <comment ref="B44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$0.1425 MCI 2016 actual cost + $0.01 hauling to EUF.
Note: EUF bauxite pellets inventory avg cost/lb $0.142 excludes $0.012/lb MCI under-absorption.</t>
        </r>
      </text>
    </comment>
    <comment ref="B45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2017 Std: used Nov '16 purchase price
2016 Std:
$1.41/lb Dupont (62.5%)
$1.20/lb ALP (37.5%)</t>
        </r>
      </text>
    </comment>
    <comment ref="B46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Nov '16 purchase price</t>
        </r>
      </text>
    </comment>
    <comment ref="B47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Avg of Sep-Nov '16 purchases</t>
        </r>
      </text>
    </comment>
    <comment ref="B48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Reduced to reflect Apr-17 expected cost savings per E. Bautista &amp; R. Riffey</t>
        </r>
      </text>
    </comment>
    <comment ref="B49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Reduced to reflect Apr-17 expected cost savings per E. Bautista &amp; R. Riffey</t>
        </r>
      </text>
    </comment>
    <comment ref="B6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C6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F61" authorId="0" shapeId="0" xr:uid="{00000000-0006-0000-12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G61" authorId="0" shapeId="0" xr:uid="{00000000-0006-0000-12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  <comment ref="D70" authorId="0" shapeId="0" xr:uid="{00000000-0006-0000-1200-000011000000}">
      <text>
        <r>
          <rPr>
            <b/>
            <sz val="9"/>
            <color indexed="81"/>
            <rFont val="Tahoma"/>
            <family val="2"/>
          </rPr>
          <t>NIRO:
96 days x (34.91 x 1.03) x 12 hrs/day x 1.5 OT)</t>
        </r>
      </text>
    </comment>
    <comment ref="H78" authorId="1" shapeId="0" xr:uid="{00000000-0006-0000-1200-000012000000}">
      <text>
        <r>
          <rPr>
            <sz val="8"/>
            <color indexed="81"/>
            <rFont val="Tahoma"/>
            <family val="2"/>
          </rPr>
          <t>Per D. Kessler shipping and bagging credit worksheet</t>
        </r>
      </text>
    </comment>
    <comment ref="H81" authorId="0" shapeId="0" xr:uid="{00000000-0006-0000-1200-00001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3,750 hrs</t>
        </r>
        <r>
          <rPr>
            <sz val="9"/>
            <color indexed="81"/>
            <rFont val="Tahoma"/>
            <family val="2"/>
          </rPr>
          <t xml:space="preserve"> bagging (48,000,000 lbs at 12,800 lbs per hr)
12,510 hrs total
Historically approx. 6 to 6.5 FTE's assigned to shipping &amp; bagging labor. Reasonableness check as follows:
12,510 hrs / 2,080 hrs per yr per FTE = 6.0 FTEs</t>
        </r>
      </text>
    </comment>
    <comment ref="H82" authorId="0" shapeId="0" xr:uid="{00000000-0006-0000-1200-00001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3" authorId="0" shapeId="0" xr:uid="{00000000-0006-0000-1200-00001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48,000,000 lbs at 12,800 lbs/hr
12,800 lbs/hr=4 bags/hr at 3,200 lbs ea, or 0.25 hrs/bag.</t>
        </r>
      </text>
    </comment>
    <comment ref="F148" authorId="0" shapeId="0" xr:uid="{00000000-0006-0000-1200-00001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2% increase per EBIII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mthomas</author>
  </authors>
  <commentList>
    <comment ref="B45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$1.41/lb Dupont (62.5%
$1.20/lb ALP (37.5%)</t>
        </r>
      </text>
    </comment>
    <comment ref="B6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Includes 3% increase Feb '16</t>
        </r>
      </text>
    </comment>
    <comment ref="F6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Includes 3% increase Feb '16</t>
        </r>
      </text>
    </comment>
    <comment ref="D70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NIRO:
96 days x (34.91 x 1.03) x 12 hrs/day x 1.5 OT)</t>
        </r>
      </text>
    </comment>
    <comment ref="H78" authorId="1" shapeId="0" xr:uid="{00000000-0006-0000-1600-000005000000}">
      <text>
        <r>
          <rPr>
            <sz val="8"/>
            <color indexed="81"/>
            <rFont val="Tahoma"/>
            <family val="2"/>
          </rPr>
          <t>Per D. Kessler shipping and bagging credit worksheet</t>
        </r>
      </text>
    </comment>
    <comment ref="H8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Shipping &amp; Bagging Labor as follows:
 8,760 hrs shiipping (1 FTE x 365 days x 24 hrs per day)
</t>
        </r>
        <r>
          <rPr>
            <u/>
            <sz val="9"/>
            <color indexed="81"/>
            <rFont val="Tahoma"/>
            <family val="2"/>
          </rPr>
          <t xml:space="preserve"> 3,750 hrs</t>
        </r>
        <r>
          <rPr>
            <sz val="9"/>
            <color indexed="81"/>
            <rFont val="Tahoma"/>
            <family val="2"/>
          </rPr>
          <t xml:space="preserve"> bagging (48,000,000 lbs at 12,800 lbs per hr)
12,510 hrs total
Historically approx. 6 to 6.5 FTE's assigned to shipping &amp; bagging labor. Reasonableness check as follows:
12,510 hrs / 2,080 hrs per yr per FTE = 6.0 FTEs</t>
        </r>
      </text>
    </comment>
    <comment ref="H82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1 FTE 365 days/yr x 24 hrs/day</t>
        </r>
      </text>
    </comment>
    <comment ref="H83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48,000,000 lbs at 12,800 lbs/hr
12,800 lbs/hr=4 bags/hr at 3,200 lbs ea, or 0.25 hrs/bag.</t>
        </r>
      </text>
    </comment>
  </commentList>
</comments>
</file>

<file path=xl/sharedStrings.xml><?xml version="1.0" encoding="utf-8"?>
<sst xmlns="http://schemas.openxmlformats.org/spreadsheetml/2006/main" count="8833" uniqueCount="596">
  <si>
    <t xml:space="preserve"> </t>
  </si>
  <si>
    <t>Unit Qty</t>
  </si>
  <si>
    <t>UOM</t>
  </si>
  <si>
    <t>Total Cost</t>
  </si>
  <si>
    <t>Materials</t>
  </si>
  <si>
    <t>Electricity</t>
  </si>
  <si>
    <t>kwh</t>
  </si>
  <si>
    <t>ELE01</t>
  </si>
  <si>
    <t>Gas</t>
  </si>
  <si>
    <t>mbtu</t>
  </si>
  <si>
    <t>GAS01</t>
  </si>
  <si>
    <t>R&amp;M Supplies and Service</t>
  </si>
  <si>
    <t>lb</t>
  </si>
  <si>
    <t>RMS01</t>
  </si>
  <si>
    <t>Manufacturing Supplies</t>
  </si>
  <si>
    <t>MFG01</t>
  </si>
  <si>
    <t>Other variable</t>
  </si>
  <si>
    <t>VAR01</t>
  </si>
  <si>
    <t>Production Labor</t>
  </si>
  <si>
    <t>hr</t>
  </si>
  <si>
    <t>DLAB01</t>
  </si>
  <si>
    <t>Repairs &amp; Maintenance Labor</t>
  </si>
  <si>
    <t>MLAB01</t>
  </si>
  <si>
    <t>Indirect Payroll Costs (Benefits)</t>
  </si>
  <si>
    <t>IPC01</t>
  </si>
  <si>
    <t>Supervision</t>
  </si>
  <si>
    <t>SUP01</t>
  </si>
  <si>
    <t>Insurance &amp; Taxes</t>
  </si>
  <si>
    <t>INS01</t>
  </si>
  <si>
    <t>Depreciation</t>
  </si>
  <si>
    <t>DEP01</t>
  </si>
  <si>
    <t>Excl. Raw Matl</t>
  </si>
  <si>
    <t>Incl. Raw Matl</t>
  </si>
  <si>
    <t>Bulk Prodn lbs</t>
  </si>
  <si>
    <t>Variable Costs - Material</t>
  </si>
  <si>
    <t>Purchase Price/lb * Yield Factor * Scrap Factor * Mix = Std. Cost Contribution</t>
  </si>
  <si>
    <t>Product Split</t>
  </si>
  <si>
    <t>Price ($/NT)</t>
  </si>
  <si>
    <t>Ratio/Mix</t>
  </si>
  <si>
    <t>Materials:</t>
  </si>
  <si>
    <t>Price ($/lb)</t>
  </si>
  <si>
    <t>Yield Factor</t>
  </si>
  <si>
    <t>Standard Cost Contribution</t>
  </si>
  <si>
    <t>$/lb</t>
  </si>
  <si>
    <t xml:space="preserve">  Chemical</t>
  </si>
  <si>
    <t xml:space="preserve">      Total Material Cost Per Pound</t>
  </si>
  <si>
    <t>R&amp;M Labor</t>
  </si>
  <si>
    <t>R &amp; M Labor</t>
  </si>
  <si>
    <t>Equiv. Hrs.</t>
  </si>
  <si>
    <t>Rates</t>
  </si>
  <si>
    <t>Gross Pay</t>
  </si>
  <si>
    <t>Shipping &amp; Bagging Labor Per D. Kessler:</t>
  </si>
  <si>
    <t>Benefits</t>
  </si>
  <si>
    <t>Hours</t>
  </si>
  <si>
    <t>Shipping</t>
  </si>
  <si>
    <t>Bagging</t>
  </si>
  <si>
    <t>Variable Costs - Utilities</t>
  </si>
  <si>
    <t>Capital Equipments (RV)</t>
  </si>
  <si>
    <t>R&amp;M as % of Capital</t>
  </si>
  <si>
    <t xml:space="preserve">      Total R&amp;M Supplies</t>
  </si>
  <si>
    <t>Other Consumables (nozzles, screens, shotgun shells)</t>
  </si>
  <si>
    <t xml:space="preserve">      Total Manufacturing Supplies</t>
  </si>
  <si>
    <t>Equip. Rental, Trash Removal, Sewerage, Water, Fuel</t>
  </si>
  <si>
    <t xml:space="preserve">     Total Other Variables</t>
  </si>
  <si>
    <t>Fixed Costs:</t>
  </si>
  <si>
    <t>Plant Utilization Ratio * Annual Cost * Planned Production = Std. Cost Contribution (Fixed)</t>
  </si>
  <si>
    <t>Plant Utilization Ratio</t>
  </si>
  <si>
    <t>Monthly Expenses</t>
  </si>
  <si>
    <t>Annualized Expenses</t>
  </si>
  <si>
    <t>Std. Cost Contribution</t>
  </si>
  <si>
    <t xml:space="preserve">      Total Fixed Costs Per Pound</t>
  </si>
  <si>
    <t>Labor Cost Details</t>
  </si>
  <si>
    <t>Production wks</t>
  </si>
  <si>
    <t>Hours Per wks</t>
  </si>
  <si>
    <t>Overtime Rate</t>
  </si>
  <si>
    <t>630015</t>
  </si>
  <si>
    <t>630000</t>
  </si>
  <si>
    <t>631050</t>
  </si>
  <si>
    <t>see below</t>
  </si>
  <si>
    <t>DLAB01 (s/t)</t>
  </si>
  <si>
    <t>611030</t>
  </si>
  <si>
    <t>DLAB01 (o/t)</t>
  </si>
  <si>
    <t>610210</t>
  </si>
  <si>
    <t>MLAB01 (s/t)</t>
  </si>
  <si>
    <t>611040</t>
  </si>
  <si>
    <t>MLAB01 (o/t)</t>
  </si>
  <si>
    <t>610215</t>
  </si>
  <si>
    <t>IPC01 (vac)</t>
  </si>
  <si>
    <t>610220</t>
  </si>
  <si>
    <t>IPC01 (hol)</t>
  </si>
  <si>
    <t>610510</t>
  </si>
  <si>
    <t>IPC01 (401k)</t>
  </si>
  <si>
    <t>610600</t>
  </si>
  <si>
    <t>IPC01 (ins)</t>
  </si>
  <si>
    <t>610610</t>
  </si>
  <si>
    <t>IPC01 (tax)</t>
  </si>
  <si>
    <t>612000</t>
  </si>
  <si>
    <t>IPC01 (w/c)</t>
  </si>
  <si>
    <t>612100</t>
  </si>
  <si>
    <t>611000</t>
  </si>
  <si>
    <t>658000</t>
  </si>
  <si>
    <t>640001</t>
  </si>
  <si>
    <t>15 Standard</t>
  </si>
  <si>
    <t>(Jan-Jul)</t>
  </si>
  <si>
    <t>15 Actual</t>
  </si>
  <si>
    <t>KRYPTOSPHERE</t>
  </si>
  <si>
    <t>EUFAULA STANDARD</t>
  </si>
  <si>
    <t>Total</t>
  </si>
  <si>
    <t>16 Standard</t>
  </si>
  <si>
    <t>KS</t>
  </si>
  <si>
    <t>HP</t>
  </si>
  <si>
    <t>EP</t>
  </si>
  <si>
    <t>CL</t>
  </si>
  <si>
    <t>Millen</t>
  </si>
  <si>
    <t>Toomsboro</t>
  </si>
  <si>
    <t>Eufaula</t>
  </si>
  <si>
    <t>2016 Production Plan (000 lbs)</t>
  </si>
  <si>
    <t>Annualized</t>
  </si>
  <si>
    <t>ULTRALITE - SG 30/50</t>
  </si>
  <si>
    <t>ULTRALITE - SG 20/40</t>
  </si>
  <si>
    <t>KRYPTOSPHERE LD</t>
  </si>
  <si>
    <t>KRYPTOSPHERE HD (H) ULTRALITE 25</t>
  </si>
  <si>
    <t>KRYPTOSPHERE HD (H) 25</t>
  </si>
  <si>
    <t>KRYPTOSPHERE HD (B) 25</t>
  </si>
  <si>
    <t>HYDROPROP 40/80</t>
  </si>
  <si>
    <t>ECONO PROP 40/70</t>
  </si>
  <si>
    <t>ECONO PROP 30/50</t>
  </si>
  <si>
    <t>ECONO PROP 20/40</t>
  </si>
  <si>
    <t>CARBONRT CL 16/20</t>
  </si>
  <si>
    <t>CARBOLITE NRT 16/20</t>
  </si>
  <si>
    <t>CARBO ULTRALITE 20/40</t>
  </si>
  <si>
    <t>CARBO LITE 8/14</t>
  </si>
  <si>
    <t>CARBO LITE 40/70</t>
  </si>
  <si>
    <t>CARBO LITE 30/50</t>
  </si>
  <si>
    <t>CARBO LITE 20/40</t>
  </si>
  <si>
    <t>CARBO LITE 16/20</t>
  </si>
  <si>
    <t>CARBO LITE 12/18</t>
  </si>
  <si>
    <t>Mln %</t>
  </si>
  <si>
    <t>Tmb %</t>
  </si>
  <si>
    <t>Euf %</t>
  </si>
  <si>
    <t>2016 Sales Forecast</t>
  </si>
  <si>
    <t>Projected Inventory 12/31/15</t>
  </si>
  <si>
    <t>Inventory
7/31/15</t>
  </si>
  <si>
    <t>Aug-Dec '15
Projected
Sales lbs.</t>
  </si>
  <si>
    <t>2015
Sales lbs.
Annualized</t>
  </si>
  <si>
    <t>Jan-Jul '15
Sales lbs.</t>
  </si>
  <si>
    <t>Total
Jan-Jul '15
Prod lbs.</t>
  </si>
  <si>
    <t>Millen
Jan-Jul '15
Prod lbs.</t>
  </si>
  <si>
    <t>Toomsboro
Jan-Jul '15
Prod lbs.</t>
  </si>
  <si>
    <t>Eufaula
Jan-Jul '15
Prod lbs.</t>
  </si>
  <si>
    <t>Material</t>
  </si>
  <si>
    <t>Ttl Ship &amp; Bag</t>
  </si>
  <si>
    <t>Usage
(Unit/lb)</t>
  </si>
  <si>
    <t>Std. Cost
Contribution</t>
  </si>
  <si>
    <t>30015/U102</t>
  </si>
  <si>
    <t>30017/U102</t>
  </si>
  <si>
    <t>30011/U102</t>
  </si>
  <si>
    <t>30000/U102</t>
  </si>
  <si>
    <t>($ at S/T rate)</t>
  </si>
  <si>
    <t>NIRO</t>
  </si>
  <si>
    <t>IPC Rate</t>
  </si>
  <si>
    <t>Total Gross Pay</t>
  </si>
  <si>
    <t>Gross Pay Alloc to Production (Bulk &amp; Bag)</t>
  </si>
  <si>
    <t>Gross Pay Alloc to Bag Production</t>
  </si>
  <si>
    <t>Gross Pay Alloc to Bulk Production</t>
  </si>
  <si>
    <t>IPC Allocated to Production (Bulk &amp; Bag)</t>
  </si>
  <si>
    <t>IPC Allocated to Bag Production</t>
  </si>
  <si>
    <t>IPC Allocated to Bulk Production</t>
  </si>
  <si>
    <t>Pounds (000)</t>
  </si>
  <si>
    <t>Total Variable Costs</t>
  </si>
  <si>
    <t>Total Fixed Costs</t>
  </si>
  <si>
    <t>TOTAL COST PER POUND</t>
  </si>
  <si>
    <t>Dust Collector Bags ($.00056 / lb)</t>
  </si>
  <si>
    <t>Arcilla</t>
  </si>
  <si>
    <t>Weighted Average (LW)</t>
  </si>
  <si>
    <t>Raw Material:</t>
  </si>
  <si>
    <t>Production Plan:</t>
  </si>
  <si>
    <t>KSLD</t>
  </si>
  <si>
    <t>CARBO</t>
  </si>
  <si>
    <t>Std $ Contrib</t>
  </si>
  <si>
    <t>CaCL</t>
  </si>
  <si>
    <t>Ammonia</t>
  </si>
  <si>
    <t>Dispersant</t>
  </si>
  <si>
    <t>PVA</t>
  </si>
  <si>
    <t>Algenate</t>
  </si>
  <si>
    <t>Clay (Kaolin)</t>
  </si>
  <si>
    <t>NIRO (CEP/CL)</t>
  </si>
  <si>
    <t>CARBO Lite</t>
  </si>
  <si>
    <t>CARBO EconoProp</t>
  </si>
  <si>
    <t>Labor Cost Factors:</t>
  </si>
  <si>
    <t>Production</t>
  </si>
  <si>
    <t>Full Time Employees</t>
  </si>
  <si>
    <t>Labor Rate</t>
  </si>
  <si>
    <t>Overtime</t>
  </si>
  <si>
    <t>CEP/CL</t>
  </si>
  <si>
    <t>Straight Time Pay (NIRO)</t>
  </si>
  <si>
    <t>Straight Time Pay (KS)</t>
  </si>
  <si>
    <t>Overtime Pay (NIRO)</t>
  </si>
  <si>
    <t>Overtime Pay (KS)</t>
  </si>
  <si>
    <t>Additional OIC Pay (NIRO)</t>
  </si>
  <si>
    <t>Additional OIC Pay (KS)</t>
  </si>
  <si>
    <t>Less: IPC Allocated to Shipping (NIRO)</t>
  </si>
  <si>
    <t>Contract</t>
  </si>
  <si>
    <t>Spot</t>
  </si>
  <si>
    <t>Electricity (kwh) - NIRO</t>
  </si>
  <si>
    <t>Electricity (kwh) - KS</t>
  </si>
  <si>
    <t>Gas (mmbtu) - NIRO</t>
  </si>
  <si>
    <t>mmbtu</t>
  </si>
  <si>
    <t>Gas (mmbtu) - Kiln</t>
  </si>
  <si>
    <t>Gas (mmbtu) - Fluid Bed</t>
  </si>
  <si>
    <t>Total Electricity</t>
  </si>
  <si>
    <t>Total Gas</t>
  </si>
  <si>
    <t>Total Utilities</t>
  </si>
  <si>
    <t>price/mmbtu</t>
  </si>
  <si>
    <t>price/kwh</t>
  </si>
  <si>
    <t>Unit Price</t>
  </si>
  <si>
    <t>Cost Center 10001002 Total</t>
  </si>
  <si>
    <t>Less: Gross Pay (NIRO) Allocated to Shipping</t>
  </si>
  <si>
    <t>Variable Costs - R&amp;M Supplies, Mfg. Supplies &amp; Other</t>
  </si>
  <si>
    <t>KS Line 1</t>
  </si>
  <si>
    <t>Pre-KS Plant</t>
  </si>
  <si>
    <t>Aug15 Ytd</t>
  </si>
  <si>
    <t>Qty/1000 lbs</t>
  </si>
  <si>
    <t>Activity/Matl</t>
  </si>
  <si>
    <t>Bag Production (lbs in 000s)</t>
  </si>
  <si>
    <t>Cost Center 10001002 Bulk Production</t>
  </si>
  <si>
    <t>Account</t>
  </si>
  <si>
    <t>Acct %</t>
  </si>
  <si>
    <t>CEP/CL Qty</t>
  </si>
  <si>
    <t>KSLD Qty</t>
  </si>
  <si>
    <t>Total Qty</t>
  </si>
  <si>
    <t>30114/U102</t>
  </si>
  <si>
    <t>30170/U102</t>
  </si>
  <si>
    <t>Bauxite (Rusal)</t>
  </si>
  <si>
    <t>30008/U102</t>
  </si>
  <si>
    <t>VAR01 (fuel)</t>
  </si>
  <si>
    <t>VAR01 (sfty suppl)</t>
  </si>
  <si>
    <t>VAR01 (oth suppl)</t>
  </si>
  <si>
    <t>VAR01 (water)</t>
  </si>
  <si>
    <t>VAR01 (oth maint)</t>
  </si>
  <si>
    <t>VAR01 (sewer)</t>
  </si>
  <si>
    <t>VAR01 (trash rmvl)</t>
  </si>
  <si>
    <t>VAR01 (equip rent)</t>
  </si>
  <si>
    <t>VAR01 (oth exp)</t>
  </si>
  <si>
    <t>INS01 (prop tax)</t>
  </si>
  <si>
    <t>INS01 (insurance)</t>
  </si>
  <si>
    <t>DEP01 (land use)</t>
  </si>
  <si>
    <t>DEP01 (bldg)</t>
  </si>
  <si>
    <t>DEP01 (m&amp;e)</t>
  </si>
  <si>
    <t>DEP01 (vehicles)</t>
  </si>
  <si>
    <t>DEP01 (hardware)</t>
  </si>
  <si>
    <t>DEP01 (software)</t>
  </si>
  <si>
    <t>Jan10-Aug15 Yrly Avg</t>
  </si>
  <si>
    <t>Alternate DLAB01 Allocation per Product Line</t>
  </si>
  <si>
    <t>Alternate MLAB01 Allocation per Product Line</t>
  </si>
  <si>
    <t>Alternate IPC01 Allocation per Product Line</t>
  </si>
  <si>
    <t>2016 Depreciation Expense</t>
  </si>
  <si>
    <t>Std. Cost Contr. NIRO</t>
  </si>
  <si>
    <t>Std. Cost Contr. KS</t>
  </si>
  <si>
    <t>Kryptosphere</t>
  </si>
  <si>
    <t>Annual Depreciation</t>
  </si>
  <si>
    <t>Cost per Planned lb</t>
  </si>
  <si>
    <t>Planned Production (000 lbs)</t>
  </si>
  <si>
    <t>Plant Capacity (000 lbs)</t>
  </si>
  <si>
    <t>TOTAL PRODUCTION (000 lbs)</t>
  </si>
  <si>
    <t>TOTAL PLANT PRODUCTION (000 lbs)</t>
  </si>
  <si>
    <t>Depr alloc %</t>
  </si>
  <si>
    <t>Depr alloc lbs</t>
  </si>
  <si>
    <t>Total (str line $/lb)</t>
  </si>
  <si>
    <t>Variable Cost - Labor &amp; Benefits - 12 hour shift</t>
  </si>
  <si>
    <t>Shared PPE</t>
  </si>
  <si>
    <t>NIRO PPE</t>
  </si>
  <si>
    <t>KS Line 1 PPE</t>
  </si>
  <si>
    <t>Cost</t>
  </si>
  <si>
    <t>Production Labor Allocation by Product</t>
  </si>
  <si>
    <t>Maintenance Labor Allocation by Product</t>
  </si>
  <si>
    <t>Indirect  Payroll Costs Allocation by Product</t>
  </si>
  <si>
    <t>R&amp;M Allocation by Product</t>
  </si>
  <si>
    <t>(KSLD)</t>
  </si>
  <si>
    <t>(KSHD)</t>
  </si>
  <si>
    <t>Kryptosphere LD</t>
  </si>
  <si>
    <t>Kryptosphere HD</t>
  </si>
  <si>
    <t>KSHD</t>
  </si>
  <si>
    <t>KSHD Qty</t>
  </si>
  <si>
    <t xml:space="preserve">  Clay/Bauxite</t>
  </si>
  <si>
    <t>KRYPTOSPHERE LD/HD</t>
  </si>
  <si>
    <t>KS (LD/HD)</t>
  </si>
  <si>
    <t>(Jan-Oct)</t>
  </si>
  <si>
    <t>16 Actual</t>
  </si>
  <si>
    <t>17 Standard</t>
  </si>
  <si>
    <t>Depreciation Expense</t>
  </si>
  <si>
    <t>lbs required</t>
  </si>
  <si>
    <t>CEP/CL/HP</t>
  </si>
  <si>
    <t>EUFAULA PLANT STANDARDS</t>
  </si>
  <si>
    <t>10/31/16 Inv</t>
  </si>
  <si>
    <t>% of requ</t>
  </si>
  <si>
    <t>cost per lb</t>
  </si>
  <si>
    <t>NIRO (CEP/CL/HP &amp; NRT)</t>
  </si>
  <si>
    <t>30282/U102</t>
  </si>
  <si>
    <t>Usage Factor</t>
  </si>
  <si>
    <t>Shipping &amp; Bagging Labor per D. Kessler Formula:</t>
  </si>
  <si>
    <t>Bagging % &amp; lbs</t>
  </si>
  <si>
    <t>KSLD 25</t>
  </si>
  <si>
    <t># Months</t>
  </si>
  <si>
    <t>(000 lbs)</t>
  </si>
  <si>
    <t>Annual %</t>
  </si>
  <si>
    <t>Absorb Limit</t>
  </si>
  <si>
    <t>17 Absorb</t>
  </si>
  <si>
    <t>17 Underabs</t>
  </si>
  <si>
    <t>COMPOSITE</t>
  </si>
  <si>
    <t>Variable</t>
  </si>
  <si>
    <t>Fixed</t>
  </si>
  <si>
    <t>($ in 000s)</t>
  </si>
  <si>
    <t>Cash</t>
  </si>
  <si>
    <t>Gas Net Settled</t>
  </si>
  <si>
    <t>Abs by Prodn</t>
  </si>
  <si>
    <t>Under-abs Exp</t>
  </si>
  <si>
    <t>Less: Non-cash</t>
  </si>
  <si>
    <t>17 Annual:</t>
  </si>
  <si>
    <t>17 Monthly:</t>
  </si>
  <si>
    <t>KSHD (no co-product)</t>
  </si>
  <si>
    <t>Monthly Production</t>
  </si>
  <si>
    <t>Annual Production</t>
  </si>
  <si>
    <t>17 Annual Cost:</t>
  </si>
  <si>
    <t># Prodn Months</t>
  </si>
  <si>
    <t>Summary by Product Line:</t>
  </si>
  <si>
    <t xml:space="preserve">% Month </t>
  </si>
  <si>
    <t>Under-Abs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</si>
  <si>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</si>
  <si>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</si>
  <si>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</si>
  <si>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</si>
  <si>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</si>
  <si>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</si>
  <si>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</si>
  <si>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</si>
  <si>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</si>
  <si>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</si>
  <si>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</si>
  <si>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</si>
  <si>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</si>
  <si>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Niro</t>
  </si>
  <si>
    <t>KSLD (co-product CEP/CL)</t>
  </si>
  <si>
    <t>NIRO (no KS co-product)</t>
  </si>
  <si>
    <t>NIRO (co-product KSLD)</t>
  </si>
  <si>
    <t>Production Scenario:</t>
  </si>
  <si>
    <t>($/lb)</t>
  </si>
  <si>
    <t>Under-
absorption</t>
  </si>
  <si>
    <t>Absorbed</t>
  </si>
  <si>
    <t>R&amp;M</t>
  </si>
  <si>
    <t>Mfg Supplies</t>
  </si>
  <si>
    <t>Other Variable</t>
  </si>
  <si>
    <t>Maintenance Labor</t>
  </si>
  <si>
    <t>IPC</t>
  </si>
  <si>
    <t>Merit Increase</t>
  </si>
  <si>
    <t>NIRO
# Oper</t>
  </si>
  <si>
    <t>KS
# Oper</t>
  </si>
  <si>
    <t>NIRO
# Maint</t>
  </si>
  <si>
    <t>KS
# Maint</t>
  </si>
  <si>
    <t># Super-
visors</t>
  </si>
  <si>
    <t>Merit
Increase</t>
  </si>
  <si>
    <t>v3</t>
  </si>
  <si>
    <t xml:space="preserve">  prod Δ</t>
  </si>
  <si>
    <t>maint Δ</t>
  </si>
  <si>
    <t xml:space="preserve"> super Δ</t>
  </si>
  <si>
    <t>ipc diff Δ</t>
  </si>
  <si>
    <t>total labor Δ</t>
  </si>
  <si>
    <t>merit incr Δ</t>
  </si>
  <si>
    <t>0% merit Δ</t>
  </si>
  <si>
    <t>Prod Labor</t>
  </si>
  <si>
    <t>Maint Labor</t>
  </si>
  <si>
    <t>Total Production</t>
  </si>
  <si>
    <t>Total Cost Center</t>
  </si>
  <si>
    <t>Total Materials</t>
  </si>
  <si>
    <t>Mfg Suppl</t>
  </si>
  <si>
    <t>Electricity
kwh</t>
  </si>
  <si>
    <t>Gas
mbtu</t>
  </si>
  <si>
    <t>R&amp;M
lbs</t>
  </si>
  <si>
    <t>Mfg Suppl
lbs</t>
  </si>
  <si>
    <t>IPC
hrs</t>
  </si>
  <si>
    <t>Supervision
lbs</t>
  </si>
  <si>
    <t>Ins &amp; Tax
lbs</t>
  </si>
  <si>
    <t>Depreciation
lbs</t>
  </si>
  <si>
    <t>Ins &amp; Tax</t>
  </si>
  <si>
    <t>Other Var</t>
  </si>
  <si>
    <t>Other Var
lbs</t>
  </si>
  <si>
    <t>Prod Labor
hrs</t>
  </si>
  <si>
    <t>Maint Labor
hrs</t>
  </si>
  <si>
    <t>Under-absorption Expense</t>
  </si>
  <si>
    <t>Absorbed by Production</t>
  </si>
  <si>
    <t>Bagging labor to inventory</t>
  </si>
  <si>
    <t>per 10000</t>
  </si>
  <si>
    <t>Absorbed Unit Price</t>
  </si>
  <si>
    <t>per BOM</t>
  </si>
  <si>
    <t>(Input fields indicated by bold blue text)</t>
  </si>
  <si>
    <t>Total Variable</t>
  </si>
  <si>
    <t>Total Fixed</t>
  </si>
  <si>
    <t>Cost Ctr Total</t>
  </si>
  <si>
    <t>Nov16 Ytd</t>
  </si>
  <si>
    <t>DEP01 (land impr)</t>
  </si>
  <si>
    <t>640000</t>
  </si>
  <si>
    <t>DEP01 (lhld impr)</t>
  </si>
  <si>
    <t>640030</t>
  </si>
  <si>
    <t>Bauxite Pellets (30282)</t>
  </si>
  <si>
    <t>Clay/Kaolin (30015)</t>
  </si>
  <si>
    <t>PVA (30017)</t>
  </si>
  <si>
    <t>Dispersant (30011)</t>
  </si>
  <si>
    <t>Ammonia (30000)</t>
  </si>
  <si>
    <t>CaCL (30114)</t>
  </si>
  <si>
    <t>Algenate (30170)</t>
  </si>
  <si>
    <t>NIRO BOM</t>
  </si>
  <si>
    <t>KSLD BOM</t>
  </si>
  <si>
    <t>KSHD BOM</t>
  </si>
  <si>
    <t>Material/Plant</t>
  </si>
  <si>
    <t>Unit</t>
  </si>
  <si>
    <t>Price per 1000</t>
  </si>
  <si>
    <t>Production lbs (000)</t>
  </si>
  <si>
    <t>2017 Standards:</t>
  </si>
  <si>
    <t>Total Cost per lb</t>
  </si>
  <si>
    <t>TOTAL</t>
  </si>
  <si>
    <t>BOM</t>
  </si>
  <si>
    <t>MATERIALS COST</t>
  </si>
  <si>
    <t>MATERIALS REQUIREMENTS</t>
  </si>
  <si>
    <t>17 Plan</t>
  </si>
  <si>
    <t>17 Actual</t>
  </si>
  <si>
    <t>Capacity</t>
  </si>
  <si>
    <t>% Capacity</t>
  </si>
  <si>
    <t>Avg Mo</t>
  </si>
  <si>
    <t>Production Cost to Inventory</t>
  </si>
  <si>
    <t>Less - Excess Conversion Costs</t>
  </si>
  <si>
    <t>Repairs &amp; Maintenance</t>
  </si>
  <si>
    <t>Calcium Chloride (30114)</t>
  </si>
  <si>
    <t>Taggant (30021)</t>
  </si>
  <si>
    <t>Binder (30170)</t>
  </si>
  <si>
    <t>CarboGrind 280 - Green (70160)</t>
  </si>
  <si>
    <t>CarboGrind LD 3MM - Green (70150)</t>
  </si>
  <si>
    <t>Rusal Slurry (30301)</t>
  </si>
  <si>
    <t>Rusal Pellets (30282)</t>
  </si>
  <si>
    <t>Rusal Bauxite (30008)</t>
  </si>
  <si>
    <t>Kaolin Slurry (30310)</t>
  </si>
  <si>
    <t>KAOLIN - K50 Clay (30015)</t>
  </si>
  <si>
    <t>Price Var</t>
  </si>
  <si>
    <t>Qty Var</t>
  </si>
  <si>
    <t>Total Var</t>
  </si>
  <si>
    <t>Qty Diff</t>
  </si>
  <si>
    <t>Ctrl Cost/lb</t>
  </si>
  <si>
    <t>Ctrl Cost</t>
  </si>
  <si>
    <t>Std Cost/lb</t>
  </si>
  <si>
    <t>Std Use/lb</t>
  </si>
  <si>
    <t>Std Unit Cost</t>
  </si>
  <si>
    <t>Std Cost</t>
  </si>
  <si>
    <t>Std Qty</t>
  </si>
  <si>
    <t>Cost/lb</t>
  </si>
  <si>
    <t>Act Use/lb</t>
  </si>
  <si>
    <t>Unit Cost</t>
  </si>
  <si>
    <t>Act Cost</t>
  </si>
  <si>
    <t>Act Qty</t>
  </si>
  <si>
    <t>Quantity</t>
  </si>
  <si>
    <t>KAOLIN SLURRY</t>
  </si>
  <si>
    <t>CARBOGRIND</t>
  </si>
  <si>
    <t>EP/CL/HP</t>
  </si>
  <si>
    <t>KSHD (B)</t>
  </si>
  <si>
    <t>Cost Center 10001002</t>
  </si>
  <si>
    <t xml:space="preserve"> NRT &amp; FUSION SUBSTRATE</t>
  </si>
  <si>
    <t>18 Std</t>
  </si>
  <si>
    <t>17 Std</t>
  </si>
  <si>
    <t>17 Act</t>
  </si>
  <si>
    <t>NRT/FUSION</t>
  </si>
  <si>
    <t>EUFAULA
PRODUCTION YTD 2017 (JAN-OCT)</t>
  </si>
  <si>
    <t>18 Absorb</t>
  </si>
  <si>
    <t>18 Underabs</t>
  </si>
  <si>
    <t>18 Annual:</t>
  </si>
  <si>
    <t>30021/U102</t>
  </si>
  <si>
    <t>NIRO (CEP/CL/NRT/FUSION/CG)</t>
  </si>
  <si>
    <t>KRYPTOSPHERE (LD &amp; HD)</t>
  </si>
  <si>
    <t>18 Monthly:</t>
  </si>
  <si>
    <t>CEP/CL (NIRO)</t>
  </si>
  <si>
    <t>NRT/FUSION (NIRO)</t>
  </si>
  <si>
    <t>CARBOGRIND (NIRO)</t>
  </si>
  <si>
    <t>Hours Per wk</t>
  </si>
  <si>
    <t>CEP/CL/HP/CARBOBEAD (NIRO)</t>
  </si>
  <si>
    <t>CEP/CL/HP/CARBOBEAD</t>
  </si>
  <si>
    <t>KSLD/KRYPTOCAST</t>
  </si>
  <si>
    <t>LBS in 000s</t>
  </si>
  <si>
    <t>$/LB</t>
  </si>
  <si>
    <t>140.1M LB Scenario</t>
  </si>
  <si>
    <t>100.1M LB Scenario</t>
  </si>
  <si>
    <t>NIRO TOTAL</t>
  </si>
  <si>
    <t>KS TOTAL</t>
  </si>
  <si>
    <t>GRAND TOTAL</t>
  </si>
  <si>
    <t>NIRO:</t>
  </si>
  <si>
    <t>KS:</t>
  </si>
  <si>
    <t>Jan-Oct 2017 Actual</t>
  </si>
  <si>
    <t>2018 Standards</t>
  </si>
  <si>
    <t>2017 Standard</t>
  </si>
  <si>
    <t>Reference</t>
  </si>
  <si>
    <t>BOM Use/lb</t>
  </si>
  <si>
    <t>Shipping &amp; Bagging Labor calc:</t>
  </si>
  <si>
    <t>CG280</t>
  </si>
  <si>
    <t>CG300</t>
  </si>
  <si>
    <t>19 Std</t>
  </si>
  <si>
    <t>18 Act</t>
  </si>
  <si>
    <t>NRT KSLD</t>
  </si>
  <si>
    <t>NRT / Fusion</t>
  </si>
  <si>
    <t>CarboGrind 280 - Green (70180)</t>
  </si>
  <si>
    <t>CarboGrind 300 - Green (70186)</t>
  </si>
  <si>
    <t>70180/U102</t>
  </si>
  <si>
    <t>70186/U102</t>
  </si>
  <si>
    <t>NRT/Fusion</t>
  </si>
  <si>
    <t>NRT KSLD Qty</t>
  </si>
  <si>
    <t>CG280 Qty</t>
  </si>
  <si>
    <t>CG300 Qty</t>
  </si>
  <si>
    <t>19 Monthly:</t>
  </si>
  <si>
    <t>19 Annual:</t>
  </si>
  <si>
    <t>19 Absorb</t>
  </si>
  <si>
    <t>19 Underabs</t>
  </si>
  <si>
    <t>NRT+</t>
  </si>
  <si>
    <t>Std. Cost 
Contribution</t>
  </si>
  <si>
    <t>Cost per 
Planned lb</t>
  </si>
  <si>
    <t>Ttl (str line $/lb)</t>
  </si>
  <si>
    <t>Std. Cost 
Contr. KS</t>
  </si>
  <si>
    <t>B</t>
  </si>
  <si>
    <t>E</t>
  </si>
  <si>
    <t>H</t>
  </si>
  <si>
    <t>K</t>
  </si>
  <si>
    <t>N</t>
  </si>
  <si>
    <t>Q</t>
  </si>
  <si>
    <t>T</t>
  </si>
  <si>
    <t>W</t>
  </si>
  <si>
    <t>EP/CL</t>
  </si>
  <si>
    <t>EP/CL Qty</t>
  </si>
  <si>
    <t>NRT/Fusion Qty</t>
  </si>
  <si>
    <t>NRT+ Qty</t>
  </si>
  <si>
    <t>ABSORBED COST PER POUND</t>
  </si>
  <si>
    <t>LESS: EXCESS FIXED COSTS</t>
  </si>
  <si>
    <t>19 Std (2)</t>
  </si>
  <si>
    <t>Diff</t>
  </si>
  <si>
    <t>(Jan-Sept)</t>
  </si>
  <si>
    <t>Kryptosphere LD (includes XT)</t>
  </si>
  <si>
    <t>.</t>
  </si>
  <si>
    <t>LESS:  EXCESS FIXED COSTS</t>
  </si>
  <si>
    <t>19 Actual</t>
  </si>
  <si>
    <t>(Mar &amp; May)</t>
  </si>
  <si>
    <t>22 Std</t>
  </si>
  <si>
    <t>(Jan-Aug)</t>
  </si>
  <si>
    <t>22 Absorb</t>
  </si>
  <si>
    <t>22 Underabs</t>
  </si>
  <si>
    <t>22 Annual:</t>
  </si>
  <si>
    <t>22 Monthly:</t>
  </si>
  <si>
    <t>Nov-21 YTD</t>
  </si>
  <si>
    <t>No-21 YTD</t>
  </si>
  <si>
    <t>22 Standard</t>
  </si>
  <si>
    <t>22 Actual</t>
  </si>
  <si>
    <t>Days</t>
  </si>
  <si>
    <t>Under absorption days</t>
  </si>
  <si>
    <t>23 Actual</t>
  </si>
  <si>
    <t>(Jan-Mar)</t>
  </si>
  <si>
    <t>(Jan-Feb)</t>
  </si>
  <si>
    <t>EUFAULA PLANT STANDARD 2025</t>
  </si>
  <si>
    <t>Minerals Manufacturing Co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</si>
  <si>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</si>
  <si>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</si>
  <si>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</si>
  <si>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</si>
  <si>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</si>
  <si>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</si>
  <si>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</si>
  <si>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</si>
  <si>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</si>
  <si>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</si>
  <si>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</si>
  <si>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Temp</t>
  </si>
  <si>
    <t>IPC (estimated)</t>
  </si>
  <si>
    <t>Current Production Labor</t>
  </si>
  <si>
    <t>Current R &amp; M Labor</t>
  </si>
  <si>
    <t>Future Production Labor Increase</t>
  </si>
  <si>
    <t>Future R&amp;M Labor Increase</t>
  </si>
  <si>
    <t>Total Production Labor</t>
  </si>
  <si>
    <t>Total R &amp; M Labor</t>
  </si>
  <si>
    <t>$/FTE/month</t>
  </si>
  <si>
    <t>$ Rolling Total</t>
  </si>
  <si>
    <t>Future Repairs &amp; Maintenance</t>
  </si>
  <si>
    <t>Future Manufacturing Supplies</t>
  </si>
  <si>
    <t>Future Other Variable</t>
  </si>
  <si>
    <t>Future Depreciation</t>
  </si>
  <si>
    <t>Future Insurance &amp; Taxes</t>
  </si>
  <si>
    <t>25 Standard</t>
  </si>
  <si>
    <t>CL/Cbead</t>
  </si>
  <si>
    <t>CL/CB $/lb</t>
  </si>
  <si>
    <t>KSLD $/lb</t>
  </si>
  <si>
    <t>KSHD $/lb</t>
  </si>
  <si>
    <t>NRT / Fusion $/lb</t>
  </si>
  <si>
    <t>NRT+ $/lb</t>
  </si>
  <si>
    <t>NRT KSLD $/lb</t>
  </si>
  <si>
    <t>CG280 $/lb</t>
  </si>
  <si>
    <t>CG300 $/lb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</si>
</sst>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;\(#,##0\)"/>
    <numFmt numFmtId="165" formatCode="0_);\(0\)"/>
    <numFmt numFmtId="166" formatCode="_(&quot;$&quot;* #,##0.0000_);_(&quot;$&quot;* \(#,##0.0000\);_(&quot;$&quot;* &quot;-&quot;????_);_(@_)"/>
    <numFmt numFmtId="167" formatCode="#,##0.0000\ ;\(#,##0.0000\)"/>
    <numFmt numFmtId="168" formatCode="_(* #,##0.0000_);_(* \(#,##0.0000\);_(* &quot;-&quot;????_);_(@_)"/>
    <numFmt numFmtId="169" formatCode="_(&quot;$&quot;* #,##0.000000_);_(&quot;$&quot;* \(#,##0.000000\);_(&quot;$&quot;* &quot;-&quot;??????_);_(@_)"/>
    <numFmt numFmtId="170" formatCode="_(* #,##0.000_);_(* \(#,##0.000\);_(* &quot;-&quot;???_);_(@_)"/>
    <numFmt numFmtId="171" formatCode="_(&quot;$&quot;* #,##0.00000_);_(&quot;$&quot;* \(#,##0.00000\);_(&quot;$&quot;* &quot;-&quot;?????_);_(@_)"/>
    <numFmt numFmtId="172" formatCode="0.0%"/>
    <numFmt numFmtId="173" formatCode="_(* #,##0.000000_);_(* \(#,##0.000000\);_(* &quot;-&quot;_);_(@_)"/>
    <numFmt numFmtId="174" formatCode="_(&quot;$&quot;* #,##0.0000_);_(&quot;$&quot;* \(#,##0.0000\);_(&quot;$&quot;* &quot;-&quot;??_);_(@_)"/>
    <numFmt numFmtId="175" formatCode="#,##0.000\ ;\(#,##0.000\)"/>
    <numFmt numFmtId="176" formatCode="_(* #,##0.0000_);_(* \(#,##0.0000\);_(* &quot;-&quot;??_);_(@_)"/>
    <numFmt numFmtId="177" formatCode="_(&quot;$&quot;* #,##0_);_(&quot;$&quot;* \(#,##0\);_(&quot;$&quot;* &quot;-&quot;??_);_(@_)"/>
    <numFmt numFmtId="178" formatCode="&quot;$&quot;#,##0.0000\ ;\(&quot;$&quot;#,##0.0000\)"/>
    <numFmt numFmtId="179" formatCode="_(* #,##0_);_(* \(#,##0\);_(* &quot;-&quot;??_);_(@_)"/>
    <numFmt numFmtId="180" formatCode="_(* #,##0.00000_);_(* \(#,##0.00000\);_(* &quot;-&quot;?????_);_(@_)"/>
    <numFmt numFmtId="181" formatCode="_(* #,##0.0_);_(* \(#,##0.0\);_(* &quot;-&quot;?_);_(@_)"/>
    <numFmt numFmtId="182" formatCode="_(* #,##0.00000_);_(* \(#,##0.00000\);_(* &quot;-&quot;??_);_(@_)"/>
    <numFmt numFmtId="183" formatCode="_(&quot;$&quot;* #,##0.000_);_(&quot;$&quot;* \(#,##0.000\);_(&quot;$&quot;* &quot;-&quot;???_);_(@_)"/>
    <numFmt numFmtId="184" formatCode="_(* #,##0.000_);_(* \(#,##0.000\);_(* &quot;-&quot;??_);_(@_)"/>
    <numFmt numFmtId="185" formatCode="_(* #,##0_);_(* \(#,##0\);_(* &quot;-&quot;?_);_(@_)"/>
    <numFmt numFmtId="186" formatCode="_(* #,##0_);_(* \(#,##0\);_(* &quot;-&quot;????_);_(@_)"/>
    <numFmt numFmtId="187" formatCode="#,##0.00000\ ;\(#,##0.00000\)"/>
  </numFmts>
  <fonts count="55">
    <font>
      <sz val="11"/>
      <color theme="1"/>
      <name val="Calibri"/>
      <family val="2"/>
      <scheme val="minor"/>
    </font>
    <font>
      <sz val="10"/>
      <name val="Geneva"/>
    </font>
    <font>
      <b/>
      <sz val="14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u val="singleAccounting"/>
      <sz val="10"/>
      <name val="Arial"/>
      <family val="2"/>
    </font>
    <font>
      <u/>
      <sz val="10"/>
      <color rgb="FFFF000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u val="doubleAccounting"/>
      <sz val="10"/>
      <name val="Arial"/>
      <family val="2"/>
    </font>
    <font>
      <i/>
      <sz val="10"/>
      <color rgb="FFFF0000"/>
      <name val="Arial"/>
      <family val="2"/>
    </font>
    <font>
      <u val="singleAccounting"/>
      <sz val="10"/>
      <color rgb="FFFF0000"/>
      <name val="Arial"/>
      <family val="2"/>
    </font>
    <font>
      <u val="doubleAccounting"/>
      <sz val="10"/>
      <color rgb="FFFF0000"/>
      <name val="Arial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0"/>
      <name val="Arial"/>
      <family val="2"/>
    </font>
    <font>
      <u val="singleAccounting"/>
      <sz val="11"/>
      <color theme="1"/>
      <name val="Calibri"/>
      <family val="2"/>
      <scheme val="minor"/>
    </font>
    <font>
      <b/>
      <u val="doubleAccounting"/>
      <sz val="10"/>
      <name val="Arial"/>
      <family val="2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u val="singleAccounting"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i/>
      <u/>
      <sz val="10"/>
      <name val="Arial"/>
      <family val="2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rgb="FF3F3F76"/>
      <name val="Calibri"/>
      <family val="2"/>
      <scheme val="minor"/>
    </font>
    <font>
      <b/>
      <u val="doubleAccounting"/>
      <sz val="11"/>
      <color rgb="FF3F3F76"/>
      <name val="Calibri"/>
      <family val="2"/>
      <scheme val="minor"/>
    </font>
    <font>
      <b/>
      <sz val="11"/>
      <color theme="1"/>
      <name val="Calibri"/>
      <family val="2"/>
    </font>
    <font>
      <b/>
      <u val="doubleAccounting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0"/>
      <color rgb="FFFF0000"/>
      <name val="Arial"/>
      <family val="2"/>
    </font>
    <font>
      <b/>
      <sz val="11"/>
      <name val="Calibri"/>
      <family val="2"/>
      <scheme val="minor"/>
    </font>
    <font>
      <b/>
      <u val="doubleAccounting"/>
      <sz val="11"/>
      <name val="Calibri"/>
      <family val="2"/>
      <scheme val="minor"/>
    </font>
    <font>
      <u val="doubleAccounting"/>
      <sz val="1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u val="singleAccounting"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9"/>
      <name val="Arial"/>
      <family val="2"/>
    </font>
    <font>
      <u val="double"/>
      <sz val="10"/>
      <color rgb="FFFF0000"/>
      <name val="Arial"/>
      <family val="2"/>
    </font>
    <font>
      <b/>
      <sz val="12"/>
      <color rgb="FF0070C0"/>
      <name val="Arial"/>
      <family val="2"/>
    </font>
    <font>
      <sz val="11"/>
      <color rgb="FF0070C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30" fillId="5" borderId="24" applyNumberFormat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</cellStyleXfs>
  <cellXfs count="1067">
    <xf numFmtId="0" fontId="0" fillId="0" borderId="0" xfId="0"/>
    <xf numFmtId="164" fontId="3" fillId="0" borderId="0" xfId="1" applyNumberFormat="1" applyFont="1"/>
    <xf numFmtId="164" fontId="3" fillId="2" borderId="0" xfId="1" applyNumberFormat="1" applyFont="1" applyFill="1"/>
    <xf numFmtId="164" fontId="6" fillId="2" borderId="0" xfId="1" applyNumberFormat="1" applyFont="1" applyFill="1" applyAlignment="1">
      <alignment horizontal="center"/>
    </xf>
    <xf numFmtId="165" fontId="7" fillId="2" borderId="0" xfId="1" applyNumberFormat="1" applyFont="1" applyFill="1" applyAlignment="1">
      <alignment horizontal="right"/>
    </xf>
    <xf numFmtId="164" fontId="8" fillId="2" borderId="0" xfId="1" applyNumberFormat="1" applyFont="1" applyFill="1" applyAlignment="1">
      <alignment horizontal="right"/>
    </xf>
    <xf numFmtId="164" fontId="3" fillId="0" borderId="0" xfId="1" applyNumberFormat="1" applyFont="1" applyAlignment="1">
      <alignment horizontal="right"/>
    </xf>
    <xf numFmtId="43" fontId="5" fillId="0" borderId="0" xfId="1" quotePrefix="1" applyNumberFormat="1" applyFont="1" applyAlignment="1">
      <alignment horizontal="right"/>
    </xf>
    <xf numFmtId="43" fontId="5" fillId="0" borderId="0" xfId="1" applyNumberFormat="1" applyFont="1" applyAlignment="1">
      <alignment horizontal="right"/>
    </xf>
    <xf numFmtId="164" fontId="7" fillId="2" borderId="0" xfId="1" applyNumberFormat="1" applyFont="1" applyFill="1"/>
    <xf numFmtId="41" fontId="7" fillId="2" borderId="0" xfId="1" applyNumberFormat="1" applyFont="1" applyFill="1" applyAlignment="1">
      <alignment horizontal="right"/>
    </xf>
    <xf numFmtId="164" fontId="9" fillId="0" borderId="0" xfId="1" applyNumberFormat="1" applyFont="1" applyAlignment="1">
      <alignment horizontal="right"/>
    </xf>
    <xf numFmtId="164" fontId="10" fillId="0" borderId="0" xfId="1" quotePrefix="1" applyNumberFormat="1" applyFont="1" applyAlignment="1">
      <alignment horizontal="right"/>
    </xf>
    <xf numFmtId="164" fontId="9" fillId="0" borderId="0" xfId="1" applyNumberFormat="1" applyFont="1" applyAlignment="1">
      <alignment horizontal="center"/>
    </xf>
    <xf numFmtId="164" fontId="10" fillId="2" borderId="0" xfId="1" quotePrefix="1" applyNumberFormat="1" applyFont="1" applyFill="1" applyAlignment="1">
      <alignment horizontal="right"/>
    </xf>
    <xf numFmtId="164" fontId="6" fillId="2" borderId="0" xfId="1" quotePrefix="1" applyNumberFormat="1" applyFont="1" applyFill="1" applyAlignment="1">
      <alignment horizontal="right"/>
    </xf>
    <xf numFmtId="164" fontId="3" fillId="2" borderId="0" xfId="1" applyNumberFormat="1" applyFont="1" applyFill="1" applyAlignment="1">
      <alignment horizontal="right"/>
    </xf>
    <xf numFmtId="164" fontId="9" fillId="0" borderId="0" xfId="1" applyNumberFormat="1" applyFont="1" applyAlignment="1">
      <alignment horizontal="left"/>
    </xf>
    <xf numFmtId="166" fontId="9" fillId="0" borderId="0" xfId="1" applyNumberFormat="1" applyFont="1"/>
    <xf numFmtId="164" fontId="9" fillId="2" borderId="0" xfId="1" applyNumberFormat="1" applyFont="1" applyFill="1"/>
    <xf numFmtId="167" fontId="9" fillId="2" borderId="0" xfId="1" applyNumberFormat="1" applyFont="1" applyFill="1"/>
    <xf numFmtId="166" fontId="3" fillId="2" borderId="0" xfId="1" applyNumberFormat="1" applyFont="1" applyFill="1"/>
    <xf numFmtId="168" fontId="9" fillId="0" borderId="0" xfId="1" quotePrefix="1" applyNumberFormat="1" applyFont="1"/>
    <xf numFmtId="168" fontId="9" fillId="0" borderId="0" xfId="1" applyNumberFormat="1" applyFont="1"/>
    <xf numFmtId="42" fontId="9" fillId="2" borderId="0" xfId="1" quotePrefix="1" applyNumberFormat="1" applyFont="1" applyFill="1"/>
    <xf numFmtId="169" fontId="9" fillId="2" borderId="0" xfId="1" applyNumberFormat="1" applyFont="1" applyFill="1"/>
    <xf numFmtId="164" fontId="9" fillId="0" borderId="0" xfId="1" applyNumberFormat="1" applyFont="1"/>
    <xf numFmtId="168" fontId="10" fillId="0" borderId="0" xfId="1" applyNumberFormat="1" applyFont="1"/>
    <xf numFmtId="42" fontId="5" fillId="2" borderId="0" xfId="1" quotePrefix="1" applyNumberFormat="1" applyFont="1" applyFill="1"/>
    <xf numFmtId="42" fontId="9" fillId="2" borderId="0" xfId="1" applyNumberFormat="1" applyFont="1" applyFill="1"/>
    <xf numFmtId="168" fontId="11" fillId="0" borderId="0" xfId="1" applyNumberFormat="1" applyFont="1"/>
    <xf numFmtId="168" fontId="5" fillId="0" borderId="0" xfId="1" applyNumberFormat="1" applyFont="1"/>
    <xf numFmtId="42" fontId="10" fillId="2" borderId="0" xfId="1" applyNumberFormat="1" applyFont="1" applyFill="1"/>
    <xf numFmtId="42" fontId="8" fillId="2" borderId="0" xfId="1" applyNumberFormat="1" applyFont="1" applyFill="1"/>
    <xf numFmtId="166" fontId="8" fillId="0" borderId="1" xfId="1" applyNumberFormat="1" applyFont="1" applyBorder="1"/>
    <xf numFmtId="166" fontId="8" fillId="0" borderId="2" xfId="1" applyNumberFormat="1" applyFont="1" applyBorder="1"/>
    <xf numFmtId="167" fontId="8" fillId="2" borderId="0" xfId="1" applyNumberFormat="1" applyFont="1" applyFill="1" applyAlignment="1">
      <alignment horizontal="right"/>
    </xf>
    <xf numFmtId="171" fontId="8" fillId="2" borderId="0" xfId="1" applyNumberFormat="1" applyFont="1" applyFill="1"/>
    <xf numFmtId="171" fontId="8" fillId="2" borderId="2" xfId="1" applyNumberFormat="1" applyFont="1" applyFill="1" applyBorder="1"/>
    <xf numFmtId="164" fontId="3" fillId="0" borderId="0" xfId="1" applyNumberFormat="1" applyFont="1" applyAlignment="1">
      <alignment horizontal="left"/>
    </xf>
    <xf numFmtId="164" fontId="8" fillId="0" borderId="0" xfId="1" applyNumberFormat="1" applyFont="1"/>
    <xf numFmtId="164" fontId="8" fillId="2" borderId="0" xfId="1" applyNumberFormat="1" applyFont="1" applyFill="1"/>
    <xf numFmtId="164" fontId="9" fillId="0" borderId="3" xfId="1" applyNumberFormat="1" applyFont="1" applyBorder="1" applyAlignment="1">
      <alignment horizontal="left"/>
    </xf>
    <xf numFmtId="164" fontId="3" fillId="0" borderId="5" xfId="1" applyNumberFormat="1" applyFont="1" applyBorder="1"/>
    <xf numFmtId="164" fontId="3" fillId="0" borderId="5" xfId="1" applyNumberFormat="1" applyFont="1" applyBorder="1" applyAlignment="1">
      <alignment horizontal="left"/>
    </xf>
    <xf numFmtId="164" fontId="3" fillId="0" borderId="6" xfId="1" applyNumberFormat="1" applyFont="1" applyBorder="1"/>
    <xf numFmtId="164" fontId="10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9" fillId="0" borderId="5" xfId="1" applyNumberFormat="1" applyFont="1" applyBorder="1"/>
    <xf numFmtId="41" fontId="9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164" fontId="10" fillId="0" borderId="0" xfId="1" applyNumberFormat="1" applyFont="1" applyAlignment="1">
      <alignment horizontal="right"/>
    </xf>
    <xf numFmtId="167" fontId="10" fillId="0" borderId="0" xfId="1" applyNumberFormat="1" applyFont="1" applyAlignment="1">
      <alignment horizontal="right"/>
    </xf>
    <xf numFmtId="43" fontId="9" fillId="0" borderId="0" xfId="1" applyNumberFormat="1" applyFont="1"/>
    <xf numFmtId="172" fontId="9" fillId="0" borderId="0" xfId="1" applyNumberFormat="1" applyFont="1"/>
    <xf numFmtId="170" fontId="9" fillId="2" borderId="0" xfId="1" applyNumberFormat="1" applyFont="1" applyFill="1"/>
    <xf numFmtId="43" fontId="5" fillId="0" borderId="0" xfId="1" applyNumberFormat="1" applyFont="1"/>
    <xf numFmtId="172" fontId="5" fillId="0" borderId="0" xfId="1" applyNumberFormat="1" applyFont="1"/>
    <xf numFmtId="41" fontId="3" fillId="0" borderId="0" xfId="1" applyNumberFormat="1" applyFont="1"/>
    <xf numFmtId="9" fontId="3" fillId="0" borderId="0" xfId="1" applyNumberFormat="1" applyFont="1"/>
    <xf numFmtId="43" fontId="5" fillId="0" borderId="0" xfId="1" applyNumberFormat="1" applyFont="1" applyAlignment="1">
      <alignment horizontal="right" wrapText="1"/>
    </xf>
    <xf numFmtId="164" fontId="3" fillId="0" borderId="0" xfId="1" applyNumberFormat="1" applyFont="1" applyAlignment="1">
      <alignment horizontal="center"/>
    </xf>
    <xf numFmtId="164" fontId="9" fillId="0" borderId="5" xfId="1" applyNumberFormat="1" applyFont="1" applyBorder="1" applyAlignment="1">
      <alignment horizontal="left"/>
    </xf>
    <xf numFmtId="174" fontId="9" fillId="0" borderId="0" xfId="2" applyNumberFormat="1" applyFont="1" applyBorder="1"/>
    <xf numFmtId="167" fontId="3" fillId="0" borderId="0" xfId="1" applyNumberFormat="1" applyFont="1"/>
    <xf numFmtId="10" fontId="9" fillId="0" borderId="0" xfId="1" applyNumberFormat="1" applyFont="1"/>
    <xf numFmtId="168" fontId="3" fillId="0" borderId="0" xfId="1" applyNumberFormat="1" applyFont="1"/>
    <xf numFmtId="176" fontId="3" fillId="0" borderId="0" xfId="3" applyNumberFormat="1" applyFont="1" applyBorder="1"/>
    <xf numFmtId="10" fontId="3" fillId="0" borderId="0" xfId="1" applyNumberFormat="1" applyFont="1" applyAlignment="1">
      <alignment horizontal="center"/>
    </xf>
    <xf numFmtId="176" fontId="5" fillId="0" borderId="0" xfId="2" applyNumberFormat="1" applyFont="1" applyBorder="1"/>
    <xf numFmtId="164" fontId="9" fillId="0" borderId="7" xfId="1" applyNumberFormat="1" applyFont="1" applyBorder="1" applyAlignment="1">
      <alignment horizontal="left"/>
    </xf>
    <xf numFmtId="164" fontId="3" fillId="0" borderId="8" xfId="1" applyNumberFormat="1" applyFont="1" applyBorder="1"/>
    <xf numFmtId="10" fontId="3" fillId="0" borderId="8" xfId="1" applyNumberFormat="1" applyFont="1" applyBorder="1"/>
    <xf numFmtId="178" fontId="3" fillId="0" borderId="8" xfId="1" applyNumberFormat="1" applyFont="1" applyBorder="1"/>
    <xf numFmtId="164" fontId="3" fillId="0" borderId="9" xfId="1" applyNumberFormat="1" applyFont="1" applyBorder="1"/>
    <xf numFmtId="178" fontId="3" fillId="0" borderId="0" xfId="1" applyNumberFormat="1" applyFont="1"/>
    <xf numFmtId="164" fontId="9" fillId="0" borderId="6" xfId="1" applyNumberFormat="1" applyFont="1" applyBorder="1"/>
    <xf numFmtId="179" fontId="9" fillId="0" borderId="0" xfId="3" applyNumberFormat="1" applyFont="1" applyFill="1" applyBorder="1"/>
    <xf numFmtId="179" fontId="9" fillId="0" borderId="6" xfId="3" applyNumberFormat="1" applyFont="1" applyFill="1" applyBorder="1"/>
    <xf numFmtId="44" fontId="9" fillId="0" borderId="0" xfId="2" applyFont="1" applyFill="1" applyBorder="1"/>
    <xf numFmtId="44" fontId="9" fillId="0" borderId="6" xfId="2" applyFont="1" applyFill="1" applyBorder="1"/>
    <xf numFmtId="164" fontId="9" fillId="0" borderId="3" xfId="1" applyNumberFormat="1" applyFont="1" applyBorder="1"/>
    <xf numFmtId="164" fontId="9" fillId="0" borderId="10" xfId="1" applyNumberFormat="1" applyFont="1" applyBorder="1" applyAlignment="1">
      <alignment horizontal="right" wrapText="1"/>
    </xf>
    <xf numFmtId="10" fontId="9" fillId="0" borderId="10" xfId="3" applyNumberFormat="1" applyFont="1" applyFill="1" applyBorder="1" applyAlignment="1">
      <alignment horizontal="right" wrapText="1"/>
    </xf>
    <xf numFmtId="10" fontId="9" fillId="0" borderId="11" xfId="3" applyNumberFormat="1" applyFont="1" applyFill="1" applyBorder="1" applyAlignment="1">
      <alignment horizontal="right" wrapText="1"/>
    </xf>
    <xf numFmtId="44" fontId="9" fillId="0" borderId="0" xfId="2" applyFont="1" applyBorder="1"/>
    <xf numFmtId="177" fontId="9" fillId="0" borderId="0" xfId="2" applyNumberFormat="1" applyFont="1" applyFill="1" applyBorder="1"/>
    <xf numFmtId="177" fontId="9" fillId="0" borderId="6" xfId="2" applyNumberFormat="1" applyFont="1" applyFill="1" applyBorder="1"/>
    <xf numFmtId="43" fontId="9" fillId="0" borderId="0" xfId="3" applyFont="1" applyBorder="1"/>
    <xf numFmtId="43" fontId="3" fillId="0" borderId="0" xfId="3" applyFont="1" applyBorder="1"/>
    <xf numFmtId="177" fontId="9" fillId="0" borderId="6" xfId="3" applyNumberFormat="1" applyFont="1" applyFill="1" applyBorder="1"/>
    <xf numFmtId="10" fontId="3" fillId="0" borderId="0" xfId="3" applyNumberFormat="1" applyFont="1" applyFill="1" applyBorder="1"/>
    <xf numFmtId="164" fontId="9" fillId="0" borderId="10" xfId="1" applyNumberFormat="1" applyFont="1" applyBorder="1"/>
    <xf numFmtId="164" fontId="3" fillId="0" borderId="10" xfId="1" applyNumberFormat="1" applyFont="1" applyBorder="1"/>
    <xf numFmtId="164" fontId="3" fillId="0" borderId="11" xfId="1" applyNumberFormat="1" applyFont="1" applyBorder="1"/>
    <xf numFmtId="164" fontId="3" fillId="0" borderId="6" xfId="1" applyNumberFormat="1" applyFont="1" applyBorder="1" applyAlignment="1">
      <alignment horizontal="right"/>
    </xf>
    <xf numFmtId="164" fontId="9" fillId="0" borderId="0" xfId="1" applyNumberFormat="1" applyFont="1" applyAlignment="1">
      <alignment horizontal="center" wrapText="1"/>
    </xf>
    <xf numFmtId="176" fontId="3" fillId="0" borderId="6" xfId="3" applyNumberFormat="1" applyFont="1" applyBorder="1"/>
    <xf numFmtId="164" fontId="3" fillId="0" borderId="7" xfId="1" applyNumberFormat="1" applyFont="1" applyBorder="1"/>
    <xf numFmtId="164" fontId="3" fillId="3" borderId="0" xfId="1" applyNumberFormat="1" applyFont="1" applyFill="1"/>
    <xf numFmtId="164" fontId="9" fillId="0" borderId="6" xfId="1" applyNumberFormat="1" applyFont="1" applyBorder="1" applyAlignment="1">
      <alignment horizontal="center" wrapText="1"/>
    </xf>
    <xf numFmtId="42" fontId="9" fillId="0" borderId="0" xfId="1" applyNumberFormat="1" applyFont="1"/>
    <xf numFmtId="166" fontId="14" fillId="0" borderId="6" xfId="2" applyNumberFormat="1" applyFont="1" applyBorder="1"/>
    <xf numFmtId="177" fontId="9" fillId="0" borderId="0" xfId="2" applyNumberFormat="1" applyFont="1" applyBorder="1"/>
    <xf numFmtId="164" fontId="15" fillId="0" borderId="8" xfId="1" applyNumberFormat="1" applyFont="1" applyBorder="1"/>
    <xf numFmtId="172" fontId="9" fillId="0" borderId="6" xfId="1" applyNumberFormat="1" applyFont="1" applyBorder="1"/>
    <xf numFmtId="9" fontId="9" fillId="0" borderId="6" xfId="1" applyNumberFormat="1" applyFont="1" applyBorder="1"/>
    <xf numFmtId="179" fontId="3" fillId="0" borderId="0" xfId="3" applyNumberFormat="1" applyFont="1" applyFill="1" applyBorder="1"/>
    <xf numFmtId="176" fontId="9" fillId="0" borderId="0" xfId="3" applyNumberFormat="1" applyFont="1" applyBorder="1"/>
    <xf numFmtId="176" fontId="5" fillId="0" borderId="0" xfId="3" applyNumberFormat="1" applyFont="1" applyBorder="1"/>
    <xf numFmtId="10" fontId="9" fillId="0" borderId="6" xfId="1" applyNumberFormat="1" applyFont="1" applyBorder="1"/>
    <xf numFmtId="164" fontId="9" fillId="0" borderId="7" xfId="1" applyNumberFormat="1" applyFont="1" applyBorder="1"/>
    <xf numFmtId="164" fontId="9" fillId="0" borderId="8" xfId="1" applyNumberFormat="1" applyFont="1" applyBorder="1"/>
    <xf numFmtId="164" fontId="3" fillId="0" borderId="0" xfId="1" applyNumberFormat="1" applyFont="1" applyAlignment="1">
      <alignment horizontal="right" wrapText="1"/>
    </xf>
    <xf numFmtId="10" fontId="3" fillId="0" borderId="0" xfId="3" applyNumberFormat="1" applyFont="1" applyFill="1" applyBorder="1" applyAlignment="1">
      <alignment horizontal="right" wrapText="1"/>
    </xf>
    <xf numFmtId="10" fontId="3" fillId="0" borderId="0" xfId="2" applyNumberFormat="1" applyFont="1" applyBorder="1"/>
    <xf numFmtId="177" fontId="3" fillId="0" borderId="0" xfId="2" applyNumberFormat="1" applyFont="1" applyFill="1" applyBorder="1"/>
    <xf numFmtId="44" fontId="3" fillId="0" borderId="0" xfId="2" applyFont="1" applyBorder="1"/>
    <xf numFmtId="43" fontId="3" fillId="0" borderId="0" xfId="2" applyNumberFormat="1" applyFont="1" applyBorder="1"/>
    <xf numFmtId="41" fontId="3" fillId="0" borderId="0" xfId="2" applyNumberFormat="1" applyFont="1" applyBorder="1"/>
    <xf numFmtId="10" fontId="3" fillId="0" borderId="0" xfId="3" applyNumberFormat="1" applyFont="1" applyBorder="1"/>
    <xf numFmtId="179" fontId="16" fillId="0" borderId="0" xfId="3" applyNumberFormat="1" applyFont="1" applyFill="1" applyBorder="1"/>
    <xf numFmtId="42" fontId="17" fillId="0" borderId="0" xfId="1" applyNumberFormat="1" applyFont="1"/>
    <xf numFmtId="180" fontId="9" fillId="0" borderId="0" xfId="3" applyNumberFormat="1" applyFont="1" applyFill="1" applyBorder="1" applyAlignment="1"/>
    <xf numFmtId="49" fontId="9" fillId="2" borderId="0" xfId="1" applyNumberFormat="1" applyFont="1" applyFill="1" applyAlignment="1">
      <alignment horizontal="left"/>
    </xf>
    <xf numFmtId="9" fontId="0" fillId="2" borderId="0" xfId="7" applyFont="1" applyFill="1" applyAlignment="1">
      <alignment horizontal="right"/>
    </xf>
    <xf numFmtId="9" fontId="9" fillId="2" borderId="0" xfId="7" applyFont="1" applyFill="1" applyAlignment="1">
      <alignment horizontal="right"/>
    </xf>
    <xf numFmtId="49" fontId="8" fillId="2" borderId="0" xfId="1" applyNumberFormat="1" applyFont="1" applyFill="1" applyAlignment="1">
      <alignment horizontal="center"/>
    </xf>
    <xf numFmtId="49" fontId="7" fillId="2" borderId="0" xfId="1" applyNumberFormat="1" applyFont="1" applyFill="1" applyAlignment="1">
      <alignment horizontal="center"/>
    </xf>
    <xf numFmtId="167" fontId="8" fillId="2" borderId="0" xfId="1" applyNumberFormat="1" applyFont="1" applyFill="1"/>
    <xf numFmtId="0" fontId="24" fillId="0" borderId="0" xfId="0" applyFont="1"/>
    <xf numFmtId="49" fontId="24" fillId="0" borderId="0" xfId="0" applyNumberFormat="1" applyFont="1"/>
    <xf numFmtId="41" fontId="8" fillId="0" borderId="0" xfId="1" quotePrefix="1" applyNumberFormat="1" applyFont="1"/>
    <xf numFmtId="173" fontId="9" fillId="0" borderId="0" xfId="1" applyNumberFormat="1" applyFont="1"/>
    <xf numFmtId="3" fontId="3" fillId="0" borderId="0" xfId="1" applyNumberFormat="1" applyFont="1"/>
    <xf numFmtId="3" fontId="0" fillId="0" borderId="0" xfId="0" applyNumberFormat="1"/>
    <xf numFmtId="3" fontId="24" fillId="0" borderId="0" xfId="0" applyNumberFormat="1" applyFont="1"/>
    <xf numFmtId="172" fontId="23" fillId="2" borderId="0" xfId="7" applyNumberFormat="1" applyFont="1" applyFill="1"/>
    <xf numFmtId="164" fontId="22" fillId="0" borderId="0" xfId="1" applyNumberFormat="1" applyFont="1"/>
    <xf numFmtId="164" fontId="7" fillId="2" borderId="0" xfId="1" applyNumberFormat="1" applyFont="1" applyFill="1" applyAlignment="1">
      <alignment horizontal="right"/>
    </xf>
    <xf numFmtId="164" fontId="9" fillId="0" borderId="5" xfId="1" applyNumberFormat="1" applyFont="1" applyBorder="1" applyAlignment="1">
      <alignment horizontal="left" indent="2"/>
    </xf>
    <xf numFmtId="41" fontId="24" fillId="0" borderId="0" xfId="0" applyNumberFormat="1" applyFont="1"/>
    <xf numFmtId="41" fontId="0" fillId="0" borderId="0" xfId="0" applyNumberFormat="1"/>
    <xf numFmtId="9" fontId="0" fillId="0" borderId="0" xfId="8" applyFont="1"/>
    <xf numFmtId="41" fontId="24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center"/>
    </xf>
    <xf numFmtId="41" fontId="5" fillId="0" borderId="0" xfId="1" applyNumberFormat="1" applyFont="1"/>
    <xf numFmtId="164" fontId="9" fillId="0" borderId="11" xfId="1" applyNumberFormat="1" applyFont="1" applyBorder="1"/>
    <xf numFmtId="0" fontId="24" fillId="2" borderId="2" xfId="0" applyFont="1" applyFill="1" applyBorder="1"/>
    <xf numFmtId="41" fontId="24" fillId="2" borderId="2" xfId="0" applyNumberFormat="1" applyFont="1" applyFill="1" applyBorder="1" applyAlignment="1">
      <alignment horizontal="right"/>
    </xf>
    <xf numFmtId="0" fontId="0" fillId="2" borderId="0" xfId="0" applyFill="1"/>
    <xf numFmtId="41" fontId="0" fillId="2" borderId="0" xfId="0" applyNumberFormat="1" applyFill="1"/>
    <xf numFmtId="41" fontId="24" fillId="2" borderId="0" xfId="0" applyNumberFormat="1" applyFont="1" applyFill="1"/>
    <xf numFmtId="0" fontId="24" fillId="2" borderId="12" xfId="0" applyFont="1" applyFill="1" applyBorder="1"/>
    <xf numFmtId="41" fontId="24" fillId="2" borderId="12" xfId="0" applyNumberFormat="1" applyFont="1" applyFill="1" applyBorder="1"/>
    <xf numFmtId="0" fontId="9" fillId="0" borderId="0" xfId="1" applyFont="1"/>
    <xf numFmtId="44" fontId="9" fillId="0" borderId="0" xfId="1" applyNumberFormat="1" applyFont="1"/>
    <xf numFmtId="175" fontId="9" fillId="0" borderId="0" xfId="1" applyNumberFormat="1" applyFont="1"/>
    <xf numFmtId="164" fontId="9" fillId="2" borderId="0" xfId="1" applyNumberFormat="1" applyFont="1" applyFill="1" applyAlignment="1">
      <alignment horizontal="center"/>
    </xf>
    <xf numFmtId="42" fontId="24" fillId="0" borderId="0" xfId="0" applyNumberFormat="1" applyFont="1"/>
    <xf numFmtId="41" fontId="26" fillId="0" borderId="0" xfId="0" applyNumberFormat="1" applyFont="1"/>
    <xf numFmtId="3" fontId="24" fillId="0" borderId="0" xfId="0" applyNumberFormat="1" applyFont="1" applyAlignment="1">
      <alignment horizontal="right"/>
    </xf>
    <xf numFmtId="175" fontId="3" fillId="0" borderId="0" xfId="1" applyNumberFormat="1" applyFont="1"/>
    <xf numFmtId="177" fontId="8" fillId="0" borderId="6" xfId="3" applyNumberFormat="1" applyFont="1" applyFill="1" applyBorder="1"/>
    <xf numFmtId="41" fontId="8" fillId="0" borderId="0" xfId="1" applyNumberFormat="1" applyFont="1"/>
    <xf numFmtId="44" fontId="8" fillId="0" borderId="0" xfId="2" applyFont="1" applyFill="1" applyBorder="1"/>
    <xf numFmtId="177" fontId="9" fillId="0" borderId="0" xfId="3" applyNumberFormat="1" applyFont="1" applyFill="1" applyBorder="1"/>
    <xf numFmtId="41" fontId="5" fillId="0" borderId="0" xfId="3" applyNumberFormat="1" applyFont="1" applyFill="1" applyBorder="1"/>
    <xf numFmtId="177" fontId="8" fillId="0" borderId="0" xfId="3" applyNumberFormat="1" applyFont="1" applyFill="1" applyBorder="1"/>
    <xf numFmtId="41" fontId="9" fillId="0" borderId="8" xfId="1" applyNumberFormat="1" applyFont="1" applyBorder="1"/>
    <xf numFmtId="164" fontId="10" fillId="0" borderId="6" xfId="1" applyNumberFormat="1" applyFont="1" applyBorder="1" applyAlignment="1">
      <alignment horizontal="right"/>
    </xf>
    <xf numFmtId="166" fontId="13" fillId="0" borderId="0" xfId="3" applyNumberFormat="1" applyFont="1" applyBorder="1"/>
    <xf numFmtId="166" fontId="9" fillId="0" borderId="6" xfId="2" applyNumberFormat="1" applyFont="1" applyFill="1" applyBorder="1"/>
    <xf numFmtId="166" fontId="9" fillId="0" borderId="0" xfId="3" applyNumberFormat="1" applyFont="1" applyBorder="1" applyAlignment="1">
      <alignment horizontal="center"/>
    </xf>
    <xf numFmtId="166" fontId="9" fillId="0" borderId="6" xfId="3" applyNumberFormat="1" applyFont="1" applyBorder="1" applyAlignment="1">
      <alignment horizontal="center"/>
    </xf>
    <xf numFmtId="164" fontId="9" fillId="0" borderId="5" xfId="1" applyNumberFormat="1" applyFont="1" applyBorder="1" applyAlignment="1">
      <alignment horizontal="left" indent="1"/>
    </xf>
    <xf numFmtId="43" fontId="3" fillId="0" borderId="8" xfId="3" applyFont="1" applyBorder="1"/>
    <xf numFmtId="179" fontId="9" fillId="0" borderId="8" xfId="3" applyNumberFormat="1" applyFont="1" applyFill="1" applyBorder="1"/>
    <xf numFmtId="41" fontId="9" fillId="0" borderId="8" xfId="3" applyNumberFormat="1" applyFont="1" applyFill="1" applyBorder="1"/>
    <xf numFmtId="9" fontId="9" fillId="0" borderId="8" xfId="3" applyNumberFormat="1" applyFont="1" applyFill="1" applyBorder="1"/>
    <xf numFmtId="177" fontId="9" fillId="0" borderId="9" xfId="2" applyNumberFormat="1" applyFont="1" applyFill="1" applyBorder="1"/>
    <xf numFmtId="44" fontId="9" fillId="0" borderId="10" xfId="2" applyFont="1" applyFill="1" applyBorder="1"/>
    <xf numFmtId="9" fontId="9" fillId="0" borderId="0" xfId="1" applyNumberFormat="1" applyFont="1"/>
    <xf numFmtId="9" fontId="10" fillId="0" borderId="0" xfId="1" applyNumberFormat="1" applyFont="1"/>
    <xf numFmtId="43" fontId="5" fillId="0" borderId="0" xfId="1" applyNumberFormat="1" applyFont="1" applyAlignment="1">
      <alignment horizontal="center"/>
    </xf>
    <xf numFmtId="173" fontId="9" fillId="0" borderId="6" xfId="1" applyNumberFormat="1" applyFont="1" applyBorder="1"/>
    <xf numFmtId="41" fontId="3" fillId="0" borderId="6" xfId="1" applyNumberFormat="1" applyFont="1" applyBorder="1"/>
    <xf numFmtId="43" fontId="5" fillId="0" borderId="6" xfId="1" applyNumberFormat="1" applyFont="1" applyBorder="1" applyAlignment="1">
      <alignment horizontal="right" wrapText="1"/>
    </xf>
    <xf numFmtId="174" fontId="9" fillId="0" borderId="6" xfId="2" applyNumberFormat="1" applyFont="1" applyBorder="1"/>
    <xf numFmtId="164" fontId="10" fillId="0" borderId="5" xfId="1" applyNumberFormat="1" applyFont="1" applyBorder="1" applyAlignment="1">
      <alignment horizontal="left"/>
    </xf>
    <xf numFmtId="10" fontId="9" fillId="0" borderId="10" xfId="1" applyNumberFormat="1" applyFont="1" applyBorder="1"/>
    <xf numFmtId="164" fontId="9" fillId="0" borderId="0" xfId="1" applyNumberFormat="1" applyFont="1" applyAlignment="1">
      <alignment horizontal="left" indent="1"/>
    </xf>
    <xf numFmtId="164" fontId="8" fillId="0" borderId="13" xfId="1" applyNumberFormat="1" applyFont="1" applyBorder="1"/>
    <xf numFmtId="179" fontId="9" fillId="0" borderId="9" xfId="3" applyNumberFormat="1" applyFont="1" applyFill="1" applyBorder="1"/>
    <xf numFmtId="177" fontId="9" fillId="0" borderId="9" xfId="3" applyNumberFormat="1" applyFont="1" applyFill="1" applyBorder="1"/>
    <xf numFmtId="44" fontId="8" fillId="0" borderId="0" xfId="1" applyNumberFormat="1" applyFont="1"/>
    <xf numFmtId="177" fontId="8" fillId="0" borderId="6" xfId="1" applyNumberFormat="1" applyFont="1" applyBorder="1"/>
    <xf numFmtId="164" fontId="10" fillId="0" borderId="5" xfId="1" applyNumberFormat="1" applyFont="1" applyBorder="1"/>
    <xf numFmtId="41" fontId="5" fillId="0" borderId="0" xfId="1" applyNumberFormat="1" applyFont="1" applyAlignment="1">
      <alignment horizontal="center"/>
    </xf>
    <xf numFmtId="181" fontId="9" fillId="0" borderId="0" xfId="1" applyNumberFormat="1" applyFont="1"/>
    <xf numFmtId="181" fontId="9" fillId="0" borderId="0" xfId="3" applyNumberFormat="1" applyFont="1" applyFill="1" applyBorder="1"/>
    <xf numFmtId="164" fontId="10" fillId="0" borderId="10" xfId="1" applyNumberFormat="1" applyFont="1" applyBorder="1" applyAlignment="1">
      <alignment horizontal="right"/>
    </xf>
    <xf numFmtId="172" fontId="9" fillId="0" borderId="0" xfId="3" applyNumberFormat="1" applyFont="1" applyFill="1" applyBorder="1"/>
    <xf numFmtId="42" fontId="9" fillId="0" borderId="0" xfId="3" applyNumberFormat="1" applyFont="1" applyFill="1" applyBorder="1"/>
    <xf numFmtId="43" fontId="9" fillId="0" borderId="0" xfId="2" applyNumberFormat="1" applyFont="1" applyBorder="1"/>
    <xf numFmtId="10" fontId="23" fillId="2" borderId="0" xfId="7" applyNumberFormat="1" applyFont="1" applyFill="1"/>
    <xf numFmtId="41" fontId="9" fillId="0" borderId="0" xfId="3" applyNumberFormat="1" applyFont="1" applyFill="1" applyBorder="1"/>
    <xf numFmtId="43" fontId="9" fillId="0" borderId="0" xfId="2" applyNumberFormat="1" applyFont="1" applyFill="1" applyBorder="1"/>
    <xf numFmtId="43" fontId="9" fillId="0" borderId="8" xfId="2" applyNumberFormat="1" applyFont="1" applyFill="1" applyBorder="1"/>
    <xf numFmtId="43" fontId="3" fillId="0" borderId="8" xfId="2" applyNumberFormat="1" applyFont="1" applyFill="1" applyBorder="1"/>
    <xf numFmtId="172" fontId="9" fillId="0" borderId="6" xfId="3" applyNumberFormat="1" applyFont="1" applyFill="1" applyBorder="1"/>
    <xf numFmtId="44" fontId="9" fillId="0" borderId="0" xfId="2" applyFont="1" applyFill="1" applyBorder="1" applyAlignment="1">
      <alignment horizontal="center"/>
    </xf>
    <xf numFmtId="41" fontId="5" fillId="0" borderId="0" xfId="1" applyNumberFormat="1" applyFont="1" applyAlignment="1">
      <alignment horizontal="right"/>
    </xf>
    <xf numFmtId="41" fontId="5" fillId="0" borderId="6" xfId="1" applyNumberFormat="1" applyFont="1" applyBorder="1" applyAlignment="1">
      <alignment horizontal="right"/>
    </xf>
    <xf numFmtId="44" fontId="5" fillId="0" borderId="0" xfId="2" applyFont="1" applyFill="1" applyBorder="1"/>
    <xf numFmtId="166" fontId="5" fillId="0" borderId="6" xfId="2" applyNumberFormat="1" applyFont="1" applyFill="1" applyBorder="1"/>
    <xf numFmtId="180" fontId="9" fillId="0" borderId="0" xfId="1" applyNumberFormat="1" applyFont="1"/>
    <xf numFmtId="180" fontId="9" fillId="0" borderId="0" xfId="1" applyNumberFormat="1" applyFont="1" applyAlignment="1">
      <alignment horizontal="center"/>
    </xf>
    <xf numFmtId="166" fontId="9" fillId="0" borderId="0" xfId="2" applyNumberFormat="1" applyFont="1" applyBorder="1" applyAlignment="1">
      <alignment horizontal="center"/>
    </xf>
    <xf numFmtId="166" fontId="9" fillId="0" borderId="6" xfId="2" applyNumberFormat="1" applyFont="1" applyBorder="1" applyAlignment="1">
      <alignment horizontal="center"/>
    </xf>
    <xf numFmtId="166" fontId="13" fillId="0" borderId="0" xfId="3" applyNumberFormat="1" applyFont="1" applyFill="1" applyBorder="1"/>
    <xf numFmtId="180" fontId="9" fillId="0" borderId="10" xfId="1" applyNumberFormat="1" applyFont="1" applyBorder="1"/>
    <xf numFmtId="166" fontId="13" fillId="0" borderId="10" xfId="3" applyNumberFormat="1" applyFont="1" applyBorder="1"/>
    <xf numFmtId="166" fontId="9" fillId="0" borderId="10" xfId="3" applyNumberFormat="1" applyFont="1" applyBorder="1" applyAlignment="1">
      <alignment horizontal="center"/>
    </xf>
    <xf numFmtId="166" fontId="9" fillId="0" borderId="11" xfId="3" applyNumberFormat="1" applyFont="1" applyBorder="1" applyAlignment="1">
      <alignment horizontal="center"/>
    </xf>
    <xf numFmtId="166" fontId="9" fillId="0" borderId="2" xfId="2" applyNumberFormat="1" applyFont="1" applyBorder="1" applyAlignment="1">
      <alignment horizontal="center"/>
    </xf>
    <xf numFmtId="166" fontId="9" fillId="0" borderId="4" xfId="2" applyNumberFormat="1" applyFont="1" applyBorder="1" applyAlignment="1">
      <alignment horizontal="center"/>
    </xf>
    <xf numFmtId="180" fontId="9" fillId="0" borderId="10" xfId="3" applyNumberFormat="1" applyFont="1" applyFill="1" applyBorder="1" applyAlignment="1"/>
    <xf numFmtId="44" fontId="9" fillId="0" borderId="10" xfId="2" applyFont="1" applyFill="1" applyBorder="1" applyAlignment="1">
      <alignment horizontal="center"/>
    </xf>
    <xf numFmtId="166" fontId="9" fillId="0" borderId="10" xfId="2" applyNumberFormat="1" applyFont="1" applyBorder="1" applyAlignment="1">
      <alignment horizontal="center"/>
    </xf>
    <xf numFmtId="166" fontId="9" fillId="0" borderId="11" xfId="2" applyNumberFormat="1" applyFont="1" applyBorder="1" applyAlignment="1">
      <alignment horizontal="center"/>
    </xf>
    <xf numFmtId="166" fontId="9" fillId="0" borderId="15" xfId="3" applyNumberFormat="1" applyFont="1" applyFill="1" applyBorder="1" applyAlignment="1">
      <alignment horizontal="center"/>
    </xf>
    <xf numFmtId="166" fontId="9" fillId="0" borderId="16" xfId="3" applyNumberFormat="1" applyFont="1" applyFill="1" applyBorder="1" applyAlignment="1">
      <alignment horizontal="center"/>
    </xf>
    <xf numFmtId="3" fontId="24" fillId="0" borderId="0" xfId="0" applyNumberFormat="1" applyFont="1" applyAlignment="1">
      <alignment horizontal="center"/>
    </xf>
    <xf numFmtId="42" fontId="8" fillId="0" borderId="0" xfId="1" quotePrefix="1" applyNumberFormat="1" applyFont="1"/>
    <xf numFmtId="13" fontId="8" fillId="0" borderId="0" xfId="1" quotePrefix="1" applyNumberFormat="1" applyFont="1"/>
    <xf numFmtId="168" fontId="16" fillId="0" borderId="0" xfId="1" applyNumberFormat="1" applyFont="1"/>
    <xf numFmtId="166" fontId="9" fillId="0" borderId="6" xfId="1" applyNumberFormat="1" applyFont="1" applyBorder="1"/>
    <xf numFmtId="42" fontId="5" fillId="0" borderId="0" xfId="3" applyNumberFormat="1" applyFont="1" applyFill="1" applyBorder="1"/>
    <xf numFmtId="41" fontId="9" fillId="0" borderId="0" xfId="1" quotePrefix="1" applyNumberFormat="1" applyFont="1"/>
    <xf numFmtId="42" fontId="9" fillId="0" borderId="0" xfId="1" quotePrefix="1" applyNumberFormat="1" applyFont="1"/>
    <xf numFmtId="165" fontId="10" fillId="2" borderId="0" xfId="1" applyNumberFormat="1" applyFont="1" applyFill="1" applyAlignment="1">
      <alignment horizontal="right"/>
    </xf>
    <xf numFmtId="41" fontId="10" fillId="2" borderId="0" xfId="1" applyNumberFormat="1" applyFont="1" applyFill="1" applyAlignment="1">
      <alignment horizontal="right"/>
    </xf>
    <xf numFmtId="164" fontId="9" fillId="2" borderId="0" xfId="1" applyNumberFormat="1" applyFont="1" applyFill="1" applyAlignment="1">
      <alignment horizontal="right"/>
    </xf>
    <xf numFmtId="41" fontId="25" fillId="2" borderId="0" xfId="1" applyNumberFormat="1" applyFont="1" applyFill="1" applyAlignment="1">
      <alignment horizontal="center"/>
    </xf>
    <xf numFmtId="41" fontId="25" fillId="2" borderId="0" xfId="1" applyNumberFormat="1" applyFont="1" applyFill="1"/>
    <xf numFmtId="42" fontId="27" fillId="2" borderId="0" xfId="1" applyNumberFormat="1" applyFont="1" applyFill="1"/>
    <xf numFmtId="41" fontId="8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/>
    </xf>
    <xf numFmtId="0" fontId="9" fillId="0" borderId="0" xfId="1" applyFont="1" applyAlignment="1">
      <alignment horizontal="center"/>
    </xf>
    <xf numFmtId="170" fontId="9" fillId="0" borderId="0" xfId="1" applyNumberFormat="1" applyFont="1"/>
    <xf numFmtId="170" fontId="5" fillId="0" borderId="0" xfId="1" applyNumberFormat="1" applyFont="1"/>
    <xf numFmtId="166" fontId="3" fillId="0" borderId="0" xfId="1" applyNumberFormat="1" applyFont="1"/>
    <xf numFmtId="166" fontId="22" fillId="0" borderId="0" xfId="1" applyNumberFormat="1" applyFont="1"/>
    <xf numFmtId="0" fontId="8" fillId="2" borderId="0" xfId="1" applyFont="1" applyFill="1" applyAlignment="1">
      <alignment horizontal="center"/>
    </xf>
    <xf numFmtId="164" fontId="8" fillId="2" borderId="0" xfId="1" applyNumberFormat="1" applyFont="1" applyFill="1" applyAlignment="1">
      <alignment horizontal="center"/>
    </xf>
    <xf numFmtId="49" fontId="9" fillId="2" borderId="0" xfId="1" applyNumberFormat="1" applyFont="1" applyFill="1" applyAlignment="1">
      <alignment horizontal="center"/>
    </xf>
    <xf numFmtId="172" fontId="28" fillId="2" borderId="0" xfId="7" applyNumberFormat="1" applyFont="1" applyFill="1"/>
    <xf numFmtId="42" fontId="0" fillId="0" borderId="0" xfId="0" applyNumberFormat="1"/>
    <xf numFmtId="3" fontId="28" fillId="0" borderId="0" xfId="0" applyNumberFormat="1" applyFont="1" applyAlignment="1">
      <alignment horizontal="right"/>
    </xf>
    <xf numFmtId="41" fontId="8" fillId="2" borderId="0" xfId="1" quotePrefix="1" applyNumberFormat="1" applyFont="1" applyFill="1"/>
    <xf numFmtId="41" fontId="25" fillId="2" borderId="0" xfId="1" quotePrefix="1" applyNumberFormat="1" applyFont="1" applyFill="1"/>
    <xf numFmtId="41" fontId="26" fillId="0" borderId="0" xfId="0" applyNumberFormat="1" applyFont="1" applyAlignment="1">
      <alignment horizontal="center" wrapText="1"/>
    </xf>
    <xf numFmtId="42" fontId="0" fillId="2" borderId="0" xfId="0" applyNumberFormat="1" applyFill="1"/>
    <xf numFmtId="164" fontId="3" fillId="2" borderId="0" xfId="1" applyNumberFormat="1" applyFont="1" applyFill="1" applyAlignment="1">
      <alignment horizontal="center"/>
    </xf>
    <xf numFmtId="176" fontId="9" fillId="0" borderId="0" xfId="3" applyNumberFormat="1" applyFont="1" applyFill="1" applyBorder="1" applyAlignment="1">
      <alignment horizontal="center"/>
    </xf>
    <xf numFmtId="3" fontId="28" fillId="0" borderId="0" xfId="0" applyNumberFormat="1" applyFont="1" applyAlignment="1">
      <alignment horizontal="center"/>
    </xf>
    <xf numFmtId="175" fontId="8" fillId="0" borderId="0" xfId="1" applyNumberFormat="1" applyFont="1"/>
    <xf numFmtId="41" fontId="5" fillId="0" borderId="0" xfId="1" quotePrefix="1" applyNumberFormat="1" applyFont="1"/>
    <xf numFmtId="164" fontId="3" fillId="2" borderId="18" xfId="1" applyNumberFormat="1" applyFont="1" applyFill="1" applyBorder="1"/>
    <xf numFmtId="42" fontId="9" fillId="2" borderId="19" xfId="1" quotePrefix="1" applyNumberFormat="1" applyFont="1" applyFill="1" applyBorder="1"/>
    <xf numFmtId="42" fontId="9" fillId="2" borderId="15" xfId="1" quotePrefix="1" applyNumberFormat="1" applyFont="1" applyFill="1" applyBorder="1"/>
    <xf numFmtId="42" fontId="24" fillId="2" borderId="15" xfId="0" applyNumberFormat="1" applyFont="1" applyFill="1" applyBorder="1"/>
    <xf numFmtId="41" fontId="8" fillId="2" borderId="17" xfId="1" quotePrefix="1" applyNumberFormat="1" applyFont="1" applyFill="1" applyBorder="1"/>
    <xf numFmtId="170" fontId="8" fillId="2" borderId="15" xfId="1" applyNumberFormat="1" applyFont="1" applyFill="1" applyBorder="1"/>
    <xf numFmtId="170" fontId="8" fillId="2" borderId="20" xfId="1" applyNumberFormat="1" applyFont="1" applyFill="1" applyBorder="1"/>
    <xf numFmtId="169" fontId="8" fillId="2" borderId="15" xfId="1" applyNumberFormat="1" applyFont="1" applyFill="1" applyBorder="1"/>
    <xf numFmtId="41" fontId="9" fillId="2" borderId="0" xfId="1" applyNumberFormat="1" applyFont="1" applyFill="1"/>
    <xf numFmtId="41" fontId="10" fillId="2" borderId="0" xfId="1" applyNumberFormat="1" applyFont="1" applyFill="1"/>
    <xf numFmtId="41" fontId="9" fillId="2" borderId="15" xfId="1" applyNumberFormat="1" applyFont="1" applyFill="1" applyBorder="1"/>
    <xf numFmtId="170" fontId="3" fillId="0" borderId="0" xfId="1" applyNumberFormat="1" applyFont="1"/>
    <xf numFmtId="42" fontId="3" fillId="0" borderId="0" xfId="1" applyNumberFormat="1" applyFont="1"/>
    <xf numFmtId="41" fontId="5" fillId="0" borderId="6" xfId="1" applyNumberFormat="1" applyFont="1" applyBorder="1" applyAlignment="1">
      <alignment horizontal="center"/>
    </xf>
    <xf numFmtId="164" fontId="9" fillId="0" borderId="9" xfId="1" applyNumberFormat="1" applyFont="1" applyBorder="1"/>
    <xf numFmtId="42" fontId="14" fillId="0" borderId="0" xfId="3" applyNumberFormat="1" applyFont="1" applyFill="1" applyBorder="1"/>
    <xf numFmtId="41" fontId="9" fillId="0" borderId="0" xfId="1" applyNumberFormat="1" applyFont="1" applyAlignment="1">
      <alignment horizontal="center" wrapText="1"/>
    </xf>
    <xf numFmtId="41" fontId="9" fillId="0" borderId="6" xfId="1" applyNumberFormat="1" applyFont="1" applyBorder="1" applyAlignment="1">
      <alignment horizontal="center" wrapText="1"/>
    </xf>
    <xf numFmtId="174" fontId="5" fillId="0" borderId="0" xfId="2" applyNumberFormat="1" applyFont="1" applyBorder="1"/>
    <xf numFmtId="41" fontId="14" fillId="0" borderId="0" xfId="3" applyNumberFormat="1" applyFont="1" applyFill="1" applyBorder="1"/>
    <xf numFmtId="9" fontId="9" fillId="0" borderId="0" xfId="8" applyFont="1" applyBorder="1"/>
    <xf numFmtId="42" fontId="9" fillId="4" borderId="6" xfId="1" applyNumberFormat="1" applyFont="1" applyFill="1" applyBorder="1"/>
    <xf numFmtId="41" fontId="9" fillId="4" borderId="6" xfId="1" applyNumberFormat="1" applyFont="1" applyFill="1" applyBorder="1"/>
    <xf numFmtId="164" fontId="12" fillId="4" borderId="0" xfId="1" applyNumberFormat="1" applyFont="1" applyFill="1" applyAlignment="1">
      <alignment horizontal="center"/>
    </xf>
    <xf numFmtId="164" fontId="10" fillId="4" borderId="0" xfId="1" applyNumberFormat="1" applyFont="1" applyFill="1" applyAlignment="1">
      <alignment horizontal="right"/>
    </xf>
    <xf numFmtId="164" fontId="10" fillId="4" borderId="6" xfId="1" applyNumberFormat="1" applyFont="1" applyFill="1" applyBorder="1" applyAlignment="1">
      <alignment horizontal="right"/>
    </xf>
    <xf numFmtId="6" fontId="9" fillId="4" borderId="0" xfId="1" applyNumberFormat="1" applyFont="1" applyFill="1"/>
    <xf numFmtId="164" fontId="9" fillId="4" borderId="6" xfId="1" applyNumberFormat="1" applyFont="1" applyFill="1" applyBorder="1"/>
    <xf numFmtId="0" fontId="9" fillId="4" borderId="0" xfId="1" applyFont="1" applyFill="1"/>
    <xf numFmtId="10" fontId="9" fillId="0" borderId="0" xfId="3" applyNumberFormat="1" applyFont="1" applyFill="1" applyBorder="1"/>
    <xf numFmtId="10" fontId="9" fillId="0" borderId="8" xfId="3" applyNumberFormat="1" applyFont="1" applyFill="1" applyBorder="1"/>
    <xf numFmtId="0" fontId="9" fillId="0" borderId="0" xfId="1" applyFont="1" applyAlignment="1">
      <alignment horizontal="left"/>
    </xf>
    <xf numFmtId="42" fontId="9" fillId="0" borderId="8" xfId="1" applyNumberFormat="1" applyFont="1" applyBorder="1"/>
    <xf numFmtId="42" fontId="9" fillId="0" borderId="6" xfId="3" applyNumberFormat="1" applyFont="1" applyFill="1" applyBorder="1"/>
    <xf numFmtId="42" fontId="9" fillId="0" borderId="9" xfId="3" applyNumberFormat="1" applyFont="1" applyFill="1" applyBorder="1"/>
    <xf numFmtId="41" fontId="5" fillId="0" borderId="6" xfId="3" applyNumberFormat="1" applyFont="1" applyFill="1" applyBorder="1" applyAlignment="1">
      <alignment horizontal="center"/>
    </xf>
    <xf numFmtId="41" fontId="5" fillId="0" borderId="0" xfId="1" applyNumberFormat="1" applyFont="1" applyAlignment="1">
      <alignment horizontal="center" wrapText="1"/>
    </xf>
    <xf numFmtId="166" fontId="9" fillId="0" borderId="0" xfId="2" applyNumberFormat="1" applyFont="1" applyBorder="1"/>
    <xf numFmtId="41" fontId="5" fillId="0" borderId="6" xfId="1" applyNumberFormat="1" applyFont="1" applyBorder="1" applyAlignment="1">
      <alignment horizontal="center" wrapText="1"/>
    </xf>
    <xf numFmtId="41" fontId="9" fillId="0" borderId="0" xfId="1" quotePrefix="1" applyNumberFormat="1" applyFont="1" applyAlignment="1">
      <alignment horizontal="right"/>
    </xf>
    <xf numFmtId="176" fontId="5" fillId="0" borderId="6" xfId="2" applyNumberFormat="1" applyFont="1" applyBorder="1"/>
    <xf numFmtId="166" fontId="9" fillId="0" borderId="6" xfId="2" applyNumberFormat="1" applyFont="1" applyBorder="1"/>
    <xf numFmtId="44" fontId="8" fillId="2" borderId="0" xfId="1" applyNumberFormat="1" applyFont="1" applyFill="1"/>
    <xf numFmtId="43" fontId="5" fillId="0" borderId="6" xfId="1" applyNumberFormat="1" applyFont="1" applyBorder="1" applyAlignment="1">
      <alignment horizontal="right"/>
    </xf>
    <xf numFmtId="164" fontId="10" fillId="0" borderId="6" xfId="1" quotePrefix="1" applyNumberFormat="1" applyFont="1" applyBorder="1" applyAlignment="1">
      <alignment horizontal="right"/>
    </xf>
    <xf numFmtId="168" fontId="9" fillId="0" borderId="6" xfId="1" applyNumberFormat="1" applyFont="1" applyBorder="1"/>
    <xf numFmtId="168" fontId="10" fillId="0" borderId="6" xfId="1" applyNumberFormat="1" applyFont="1" applyBorder="1"/>
    <xf numFmtId="168" fontId="5" fillId="0" borderId="6" xfId="1" applyNumberFormat="1" applyFont="1" applyBorder="1"/>
    <xf numFmtId="164" fontId="9" fillId="0" borderId="6" xfId="1" applyNumberFormat="1" applyFont="1" applyBorder="1" applyAlignment="1">
      <alignment horizontal="left"/>
    </xf>
    <xf numFmtId="43" fontId="25" fillId="0" borderId="5" xfId="1" quotePrefix="1" applyNumberFormat="1" applyFont="1" applyBorder="1" applyAlignment="1">
      <alignment horizontal="right"/>
    </xf>
    <xf numFmtId="43" fontId="5" fillId="0" borderId="6" xfId="1" quotePrefix="1" applyNumberFormat="1" applyFont="1" applyBorder="1" applyAlignment="1">
      <alignment horizontal="right"/>
    </xf>
    <xf numFmtId="41" fontId="9" fillId="0" borderId="5" xfId="1" quotePrefix="1" applyNumberFormat="1" applyFont="1" applyBorder="1" applyAlignment="1">
      <alignment horizontal="right"/>
    </xf>
    <xf numFmtId="41" fontId="9" fillId="0" borderId="6" xfId="1" quotePrefix="1" applyNumberFormat="1" applyFont="1" applyBorder="1" applyAlignment="1">
      <alignment horizontal="right"/>
    </xf>
    <xf numFmtId="166" fontId="9" fillId="0" borderId="5" xfId="1" applyNumberFormat="1" applyFont="1" applyBorder="1"/>
    <xf numFmtId="168" fontId="9" fillId="0" borderId="5" xfId="1" quotePrefix="1" applyNumberFormat="1" applyFont="1" applyBorder="1"/>
    <xf numFmtId="168" fontId="9" fillId="0" borderId="6" xfId="1" quotePrefix="1" applyNumberFormat="1" applyFont="1" applyBorder="1"/>
    <xf numFmtId="168" fontId="9" fillId="0" borderId="5" xfId="1" applyNumberFormat="1" applyFont="1" applyBorder="1"/>
    <xf numFmtId="168" fontId="5" fillId="0" borderId="5" xfId="1" applyNumberFormat="1" applyFont="1" applyBorder="1"/>
    <xf numFmtId="168" fontId="11" fillId="0" borderId="5" xfId="1" applyNumberFormat="1" applyFont="1" applyBorder="1"/>
    <xf numFmtId="168" fontId="11" fillId="0" borderId="6" xfId="1" applyNumberFormat="1" applyFont="1" applyBorder="1"/>
    <xf numFmtId="164" fontId="3" fillId="0" borderId="6" xfId="1" applyNumberFormat="1" applyFont="1" applyBorder="1" applyAlignment="1">
      <alignment horizontal="left"/>
    </xf>
    <xf numFmtId="164" fontId="8" fillId="0" borderId="5" xfId="1" applyNumberFormat="1" applyFont="1" applyBorder="1"/>
    <xf numFmtId="166" fontId="9" fillId="0" borderId="2" xfId="1" applyNumberFormat="1" applyFont="1" applyBorder="1"/>
    <xf numFmtId="166" fontId="9" fillId="0" borderId="14" xfId="1" applyNumberFormat="1" applyFont="1" applyBorder="1"/>
    <xf numFmtId="166" fontId="9" fillId="0" borderId="4" xfId="1" applyNumberFormat="1" applyFont="1" applyBorder="1"/>
    <xf numFmtId="164" fontId="10" fillId="0" borderId="5" xfId="1" quotePrefix="1" applyNumberFormat="1" applyFont="1" applyBorder="1" applyAlignment="1">
      <alignment horizontal="right"/>
    </xf>
    <xf numFmtId="168" fontId="10" fillId="0" borderId="5" xfId="1" applyNumberFormat="1" applyFont="1" applyBorder="1"/>
    <xf numFmtId="164" fontId="8" fillId="0" borderId="7" xfId="1" applyNumberFormat="1" applyFont="1" applyBorder="1"/>
    <xf numFmtId="164" fontId="9" fillId="0" borderId="9" xfId="1" applyNumberFormat="1" applyFont="1" applyBorder="1" applyAlignment="1">
      <alignment horizontal="right"/>
    </xf>
    <xf numFmtId="174" fontId="14" fillId="0" borderId="0" xfId="2" applyNumberFormat="1" applyFont="1" applyBorder="1"/>
    <xf numFmtId="174" fontId="14" fillId="0" borderId="6" xfId="2" applyNumberFormat="1" applyFont="1" applyBorder="1"/>
    <xf numFmtId="171" fontId="9" fillId="0" borderId="0" xfId="1" applyNumberFormat="1" applyFont="1"/>
    <xf numFmtId="41" fontId="30" fillId="5" borderId="24" xfId="11" applyNumberFormat="1" applyProtection="1">
      <protection locked="0"/>
    </xf>
    <xf numFmtId="172" fontId="30" fillId="5" borderId="24" xfId="11" applyNumberFormat="1" applyProtection="1">
      <protection locked="0"/>
    </xf>
    <xf numFmtId="168" fontId="30" fillId="5" borderId="24" xfId="11" applyNumberFormat="1" applyProtection="1">
      <protection locked="0"/>
    </xf>
    <xf numFmtId="10" fontId="30" fillId="5" borderId="24" xfId="11" applyNumberFormat="1" applyProtection="1">
      <protection locked="0"/>
    </xf>
    <xf numFmtId="179" fontId="30" fillId="5" borderId="24" xfId="11" applyNumberFormat="1" applyProtection="1">
      <protection locked="0"/>
    </xf>
    <xf numFmtId="44" fontId="30" fillId="5" borderId="24" xfId="11" applyNumberFormat="1" applyProtection="1">
      <protection locked="0"/>
    </xf>
    <xf numFmtId="42" fontId="30" fillId="5" borderId="24" xfId="11" applyNumberFormat="1" applyProtection="1">
      <protection locked="0"/>
    </xf>
    <xf numFmtId="166" fontId="30" fillId="5" borderId="24" xfId="11" applyNumberFormat="1" applyProtection="1">
      <protection locked="0"/>
    </xf>
    <xf numFmtId="180" fontId="30" fillId="5" borderId="24" xfId="11" applyNumberFormat="1" applyAlignment="1" applyProtection="1">
      <protection locked="0"/>
    </xf>
    <xf numFmtId="177" fontId="30" fillId="5" borderId="24" xfId="11" applyNumberFormat="1" applyProtection="1">
      <protection locked="0"/>
    </xf>
    <xf numFmtId="42" fontId="31" fillId="5" borderId="24" xfId="11" applyNumberFormat="1" applyFont="1" applyProtection="1">
      <protection locked="0"/>
    </xf>
    <xf numFmtId="181" fontId="30" fillId="5" borderId="24" xfId="11" applyNumberFormat="1" applyProtection="1">
      <protection locked="0"/>
    </xf>
    <xf numFmtId="9" fontId="30" fillId="5" borderId="25" xfId="11" applyNumberFormat="1" applyBorder="1" applyProtection="1">
      <protection locked="0"/>
    </xf>
    <xf numFmtId="43" fontId="30" fillId="5" borderId="24" xfId="11" applyNumberFormat="1" applyProtection="1">
      <protection locked="0"/>
    </xf>
    <xf numFmtId="9" fontId="30" fillId="5" borderId="24" xfId="11" applyNumberFormat="1" applyAlignment="1" applyProtection="1">
      <protection locked="0"/>
    </xf>
    <xf numFmtId="6" fontId="9" fillId="4" borderId="6" xfId="1" applyNumberFormat="1" applyFont="1" applyFill="1" applyBorder="1"/>
    <xf numFmtId="42" fontId="32" fillId="0" borderId="24" xfId="11" applyNumberFormat="1" applyFont="1" applyFill="1" applyProtection="1"/>
    <xf numFmtId="167" fontId="9" fillId="0" borderId="0" xfId="1" applyNumberFormat="1" applyFont="1"/>
    <xf numFmtId="164" fontId="2" fillId="0" borderId="0" xfId="1" applyNumberFormat="1" applyFont="1" applyAlignment="1">
      <alignment horizontal="center"/>
    </xf>
    <xf numFmtId="49" fontId="4" fillId="0" borderId="0" xfId="1" applyNumberFormat="1" applyFont="1" applyAlignment="1">
      <alignment horizontal="center"/>
    </xf>
    <xf numFmtId="181" fontId="0" fillId="0" borderId="0" xfId="0" applyNumberFormat="1"/>
    <xf numFmtId="43" fontId="25" fillId="0" borderId="0" xfId="1" applyNumberFormat="1" applyFont="1" applyAlignment="1">
      <alignment horizontal="center" wrapText="1"/>
    </xf>
    <xf numFmtId="43" fontId="25" fillId="0" borderId="0" xfId="1" quotePrefix="1" applyNumberFormat="1" applyFont="1" applyAlignment="1">
      <alignment horizontal="right"/>
    </xf>
    <xf numFmtId="43" fontId="25" fillId="0" borderId="6" xfId="1" applyNumberFormat="1" applyFont="1" applyBorder="1" applyAlignment="1">
      <alignment horizontal="right"/>
    </xf>
    <xf numFmtId="42" fontId="9" fillId="0" borderId="0" xfId="1" applyNumberFormat="1" applyFont="1" applyAlignment="1">
      <alignment horizontal="right"/>
    </xf>
    <xf numFmtId="41" fontId="9" fillId="0" borderId="0" xfId="1" applyNumberFormat="1" applyFont="1" applyAlignment="1">
      <alignment horizontal="right"/>
    </xf>
    <xf numFmtId="42" fontId="8" fillId="0" borderId="0" xfId="1" applyNumberFormat="1" applyFont="1" applyAlignment="1">
      <alignment horizontal="right"/>
    </xf>
    <xf numFmtId="41" fontId="27" fillId="0" borderId="0" xfId="1" applyNumberFormat="1" applyFont="1" applyAlignment="1">
      <alignment horizontal="right"/>
    </xf>
    <xf numFmtId="42" fontId="27" fillId="0" borderId="0" xfId="1" applyNumberFormat="1" applyFont="1" applyAlignment="1">
      <alignment horizontal="right"/>
    </xf>
    <xf numFmtId="164" fontId="33" fillId="0" borderId="0" xfId="1" applyNumberFormat="1" applyFont="1"/>
    <xf numFmtId="164" fontId="6" fillId="0" borderId="0" xfId="1" applyNumberFormat="1" applyFont="1"/>
    <xf numFmtId="0" fontId="0" fillId="0" borderId="0" xfId="0" applyAlignment="1">
      <alignment wrapText="1"/>
    </xf>
    <xf numFmtId="164" fontId="9" fillId="0" borderId="0" xfId="1" applyNumberFormat="1" applyFont="1" applyAlignment="1">
      <alignment horizontal="left" wrapText="1"/>
    </xf>
    <xf numFmtId="181" fontId="26" fillId="0" borderId="0" xfId="0" applyNumberFormat="1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9" fontId="28" fillId="0" borderId="0" xfId="8" applyFont="1"/>
    <xf numFmtId="181" fontId="0" fillId="0" borderId="0" xfId="0" applyNumberFormat="1" applyAlignment="1">
      <alignment horizontal="right"/>
    </xf>
    <xf numFmtId="166" fontId="26" fillId="0" borderId="0" xfId="0" applyNumberFormat="1" applyFont="1"/>
    <xf numFmtId="41" fontId="30" fillId="5" borderId="24" xfId="11" applyNumberFormat="1"/>
    <xf numFmtId="9" fontId="30" fillId="5" borderId="24" xfId="11" applyNumberFormat="1"/>
    <xf numFmtId="41" fontId="31" fillId="5" borderId="24" xfId="11" applyNumberFormat="1" applyFont="1"/>
    <xf numFmtId="42" fontId="5" fillId="0" borderId="0" xfId="1" quotePrefix="1" applyNumberFormat="1" applyFont="1"/>
    <xf numFmtId="42" fontId="10" fillId="0" borderId="0" xfId="1" applyNumberFormat="1" applyFont="1"/>
    <xf numFmtId="42" fontId="8" fillId="0" borderId="0" xfId="1" applyNumberFormat="1" applyFont="1"/>
    <xf numFmtId="41" fontId="8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right"/>
    </xf>
    <xf numFmtId="41" fontId="7" fillId="0" borderId="0" xfId="1" applyNumberFormat="1" applyFont="1" applyAlignment="1">
      <alignment horizontal="right"/>
    </xf>
    <xf numFmtId="164" fontId="6" fillId="0" borderId="0" xfId="1" quotePrefix="1" applyNumberFormat="1" applyFont="1" applyAlignment="1">
      <alignment horizontal="right"/>
    </xf>
    <xf numFmtId="0" fontId="34" fillId="0" borderId="0" xfId="0" applyFont="1" applyAlignment="1">
      <alignment horizontal="center"/>
    </xf>
    <xf numFmtId="179" fontId="0" fillId="0" borderId="0" xfId="12" applyNumberFormat="1" applyFont="1"/>
    <xf numFmtId="179" fontId="0" fillId="0" borderId="0" xfId="0" applyNumberFormat="1"/>
    <xf numFmtId="41" fontId="30" fillId="2" borderId="24" xfId="11" applyNumberFormat="1" applyFill="1"/>
    <xf numFmtId="9" fontId="30" fillId="2" borderId="24" xfId="11" applyNumberFormat="1" applyFill="1"/>
    <xf numFmtId="41" fontId="30" fillId="6" borderId="24" xfId="11" applyNumberFormat="1" applyFill="1"/>
    <xf numFmtId="9" fontId="30" fillId="6" borderId="24" xfId="11" applyNumberFormat="1" applyFill="1"/>
    <xf numFmtId="41" fontId="30" fillId="7" borderId="24" xfId="11" applyNumberFormat="1" applyFill="1"/>
    <xf numFmtId="9" fontId="30" fillId="7" borderId="24" xfId="11" applyNumberFormat="1" applyFill="1"/>
    <xf numFmtId="41" fontId="30" fillId="8" borderId="24" xfId="11" applyNumberFormat="1" applyFill="1"/>
    <xf numFmtId="9" fontId="30" fillId="8" borderId="24" xfId="11" applyNumberFormat="1" applyFill="1"/>
    <xf numFmtId="0" fontId="30" fillId="5" borderId="24" xfId="11"/>
    <xf numFmtId="0" fontId="30" fillId="2" borderId="24" xfId="11" applyFill="1"/>
    <xf numFmtId="0" fontId="30" fillId="8" borderId="24" xfId="11" applyFill="1"/>
    <xf numFmtId="0" fontId="30" fillId="7" borderId="24" xfId="11" applyFill="1"/>
    <xf numFmtId="0" fontId="30" fillId="6" borderId="24" xfId="11" applyFill="1"/>
    <xf numFmtId="0" fontId="35" fillId="0" borderId="0" xfId="0" applyFont="1"/>
    <xf numFmtId="166" fontId="36" fillId="2" borderId="24" xfId="11" applyNumberFormat="1" applyFont="1" applyFill="1"/>
    <xf numFmtId="166" fontId="36" fillId="7" borderId="24" xfId="11" applyNumberFormat="1" applyFont="1" applyFill="1"/>
    <xf numFmtId="166" fontId="36" fillId="6" borderId="24" xfId="11" applyNumberFormat="1" applyFont="1" applyFill="1"/>
    <xf numFmtId="166" fontId="36" fillId="8" borderId="24" xfId="11" applyNumberFormat="1" applyFont="1" applyFill="1"/>
    <xf numFmtId="166" fontId="36" fillId="5" borderId="24" xfId="11" applyNumberFormat="1" applyFont="1"/>
    <xf numFmtId="166" fontId="24" fillId="0" borderId="0" xfId="0" applyNumberFormat="1" applyFont="1"/>
    <xf numFmtId="41" fontId="38" fillId="2" borderId="24" xfId="11" applyNumberFormat="1" applyFont="1" applyFill="1"/>
    <xf numFmtId="9" fontId="38" fillId="2" borderId="24" xfId="11" applyNumberFormat="1" applyFont="1" applyFill="1"/>
    <xf numFmtId="41" fontId="38" fillId="7" borderId="24" xfId="11" applyNumberFormat="1" applyFont="1" applyFill="1"/>
    <xf numFmtId="9" fontId="38" fillId="7" borderId="24" xfId="11" applyNumberFormat="1" applyFont="1" applyFill="1"/>
    <xf numFmtId="41" fontId="38" fillId="6" borderId="24" xfId="11" applyNumberFormat="1" applyFont="1" applyFill="1"/>
    <xf numFmtId="9" fontId="38" fillId="6" borderId="24" xfId="11" applyNumberFormat="1" applyFont="1" applyFill="1"/>
    <xf numFmtId="41" fontId="38" fillId="8" borderId="24" xfId="11" applyNumberFormat="1" applyFont="1" applyFill="1"/>
    <xf numFmtId="9" fontId="38" fillId="8" borderId="24" xfId="11" applyNumberFormat="1" applyFont="1" applyFill="1"/>
    <xf numFmtId="41" fontId="38" fillId="5" borderId="24" xfId="11" applyNumberFormat="1" applyFont="1"/>
    <xf numFmtId="9" fontId="38" fillId="5" borderId="24" xfId="11" applyNumberFormat="1" applyFont="1"/>
    <xf numFmtId="0" fontId="0" fillId="0" borderId="0" xfId="0" applyAlignment="1">
      <alignment horizontal="left" indent="1"/>
    </xf>
    <xf numFmtId="9" fontId="39" fillId="5" borderId="24" xfId="11" applyNumberFormat="1" applyFont="1"/>
    <xf numFmtId="41" fontId="40" fillId="0" borderId="24" xfId="11" applyNumberFormat="1" applyFont="1" applyFill="1"/>
    <xf numFmtId="9" fontId="40" fillId="0" borderId="24" xfId="11" applyNumberFormat="1" applyFont="1" applyFill="1"/>
    <xf numFmtId="166" fontId="30" fillId="2" borderId="24" xfId="11" applyNumberFormat="1" applyFill="1"/>
    <xf numFmtId="166" fontId="30" fillId="7" borderId="24" xfId="11" applyNumberFormat="1" applyFill="1"/>
    <xf numFmtId="166" fontId="30" fillId="6" borderId="24" xfId="11" applyNumberFormat="1" applyFill="1"/>
    <xf numFmtId="166" fontId="30" fillId="8" borderId="24" xfId="11" applyNumberFormat="1" applyFill="1"/>
    <xf numFmtId="166" fontId="30" fillId="5" borderId="24" xfId="11" applyNumberFormat="1"/>
    <xf numFmtId="166" fontId="0" fillId="0" borderId="0" xfId="0" applyNumberFormat="1"/>
    <xf numFmtId="166" fontId="37" fillId="0" borderId="0" xfId="0" applyNumberFormat="1" applyFont="1"/>
    <xf numFmtId="41" fontId="5" fillId="0" borderId="5" xfId="1" applyNumberFormat="1" applyFont="1" applyBorder="1" applyAlignment="1">
      <alignment horizontal="center" wrapText="1"/>
    </xf>
    <xf numFmtId="41" fontId="9" fillId="0" borderId="5" xfId="1" applyNumberFormat="1" applyFont="1" applyBorder="1" applyAlignment="1">
      <alignment horizontal="center"/>
    </xf>
    <xf numFmtId="42" fontId="9" fillId="0" borderId="5" xfId="1" applyNumberFormat="1" applyFont="1" applyBorder="1" applyAlignment="1">
      <alignment horizontal="right"/>
    </xf>
    <xf numFmtId="41" fontId="9" fillId="0" borderId="5" xfId="1" applyNumberFormat="1" applyFont="1" applyBorder="1" applyAlignment="1">
      <alignment horizontal="right"/>
    </xf>
    <xf numFmtId="41" fontId="5" fillId="0" borderId="5" xfId="1" applyNumberFormat="1" applyFont="1" applyBorder="1" applyAlignment="1">
      <alignment horizontal="right"/>
    </xf>
    <xf numFmtId="42" fontId="8" fillId="0" borderId="5" xfId="1" applyNumberFormat="1" applyFont="1" applyBorder="1" applyAlignment="1">
      <alignment horizontal="right"/>
    </xf>
    <xf numFmtId="42" fontId="27" fillId="0" borderId="5" xfId="1" applyNumberFormat="1" applyFont="1" applyBorder="1" applyAlignment="1">
      <alignment horizontal="right"/>
    </xf>
    <xf numFmtId="41" fontId="25" fillId="0" borderId="0" xfId="1" applyNumberFormat="1" applyFont="1" applyAlignment="1">
      <alignment horizontal="right"/>
    </xf>
    <xf numFmtId="41" fontId="25" fillId="0" borderId="5" xfId="1" applyNumberFormat="1" applyFont="1" applyBorder="1" applyAlignment="1">
      <alignment horizontal="right"/>
    </xf>
    <xf numFmtId="166" fontId="40" fillId="0" borderId="24" xfId="11" applyNumberFormat="1" applyFont="1" applyFill="1"/>
    <xf numFmtId="166" fontId="3" fillId="0" borderId="0" xfId="2" applyNumberFormat="1" applyFont="1" applyBorder="1"/>
    <xf numFmtId="168" fontId="3" fillId="0" borderId="5" xfId="1" quotePrefix="1" applyNumberFormat="1" applyFont="1" applyBorder="1"/>
    <xf numFmtId="166" fontId="3" fillId="0" borderId="11" xfId="3" applyNumberFormat="1" applyFont="1" applyBorder="1" applyAlignment="1">
      <alignment horizontal="center"/>
    </xf>
    <xf numFmtId="166" fontId="3" fillId="0" borderId="5" xfId="1" applyNumberFormat="1" applyFont="1" applyBorder="1"/>
    <xf numFmtId="0" fontId="0" fillId="0" borderId="5" xfId="0" applyBorder="1"/>
    <xf numFmtId="0" fontId="0" fillId="0" borderId="6" xfId="0" applyBorder="1"/>
    <xf numFmtId="166" fontId="0" fillId="0" borderId="5" xfId="0" applyNumberFormat="1" applyBorder="1"/>
    <xf numFmtId="42" fontId="0" fillId="0" borderId="6" xfId="0" applyNumberFormat="1" applyBorder="1"/>
    <xf numFmtId="166" fontId="24" fillId="0" borderId="5" xfId="0" applyNumberFormat="1" applyFont="1" applyBorder="1"/>
    <xf numFmtId="42" fontId="24" fillId="0" borderId="6" xfId="0" applyNumberFormat="1" applyFont="1" applyBorder="1"/>
    <xf numFmtId="9" fontId="30" fillId="5" borderId="24" xfId="11" applyNumberFormat="1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>
      <alignment horizontal="right"/>
    </xf>
    <xf numFmtId="0" fontId="41" fillId="0" borderId="0" xfId="0" applyFont="1"/>
    <xf numFmtId="42" fontId="37" fillId="0" borderId="0" xfId="0" applyNumberFormat="1" applyFont="1"/>
    <xf numFmtId="42" fontId="42" fillId="0" borderId="0" xfId="0" applyNumberFormat="1" applyFont="1"/>
    <xf numFmtId="42" fontId="26" fillId="0" borderId="0" xfId="0" applyNumberFormat="1" applyFont="1"/>
    <xf numFmtId="41" fontId="42" fillId="0" borderId="0" xfId="0" applyNumberFormat="1" applyFont="1"/>
    <xf numFmtId="43" fontId="0" fillId="0" borderId="0" xfId="0" applyNumberFormat="1"/>
    <xf numFmtId="43" fontId="26" fillId="0" borderId="0" xfId="0" applyNumberFormat="1" applyFont="1"/>
    <xf numFmtId="41" fontId="9" fillId="2" borderId="0" xfId="1" applyNumberFormat="1" applyFont="1" applyFill="1" applyAlignment="1">
      <alignment horizontal="right"/>
    </xf>
    <xf numFmtId="9" fontId="42" fillId="0" borderId="0" xfId="8" applyFont="1"/>
    <xf numFmtId="166" fontId="42" fillId="0" borderId="0" xfId="0" applyNumberFormat="1" applyFont="1"/>
    <xf numFmtId="0" fontId="24" fillId="0" borderId="0" xfId="0" applyFont="1" applyAlignment="1">
      <alignment horizontal="left" indent="1"/>
    </xf>
    <xf numFmtId="0" fontId="38" fillId="0" borderId="0" xfId="0" applyFont="1" applyAlignment="1">
      <alignment horizontal="center" vertical="center" wrapText="1"/>
    </xf>
    <xf numFmtId="41" fontId="8" fillId="2" borderId="0" xfId="1" applyNumberFormat="1" applyFont="1" applyFill="1" applyAlignment="1">
      <alignment horizontal="center" vertical="center" wrapText="1"/>
    </xf>
    <xf numFmtId="42" fontId="8" fillId="2" borderId="0" xfId="1" quotePrefix="1" applyNumberFormat="1" applyFont="1" applyFill="1"/>
    <xf numFmtId="42" fontId="24" fillId="2" borderId="0" xfId="0" applyNumberFormat="1" applyFont="1" applyFill="1"/>
    <xf numFmtId="42" fontId="25" fillId="2" borderId="0" xfId="1" quotePrefix="1" applyNumberFormat="1" applyFont="1" applyFill="1"/>
    <xf numFmtId="42" fontId="37" fillId="2" borderId="0" xfId="0" applyNumberFormat="1" applyFont="1" applyFill="1"/>
    <xf numFmtId="0" fontId="24" fillId="2" borderId="0" xfId="0" applyFont="1" applyFill="1"/>
    <xf numFmtId="42" fontId="7" fillId="2" borderId="0" xfId="1" applyNumberFormat="1" applyFont="1" applyFill="1"/>
    <xf numFmtId="42" fontId="22" fillId="2" borderId="0" xfId="1" applyNumberFormat="1" applyFont="1" applyFill="1"/>
    <xf numFmtId="41" fontId="22" fillId="2" borderId="0" xfId="1" applyNumberFormat="1" applyFont="1" applyFill="1" applyAlignment="1">
      <alignment horizontal="center"/>
    </xf>
    <xf numFmtId="164" fontId="44" fillId="2" borderId="0" xfId="1" applyNumberFormat="1" applyFont="1" applyFill="1" applyAlignment="1">
      <alignment horizontal="center"/>
    </xf>
    <xf numFmtId="41" fontId="8" fillId="2" borderId="0" xfId="1" applyNumberFormat="1" applyFont="1" applyFill="1"/>
    <xf numFmtId="10" fontId="28" fillId="2" borderId="0" xfId="7" applyNumberFormat="1" applyFont="1" applyFill="1"/>
    <xf numFmtId="49" fontId="8" fillId="2" borderId="0" xfId="1" applyNumberFormat="1" applyFont="1" applyFill="1" applyAlignment="1">
      <alignment horizontal="left"/>
    </xf>
    <xf numFmtId="9" fontId="24" fillId="2" borderId="0" xfId="7" applyFont="1" applyFill="1" applyAlignment="1">
      <alignment horizontal="right"/>
    </xf>
    <xf numFmtId="9" fontId="8" fillId="2" borderId="0" xfId="7" applyFont="1" applyFill="1" applyAlignment="1">
      <alignment horizontal="right"/>
    </xf>
    <xf numFmtId="44" fontId="24" fillId="2" borderId="0" xfId="0" applyNumberFormat="1" applyFont="1" applyFill="1"/>
    <xf numFmtId="174" fontId="3" fillId="0" borderId="0" xfId="2" applyNumberFormat="1" applyFont="1" applyBorder="1"/>
    <xf numFmtId="168" fontId="43" fillId="5" borderId="24" xfId="11" applyNumberFormat="1" applyFont="1" applyProtection="1">
      <protection locked="0"/>
    </xf>
    <xf numFmtId="0" fontId="28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182" fontId="3" fillId="0" borderId="0" xfId="1" applyNumberFormat="1" applyFont="1"/>
    <xf numFmtId="170" fontId="0" fillId="0" borderId="0" xfId="0" applyNumberFormat="1"/>
    <xf numFmtId="183" fontId="0" fillId="0" borderId="0" xfId="0" applyNumberFormat="1"/>
    <xf numFmtId="170" fontId="0" fillId="0" borderId="10" xfId="0" applyNumberFormat="1" applyBorder="1"/>
    <xf numFmtId="170" fontId="0" fillId="0" borderId="2" xfId="0" applyNumberFormat="1" applyBorder="1"/>
    <xf numFmtId="183" fontId="24" fillId="0" borderId="12" xfId="0" applyNumberFormat="1" applyFont="1" applyBorder="1"/>
    <xf numFmtId="41" fontId="24" fillId="0" borderId="27" xfId="0" applyNumberFormat="1" applyFont="1" applyBorder="1"/>
    <xf numFmtId="41" fontId="25" fillId="0" borderId="0" xfId="1" applyNumberFormat="1" applyFont="1" applyAlignment="1">
      <alignment horizontal="center" wrapText="1"/>
    </xf>
    <xf numFmtId="41" fontId="37" fillId="0" borderId="0" xfId="0" applyNumberFormat="1" applyFont="1"/>
    <xf numFmtId="42" fontId="5" fillId="0" borderId="0" xfId="1" applyNumberFormat="1" applyFont="1"/>
    <xf numFmtId="42" fontId="14" fillId="0" borderId="0" xfId="1" applyNumberFormat="1" applyFont="1"/>
    <xf numFmtId="0" fontId="34" fillId="0" borderId="0" xfId="0" quotePrefix="1" applyFont="1" applyAlignment="1">
      <alignment horizontal="center"/>
    </xf>
    <xf numFmtId="0" fontId="0" fillId="0" borderId="2" xfId="0" applyBorder="1"/>
    <xf numFmtId="179" fontId="0" fillId="2" borderId="2" xfId="0" applyNumberFormat="1" applyFill="1" applyBorder="1"/>
    <xf numFmtId="179" fontId="0" fillId="6" borderId="2" xfId="0" applyNumberFormat="1" applyFill="1" applyBorder="1"/>
    <xf numFmtId="179" fontId="0" fillId="8" borderId="2" xfId="0" applyNumberFormat="1" applyFill="1" applyBorder="1"/>
    <xf numFmtId="179" fontId="32" fillId="5" borderId="2" xfId="11" applyNumberFormat="1" applyFont="1" applyBorder="1"/>
    <xf numFmtId="179" fontId="0" fillId="7" borderId="2" xfId="0" applyNumberFormat="1" applyFill="1" applyBorder="1"/>
    <xf numFmtId="179" fontId="24" fillId="0" borderId="2" xfId="0" applyNumberFormat="1" applyFont="1" applyBorder="1"/>
    <xf numFmtId="179" fontId="0" fillId="7" borderId="10" xfId="0" applyNumberFormat="1" applyFill="1" applyBorder="1"/>
    <xf numFmtId="179" fontId="24" fillId="0" borderId="10" xfId="0" applyNumberFormat="1" applyFont="1" applyBorder="1"/>
    <xf numFmtId="0" fontId="24" fillId="0" borderId="28" xfId="0" applyFont="1" applyBorder="1" applyAlignment="1">
      <alignment horizontal="right"/>
    </xf>
    <xf numFmtId="179" fontId="24" fillId="0" borderId="29" xfId="0" applyNumberFormat="1" applyFont="1" applyBorder="1"/>
    <xf numFmtId="0" fontId="24" fillId="0" borderId="19" xfId="0" applyFont="1" applyBorder="1" applyAlignment="1">
      <alignment horizontal="right"/>
    </xf>
    <xf numFmtId="9" fontId="24" fillId="0" borderId="20" xfId="8" applyFont="1" applyBorder="1"/>
    <xf numFmtId="179" fontId="24" fillId="0" borderId="30" xfId="0" applyNumberFormat="1" applyFont="1" applyBorder="1"/>
    <xf numFmtId="0" fontId="0" fillId="0" borderId="30" xfId="0" applyBorder="1"/>
    <xf numFmtId="9" fontId="24" fillId="0" borderId="15" xfId="8" applyFont="1" applyBorder="1"/>
    <xf numFmtId="0" fontId="0" fillId="0" borderId="15" xfId="0" applyBorder="1"/>
    <xf numFmtId="179" fontId="0" fillId="9" borderId="2" xfId="0" applyNumberFormat="1" applyFill="1" applyBorder="1"/>
    <xf numFmtId="0" fontId="32" fillId="0" borderId="0" xfId="0" applyFont="1"/>
    <xf numFmtId="179" fontId="0" fillId="0" borderId="0" xfId="12" applyNumberFormat="1" applyFont="1" applyFill="1"/>
    <xf numFmtId="179" fontId="26" fillId="0" borderId="0" xfId="12" applyNumberFormat="1" applyFont="1" applyFill="1"/>
    <xf numFmtId="179" fontId="23" fillId="0" borderId="0" xfId="12" applyNumberFormat="1" applyFont="1" applyFill="1"/>
    <xf numFmtId="43" fontId="0" fillId="0" borderId="0" xfId="12" applyFont="1" applyFill="1"/>
    <xf numFmtId="0" fontId="24" fillId="0" borderId="17" xfId="0" applyFont="1" applyBorder="1"/>
    <xf numFmtId="0" fontId="45" fillId="11" borderId="20" xfId="0" applyFont="1" applyFill="1" applyBorder="1"/>
    <xf numFmtId="0" fontId="45" fillId="11" borderId="15" xfId="0" applyFont="1" applyFill="1" applyBorder="1"/>
    <xf numFmtId="41" fontId="24" fillId="11" borderId="15" xfId="0" applyNumberFormat="1" applyFont="1" applyFill="1" applyBorder="1"/>
    <xf numFmtId="0" fontId="24" fillId="10" borderId="15" xfId="0" applyFont="1" applyFill="1" applyBorder="1"/>
    <xf numFmtId="0" fontId="24" fillId="12" borderId="15" xfId="0" applyFont="1" applyFill="1" applyBorder="1"/>
    <xf numFmtId="179" fontId="24" fillId="12" borderId="15" xfId="12" applyNumberFormat="1" applyFont="1" applyFill="1" applyBorder="1"/>
    <xf numFmtId="41" fontId="24" fillId="12" borderId="15" xfId="0" applyNumberFormat="1" applyFont="1" applyFill="1" applyBorder="1"/>
    <xf numFmtId="0" fontId="45" fillId="0" borderId="15" xfId="0" applyFont="1" applyBorder="1"/>
    <xf numFmtId="181" fontId="45" fillId="0" borderId="15" xfId="0" applyNumberFormat="1" applyFont="1" applyBorder="1"/>
    <xf numFmtId="41" fontId="24" fillId="0" borderId="15" xfId="12" applyNumberFormat="1" applyFont="1" applyFill="1" applyBorder="1"/>
    <xf numFmtId="172" fontId="24" fillId="0" borderId="19" xfId="8" applyNumberFormat="1" applyFont="1" applyFill="1" applyBorder="1"/>
    <xf numFmtId="172" fontId="24" fillId="0" borderId="15" xfId="8" applyNumberFormat="1" applyFont="1" applyFill="1" applyBorder="1"/>
    <xf numFmtId="0" fontId="24" fillId="0" borderId="20" xfId="0" applyFont="1" applyBorder="1"/>
    <xf numFmtId="42" fontId="24" fillId="0" borderId="15" xfId="0" applyNumberFormat="1" applyFont="1" applyBorder="1"/>
    <xf numFmtId="41" fontId="24" fillId="0" borderId="15" xfId="0" applyNumberFormat="1" applyFont="1" applyBorder="1"/>
    <xf numFmtId="0" fontId="24" fillId="0" borderId="19" xfId="0" applyFont="1" applyBorder="1"/>
    <xf numFmtId="42" fontId="46" fillId="11" borderId="18" xfId="0" applyNumberFormat="1" applyFont="1" applyFill="1" applyBorder="1"/>
    <xf numFmtId="183" fontId="46" fillId="11" borderId="0" xfId="0" applyNumberFormat="1" applyFont="1" applyFill="1"/>
    <xf numFmtId="41" fontId="42" fillId="11" borderId="0" xfId="0" applyNumberFormat="1" applyFont="1" applyFill="1"/>
    <xf numFmtId="170" fontId="42" fillId="10" borderId="0" xfId="0" applyNumberFormat="1" applyFont="1" applyFill="1"/>
    <xf numFmtId="183" fontId="42" fillId="10" borderId="0" xfId="0" applyNumberFormat="1" applyFont="1" applyFill="1"/>
    <xf numFmtId="170" fontId="42" fillId="12" borderId="0" xfId="0" applyNumberFormat="1" applyFont="1" applyFill="1"/>
    <xf numFmtId="42" fontId="42" fillId="12" borderId="0" xfId="0" applyNumberFormat="1" applyFont="1" applyFill="1"/>
    <xf numFmtId="41" fontId="42" fillId="12" borderId="0" xfId="0" applyNumberFormat="1" applyFont="1" applyFill="1"/>
    <xf numFmtId="183" fontId="42" fillId="0" borderId="0" xfId="0" applyNumberFormat="1" applyFont="1"/>
    <xf numFmtId="181" fontId="45" fillId="0" borderId="0" xfId="0" applyNumberFormat="1" applyFont="1"/>
    <xf numFmtId="0" fontId="45" fillId="0" borderId="0" xfId="0" applyFont="1"/>
    <xf numFmtId="0" fontId="24" fillId="0" borderId="18" xfId="0" applyFont="1" applyBorder="1" applyAlignment="1">
      <alignment horizontal="center"/>
    </xf>
    <xf numFmtId="0" fontId="0" fillId="0" borderId="17" xfId="0" applyBorder="1"/>
    <xf numFmtId="42" fontId="47" fillId="11" borderId="18" xfId="0" applyNumberFormat="1" applyFont="1" applyFill="1" applyBorder="1"/>
    <xf numFmtId="183" fontId="47" fillId="11" borderId="0" xfId="0" applyNumberFormat="1" applyFont="1" applyFill="1"/>
    <xf numFmtId="41" fontId="48" fillId="11" borderId="0" xfId="0" applyNumberFormat="1" applyFont="1" applyFill="1"/>
    <xf numFmtId="170" fontId="48" fillId="10" borderId="0" xfId="0" applyNumberFormat="1" applyFont="1" applyFill="1"/>
    <xf numFmtId="183" fontId="48" fillId="10" borderId="0" xfId="0" applyNumberFormat="1" applyFont="1" applyFill="1"/>
    <xf numFmtId="170" fontId="48" fillId="12" borderId="0" xfId="0" applyNumberFormat="1" applyFont="1" applyFill="1"/>
    <xf numFmtId="179" fontId="26" fillId="12" borderId="0" xfId="12" applyNumberFormat="1" applyFont="1" applyFill="1" applyBorder="1"/>
    <xf numFmtId="41" fontId="48" fillId="12" borderId="0" xfId="0" applyNumberFormat="1" applyFont="1" applyFill="1"/>
    <xf numFmtId="170" fontId="26" fillId="0" borderId="0" xfId="0" applyNumberFormat="1" applyFont="1"/>
    <xf numFmtId="181" fontId="32" fillId="0" borderId="0" xfId="0" applyNumberFormat="1" applyFont="1"/>
    <xf numFmtId="41" fontId="26" fillId="0" borderId="0" xfId="12" applyNumberFormat="1" applyFont="1" applyFill="1" applyBorder="1"/>
    <xf numFmtId="41" fontId="0" fillId="0" borderId="17" xfId="0" applyNumberFormat="1" applyBorder="1"/>
    <xf numFmtId="0" fontId="0" fillId="0" borderId="18" xfId="0" applyBorder="1"/>
    <xf numFmtId="42" fontId="47" fillId="11" borderId="18" xfId="13" applyNumberFormat="1" applyFont="1" applyFill="1" applyBorder="1"/>
    <xf numFmtId="42" fontId="47" fillId="11" borderId="0" xfId="12" applyNumberFormat="1" applyFont="1" applyFill="1" applyBorder="1"/>
    <xf numFmtId="183" fontId="48" fillId="10" borderId="0" xfId="12" applyNumberFormat="1" applyFont="1" applyFill="1" applyBorder="1"/>
    <xf numFmtId="42" fontId="48" fillId="10" borderId="0" xfId="12" applyNumberFormat="1" applyFont="1" applyFill="1" applyBorder="1"/>
    <xf numFmtId="183" fontId="48" fillId="12" borderId="0" xfId="12" applyNumberFormat="1" applyFont="1" applyFill="1" applyBorder="1"/>
    <xf numFmtId="168" fontId="23" fillId="12" borderId="0" xfId="12" applyNumberFormat="1" applyFont="1" applyFill="1" applyBorder="1"/>
    <xf numFmtId="183" fontId="23" fillId="12" borderId="0" xfId="12" applyNumberFormat="1" applyFont="1" applyFill="1" applyBorder="1"/>
    <xf numFmtId="42" fontId="48" fillId="12" borderId="0" xfId="12" applyNumberFormat="1" applyFont="1" applyFill="1" applyBorder="1"/>
    <xf numFmtId="183" fontId="24" fillId="0" borderId="0" xfId="0" applyNumberFormat="1" applyFont="1"/>
    <xf numFmtId="168" fontId="32" fillId="0" borderId="0" xfId="0" applyNumberFormat="1" applyFont="1"/>
    <xf numFmtId="183" fontId="32" fillId="0" borderId="0" xfId="0" applyNumberFormat="1" applyFont="1"/>
    <xf numFmtId="41" fontId="24" fillId="0" borderId="17" xfId="12" applyNumberFormat="1" applyFont="1" applyFill="1" applyBorder="1"/>
    <xf numFmtId="41" fontId="49" fillId="11" borderId="18" xfId="0" applyNumberFormat="1" applyFont="1" applyFill="1" applyBorder="1"/>
    <xf numFmtId="41" fontId="49" fillId="11" borderId="0" xfId="0" applyNumberFormat="1" applyFont="1" applyFill="1"/>
    <xf numFmtId="41" fontId="26" fillId="11" borderId="0" xfId="0" applyNumberFormat="1" applyFont="1" applyFill="1"/>
    <xf numFmtId="170" fontId="26" fillId="10" borderId="0" xfId="0" applyNumberFormat="1" applyFont="1" applyFill="1"/>
    <xf numFmtId="41" fontId="26" fillId="10" borderId="0" xfId="0" applyNumberFormat="1" applyFont="1" applyFill="1"/>
    <xf numFmtId="170" fontId="26" fillId="12" borderId="0" xfId="0" applyNumberFormat="1" applyFont="1" applyFill="1"/>
    <xf numFmtId="168" fontId="0" fillId="12" borderId="0" xfId="0" applyNumberFormat="1" applyFill="1"/>
    <xf numFmtId="170" fontId="0" fillId="12" borderId="0" xfId="0" applyNumberFormat="1" applyFill="1"/>
    <xf numFmtId="41" fontId="26" fillId="12" borderId="0" xfId="0" applyNumberFormat="1" applyFont="1" applyFill="1"/>
    <xf numFmtId="170" fontId="49" fillId="0" borderId="0" xfId="0" applyNumberFormat="1" applyFont="1"/>
    <xf numFmtId="170" fontId="32" fillId="0" borderId="0" xfId="0" applyNumberFormat="1" applyFont="1"/>
    <xf numFmtId="42" fontId="0" fillId="0" borderId="0" xfId="0" applyNumberFormat="1" applyAlignment="1">
      <alignment horizontal="left" indent="1"/>
    </xf>
    <xf numFmtId="41" fontId="0" fillId="0" borderId="0" xfId="0" applyNumberFormat="1" applyAlignment="1">
      <alignment horizontal="left" indent="1"/>
    </xf>
    <xf numFmtId="0" fontId="0" fillId="0" borderId="17" xfId="0" applyBorder="1" applyAlignment="1">
      <alignment horizontal="left" indent="1"/>
    </xf>
    <xf numFmtId="41" fontId="49" fillId="11" borderId="18" xfId="12" applyNumberFormat="1" applyFont="1" applyFill="1" applyBorder="1"/>
    <xf numFmtId="41" fontId="49" fillId="11" borderId="0" xfId="12" applyNumberFormat="1" applyFont="1" applyFill="1" applyBorder="1"/>
    <xf numFmtId="41" fontId="32" fillId="11" borderId="0" xfId="0" applyNumberFormat="1" applyFont="1" applyFill="1"/>
    <xf numFmtId="170" fontId="26" fillId="10" borderId="0" xfId="12" applyNumberFormat="1" applyFont="1" applyFill="1" applyBorder="1"/>
    <xf numFmtId="41" fontId="26" fillId="10" borderId="0" xfId="12" applyNumberFormat="1" applyFont="1" applyFill="1" applyBorder="1"/>
    <xf numFmtId="170" fontId="26" fillId="12" borderId="0" xfId="12" applyNumberFormat="1" applyFont="1" applyFill="1" applyBorder="1"/>
    <xf numFmtId="170" fontId="23" fillId="12" borderId="0" xfId="12" applyNumberFormat="1" applyFont="1" applyFill="1" applyBorder="1"/>
    <xf numFmtId="41" fontId="26" fillId="12" borderId="0" xfId="12" applyNumberFormat="1" applyFont="1" applyFill="1" applyBorder="1"/>
    <xf numFmtId="41" fontId="23" fillId="12" borderId="0" xfId="12" applyNumberFormat="1" applyFont="1" applyFill="1" applyBorder="1"/>
    <xf numFmtId="168" fontId="0" fillId="0" borderId="0" xfId="13" applyNumberFormat="1" applyFont="1" applyFill="1" applyBorder="1"/>
    <xf numFmtId="168" fontId="32" fillId="12" borderId="0" xfId="12" applyNumberFormat="1" applyFont="1" applyFill="1" applyBorder="1"/>
    <xf numFmtId="170" fontId="32" fillId="12" borderId="0" xfId="12" applyNumberFormat="1" applyFont="1" applyFill="1" applyBorder="1"/>
    <xf numFmtId="170" fontId="32" fillId="0" borderId="0" xfId="12" applyNumberFormat="1" applyFont="1" applyFill="1" applyBorder="1"/>
    <xf numFmtId="0" fontId="0" fillId="0" borderId="18" xfId="0" applyBorder="1" applyAlignment="1">
      <alignment horizontal="center"/>
    </xf>
    <xf numFmtId="41" fontId="0" fillId="0" borderId="0" xfId="0" applyNumberFormat="1" applyAlignment="1">
      <alignment horizontal="left"/>
    </xf>
    <xf numFmtId="41" fontId="32" fillId="11" borderId="18" xfId="12" applyNumberFormat="1" applyFont="1" applyFill="1" applyBorder="1"/>
    <xf numFmtId="41" fontId="32" fillId="11" borderId="0" xfId="12" applyNumberFormat="1" applyFont="1" applyFill="1" applyBorder="1"/>
    <xf numFmtId="170" fontId="0" fillId="10" borderId="0" xfId="12" applyNumberFormat="1" applyFont="1" applyFill="1" applyBorder="1"/>
    <xf numFmtId="41" fontId="0" fillId="10" borderId="0" xfId="12" applyNumberFormat="1" applyFont="1" applyFill="1" applyBorder="1"/>
    <xf numFmtId="170" fontId="0" fillId="12" borderId="0" xfId="12" applyNumberFormat="1" applyFont="1" applyFill="1" applyBorder="1"/>
    <xf numFmtId="168" fontId="0" fillId="12" borderId="0" xfId="12" applyNumberFormat="1" applyFont="1" applyFill="1" applyBorder="1"/>
    <xf numFmtId="41" fontId="0" fillId="12" borderId="0" xfId="12" applyNumberFormat="1" applyFont="1" applyFill="1" applyBorder="1"/>
    <xf numFmtId="42" fontId="0" fillId="0" borderId="0" xfId="0" applyNumberFormat="1" applyAlignment="1">
      <alignment horizontal="left"/>
    </xf>
    <xf numFmtId="164" fontId="0" fillId="0" borderId="17" xfId="0" applyNumberFormat="1" applyBorder="1" applyAlignment="1">
      <alignment horizontal="left"/>
    </xf>
    <xf numFmtId="41" fontId="32" fillId="11" borderId="18" xfId="0" applyNumberFormat="1" applyFont="1" applyFill="1" applyBorder="1"/>
    <xf numFmtId="41" fontId="0" fillId="12" borderId="0" xfId="0" applyNumberFormat="1" applyFill="1"/>
    <xf numFmtId="170" fontId="0" fillId="10" borderId="0" xfId="0" applyNumberFormat="1" applyFill="1"/>
    <xf numFmtId="41" fontId="0" fillId="10" borderId="0" xfId="0" applyNumberFormat="1" applyFill="1"/>
    <xf numFmtId="168" fontId="32" fillId="12" borderId="0" xfId="0" applyNumberFormat="1" applyFont="1" applyFill="1"/>
    <xf numFmtId="170" fontId="32" fillId="12" borderId="0" xfId="0" applyNumberFormat="1" applyFont="1" applyFill="1"/>
    <xf numFmtId="41" fontId="32" fillId="0" borderId="17" xfId="0" applyNumberFormat="1" applyFont="1" applyBorder="1"/>
    <xf numFmtId="41" fontId="0" fillId="11" borderId="0" xfId="0" applyNumberFormat="1" applyFill="1"/>
    <xf numFmtId="42" fontId="0" fillId="13" borderId="0" xfId="0" applyNumberFormat="1" applyFill="1" applyAlignment="1">
      <alignment horizontal="left" indent="1"/>
    </xf>
    <xf numFmtId="41" fontId="0" fillId="13" borderId="0" xfId="0" applyNumberFormat="1" applyFill="1" applyAlignment="1">
      <alignment horizontal="left" indent="1"/>
    </xf>
    <xf numFmtId="41" fontId="49" fillId="0" borderId="0" xfId="0" applyNumberFormat="1" applyFont="1"/>
    <xf numFmtId="42" fontId="0" fillId="13" borderId="0" xfId="0" applyNumberFormat="1" applyFill="1"/>
    <xf numFmtId="41" fontId="0" fillId="13" borderId="0" xfId="0" applyNumberFormat="1" applyFill="1"/>
    <xf numFmtId="41" fontId="32" fillId="12" borderId="0" xfId="0" applyNumberFormat="1" applyFont="1" applyFill="1"/>
    <xf numFmtId="41" fontId="32" fillId="0" borderId="0" xfId="0" applyNumberFormat="1" applyFont="1"/>
    <xf numFmtId="170" fontId="32" fillId="10" borderId="0" xfId="0" applyNumberFormat="1" applyFont="1" applyFill="1"/>
    <xf numFmtId="41" fontId="32" fillId="10" borderId="0" xfId="0" applyNumberFormat="1" applyFont="1" applyFill="1"/>
    <xf numFmtId="183" fontId="0" fillId="12" borderId="0" xfId="0" applyNumberFormat="1" applyFill="1"/>
    <xf numFmtId="42" fontId="32" fillId="11" borderId="18" xfId="0" applyNumberFormat="1" applyFont="1" applyFill="1" applyBorder="1"/>
    <xf numFmtId="42" fontId="32" fillId="11" borderId="0" xfId="0" applyNumberFormat="1" applyFont="1" applyFill="1"/>
    <xf numFmtId="183" fontId="0" fillId="10" borderId="0" xfId="0" applyNumberFormat="1" applyFill="1"/>
    <xf numFmtId="42" fontId="0" fillId="10" borderId="0" xfId="0" applyNumberFormat="1" applyFill="1"/>
    <xf numFmtId="42" fontId="0" fillId="12" borderId="0" xfId="0" applyNumberFormat="1" applyFill="1"/>
    <xf numFmtId="183" fontId="0" fillId="0" borderId="0" xfId="13" applyNumberFormat="1" applyFont="1" applyFill="1" applyBorder="1"/>
    <xf numFmtId="183" fontId="32" fillId="12" borderId="0" xfId="0" applyNumberFormat="1" applyFont="1" applyFill="1"/>
    <xf numFmtId="0" fontId="0" fillId="0" borderId="17" xfId="0" applyBorder="1" applyAlignment="1">
      <alignment wrapText="1"/>
    </xf>
    <xf numFmtId="41" fontId="50" fillId="11" borderId="18" xfId="0" applyNumberFormat="1" applyFont="1" applyFill="1" applyBorder="1" applyAlignment="1">
      <alignment horizontal="center" wrapText="1"/>
    </xf>
    <xf numFmtId="0" fontId="50" fillId="11" borderId="0" xfId="0" applyFont="1" applyFill="1" applyAlignment="1">
      <alignment horizontal="center" wrapText="1"/>
    </xf>
    <xf numFmtId="0" fontId="50" fillId="10" borderId="0" xfId="0" applyFont="1" applyFill="1" applyAlignment="1">
      <alignment horizontal="center" wrapText="1"/>
    </xf>
    <xf numFmtId="0" fontId="50" fillId="12" borderId="0" xfId="0" applyFont="1" applyFill="1" applyAlignment="1">
      <alignment horizontal="center" wrapText="1"/>
    </xf>
    <xf numFmtId="41" fontId="50" fillId="12" borderId="0" xfId="0" applyNumberFormat="1" applyFont="1" applyFill="1" applyAlignment="1">
      <alignment horizontal="center" wrapText="1"/>
    </xf>
    <xf numFmtId="41" fontId="50" fillId="0" borderId="0" xfId="0" applyNumberFormat="1" applyFont="1" applyAlignment="1">
      <alignment horizontal="center" wrapText="1"/>
    </xf>
    <xf numFmtId="41" fontId="37" fillId="0" borderId="0" xfId="0" applyNumberFormat="1" applyFont="1" applyAlignment="1">
      <alignment horizontal="center" wrapText="1"/>
    </xf>
    <xf numFmtId="41" fontId="37" fillId="0" borderId="17" xfId="0" applyNumberFormat="1" applyFont="1" applyBorder="1" applyAlignment="1">
      <alignment horizontal="center" wrapText="1"/>
    </xf>
    <xf numFmtId="42" fontId="24" fillId="0" borderId="0" xfId="0" applyNumberFormat="1" applyFont="1" applyAlignment="1">
      <alignment wrapText="1"/>
    </xf>
    <xf numFmtId="41" fontId="24" fillId="0" borderId="0" xfId="0" applyNumberFormat="1" applyFont="1" applyAlignment="1">
      <alignment wrapText="1"/>
    </xf>
    <xf numFmtId="41" fontId="50" fillId="0" borderId="18" xfId="0" applyNumberFormat="1" applyFont="1" applyBorder="1" applyAlignment="1">
      <alignment horizontal="center" wrapText="1"/>
    </xf>
    <xf numFmtId="183" fontId="0" fillId="0" borderId="18" xfId="0" applyNumberFormat="1" applyBorder="1"/>
    <xf numFmtId="170" fontId="32" fillId="0" borderId="18" xfId="0" applyNumberFormat="1" applyFont="1" applyBorder="1"/>
    <xf numFmtId="170" fontId="49" fillId="0" borderId="18" xfId="0" applyNumberFormat="1" applyFont="1" applyBorder="1"/>
    <xf numFmtId="183" fontId="24" fillId="0" borderId="18" xfId="0" applyNumberFormat="1" applyFont="1" applyBorder="1"/>
    <xf numFmtId="170" fontId="26" fillId="0" borderId="18" xfId="0" applyNumberFormat="1" applyFont="1" applyBorder="1"/>
    <xf numFmtId="183" fontId="42" fillId="0" borderId="18" xfId="0" applyNumberFormat="1" applyFont="1" applyBorder="1"/>
    <xf numFmtId="0" fontId="45" fillId="0" borderId="20" xfId="0" applyFont="1" applyBorder="1"/>
    <xf numFmtId="43" fontId="25" fillId="0" borderId="5" xfId="1" quotePrefix="1" applyNumberFormat="1" applyFont="1" applyBorder="1" applyAlignment="1">
      <alignment horizontal="center"/>
    </xf>
    <xf numFmtId="43" fontId="5" fillId="0" borderId="6" xfId="1" applyNumberFormat="1" applyFont="1" applyBorder="1" applyAlignment="1">
      <alignment horizontal="center"/>
    </xf>
    <xf numFmtId="183" fontId="9" fillId="0" borderId="0" xfId="1" applyNumberFormat="1" applyFont="1"/>
    <xf numFmtId="183" fontId="9" fillId="0" borderId="6" xfId="1" applyNumberFormat="1" applyFont="1" applyBorder="1"/>
    <xf numFmtId="183" fontId="9" fillId="0" borderId="5" xfId="1" applyNumberFormat="1" applyFont="1" applyBorder="1"/>
    <xf numFmtId="183" fontId="8" fillId="0" borderId="1" xfId="1" applyNumberFormat="1" applyFont="1" applyBorder="1"/>
    <xf numFmtId="183" fontId="9" fillId="0" borderId="2" xfId="1" applyNumberFormat="1" applyFont="1" applyBorder="1"/>
    <xf numFmtId="183" fontId="9" fillId="0" borderId="4" xfId="1" applyNumberFormat="1" applyFont="1" applyBorder="1"/>
    <xf numFmtId="170" fontId="9" fillId="0" borderId="5" xfId="1" quotePrefix="1" applyNumberFormat="1" applyFont="1" applyBorder="1"/>
    <xf numFmtId="170" fontId="9" fillId="0" borderId="6" xfId="1" applyNumberFormat="1" applyFont="1" applyBorder="1"/>
    <xf numFmtId="170" fontId="9" fillId="0" borderId="6" xfId="1" quotePrefix="1" applyNumberFormat="1" applyFont="1" applyBorder="1"/>
    <xf numFmtId="170" fontId="9" fillId="0" borderId="5" xfId="1" applyNumberFormat="1" applyFont="1" applyBorder="1"/>
    <xf numFmtId="170" fontId="10" fillId="0" borderId="5" xfId="1" applyNumberFormat="1" applyFont="1" applyBorder="1"/>
    <xf numFmtId="170" fontId="10" fillId="0" borderId="0" xfId="1" applyNumberFormat="1" applyFont="1"/>
    <xf numFmtId="170" fontId="10" fillId="0" borderId="6" xfId="1" applyNumberFormat="1" applyFont="1" applyBorder="1"/>
    <xf numFmtId="170" fontId="5" fillId="0" borderId="5" xfId="1" applyNumberFormat="1" applyFont="1" applyBorder="1"/>
    <xf numFmtId="170" fontId="5" fillId="0" borderId="6" xfId="1" applyNumberFormat="1" applyFont="1" applyBorder="1"/>
    <xf numFmtId="170" fontId="11" fillId="0" borderId="5" xfId="1" applyNumberFormat="1" applyFont="1" applyBorder="1"/>
    <xf numFmtId="170" fontId="11" fillId="0" borderId="6" xfId="1" applyNumberFormat="1" applyFont="1" applyBorder="1"/>
    <xf numFmtId="43" fontId="25" fillId="0" borderId="0" xfId="1" quotePrefix="1" applyNumberFormat="1" applyFont="1" applyAlignment="1">
      <alignment horizontal="center"/>
    </xf>
    <xf numFmtId="43" fontId="25" fillId="0" borderId="6" xfId="1" applyNumberFormat="1" applyFont="1" applyBorder="1" applyAlignment="1">
      <alignment horizontal="center"/>
    </xf>
    <xf numFmtId="179" fontId="30" fillId="5" borderId="24" xfId="11" applyNumberFormat="1"/>
    <xf numFmtId="164" fontId="8" fillId="0" borderId="1" xfId="1" applyNumberFormat="1" applyFont="1" applyBorder="1"/>
    <xf numFmtId="164" fontId="9" fillId="0" borderId="2" xfId="1" applyNumberFormat="1" applyFont="1" applyBorder="1"/>
    <xf numFmtId="164" fontId="9" fillId="0" borderId="4" xfId="1" applyNumberFormat="1" applyFont="1" applyBorder="1" applyAlignment="1">
      <alignment horizontal="right"/>
    </xf>
    <xf numFmtId="41" fontId="26" fillId="0" borderId="0" xfId="0" applyNumberFormat="1" applyFont="1" applyAlignment="1">
      <alignment horizontal="center"/>
    </xf>
    <xf numFmtId="0" fontId="0" fillId="0" borderId="3" xfId="0" applyBorder="1"/>
    <xf numFmtId="183" fontId="26" fillId="0" borderId="0" xfId="0" applyNumberFormat="1" applyFont="1" applyAlignment="1">
      <alignment horizontal="center"/>
    </xf>
    <xf numFmtId="183" fontId="26" fillId="0" borderId="6" xfId="0" applyNumberFormat="1" applyFont="1" applyBorder="1" applyAlignment="1">
      <alignment horizontal="center"/>
    </xf>
    <xf numFmtId="183" fontId="0" fillId="0" borderId="6" xfId="0" applyNumberFormat="1" applyBorder="1"/>
    <xf numFmtId="0" fontId="0" fillId="0" borderId="5" xfId="0" applyBorder="1" applyAlignment="1">
      <alignment horizontal="left" indent="1"/>
    </xf>
    <xf numFmtId="41" fontId="0" fillId="0" borderId="10" xfId="0" applyNumberFormat="1" applyBorder="1"/>
    <xf numFmtId="183" fontId="0" fillId="0" borderId="10" xfId="0" applyNumberFormat="1" applyBorder="1"/>
    <xf numFmtId="0" fontId="0" fillId="0" borderId="10" xfId="0" applyBorder="1"/>
    <xf numFmtId="0" fontId="0" fillId="0" borderId="3" xfId="0" applyBorder="1" applyAlignment="1">
      <alignment horizontal="left"/>
    </xf>
    <xf numFmtId="183" fontId="0" fillId="0" borderId="11" xfId="0" applyNumberFormat="1" applyBorder="1"/>
    <xf numFmtId="0" fontId="0" fillId="0" borderId="35" xfId="0" applyBorder="1"/>
    <xf numFmtId="41" fontId="0" fillId="0" borderId="12" xfId="0" applyNumberFormat="1" applyBorder="1"/>
    <xf numFmtId="183" fontId="0" fillId="0" borderId="12" xfId="0" applyNumberFormat="1" applyBorder="1"/>
    <xf numFmtId="0" fontId="0" fillId="0" borderId="12" xfId="0" applyBorder="1"/>
    <xf numFmtId="183" fontId="0" fillId="0" borderId="36" xfId="0" applyNumberFormat="1" applyBorder="1"/>
    <xf numFmtId="41" fontId="26" fillId="0" borderId="5" xfId="0" applyNumberFormat="1" applyFont="1" applyBorder="1" applyAlignment="1">
      <alignment horizontal="center"/>
    </xf>
    <xf numFmtId="41" fontId="0" fillId="0" borderId="5" xfId="0" applyNumberFormat="1" applyBorder="1"/>
    <xf numFmtId="41" fontId="0" fillId="0" borderId="3" xfId="0" applyNumberFormat="1" applyBorder="1"/>
    <xf numFmtId="41" fontId="0" fillId="0" borderId="35" xfId="0" applyNumberFormat="1" applyBorder="1"/>
    <xf numFmtId="43" fontId="3" fillId="0" borderId="0" xfId="12" applyFont="1" applyFill="1" applyBorder="1"/>
    <xf numFmtId="172" fontId="30" fillId="5" borderId="37" xfId="11" applyNumberFormat="1" applyBorder="1" applyProtection="1">
      <protection locked="0"/>
    </xf>
    <xf numFmtId="168" fontId="30" fillId="5" borderId="37" xfId="11" applyNumberFormat="1" applyBorder="1" applyProtection="1">
      <protection locked="0"/>
    </xf>
    <xf numFmtId="44" fontId="30" fillId="5" borderId="38" xfId="11" applyNumberFormat="1" applyBorder="1" applyProtection="1">
      <protection locked="0"/>
    </xf>
    <xf numFmtId="43" fontId="30" fillId="5" borderId="38" xfId="11" applyNumberFormat="1" applyBorder="1" applyProtection="1">
      <protection locked="0"/>
    </xf>
    <xf numFmtId="44" fontId="9" fillId="0" borderId="6" xfId="1" applyNumberFormat="1" applyFont="1" applyBorder="1"/>
    <xf numFmtId="43" fontId="3" fillId="0" borderId="6" xfId="1" applyNumberFormat="1" applyFont="1" applyBorder="1"/>
    <xf numFmtId="168" fontId="30" fillId="5" borderId="38" xfId="11" applyNumberFormat="1" applyBorder="1" applyProtection="1">
      <protection locked="0"/>
    </xf>
    <xf numFmtId="168" fontId="43" fillId="5" borderId="38" xfId="11" applyNumberFormat="1" applyFont="1" applyBorder="1" applyProtection="1">
      <protection locked="0"/>
    </xf>
    <xf numFmtId="41" fontId="5" fillId="0" borderId="6" xfId="1" applyNumberFormat="1" applyFont="1" applyBorder="1"/>
    <xf numFmtId="167" fontId="10" fillId="0" borderId="5" xfId="1" applyNumberFormat="1" applyFont="1" applyBorder="1" applyAlignment="1">
      <alignment horizontal="right"/>
    </xf>
    <xf numFmtId="172" fontId="30" fillId="5" borderId="39" xfId="11" applyNumberFormat="1" applyBorder="1" applyProtection="1">
      <protection locked="0"/>
    </xf>
    <xf numFmtId="172" fontId="9" fillId="0" borderId="5" xfId="1" applyNumberFormat="1" applyFont="1" applyBorder="1"/>
    <xf numFmtId="9" fontId="3" fillId="0" borderId="5" xfId="1" applyNumberFormat="1" applyFont="1" applyBorder="1"/>
    <xf numFmtId="43" fontId="5" fillId="0" borderId="5" xfId="1" applyNumberFormat="1" applyFont="1" applyBorder="1" applyAlignment="1">
      <alignment horizontal="center"/>
    </xf>
    <xf numFmtId="168" fontId="30" fillId="5" borderId="39" xfId="11" applyNumberFormat="1" applyBorder="1" applyProtection="1">
      <protection locked="0"/>
    </xf>
    <xf numFmtId="10" fontId="3" fillId="0" borderId="5" xfId="1" applyNumberFormat="1" applyFont="1" applyBorder="1"/>
    <xf numFmtId="168" fontId="3" fillId="0" borderId="6" xfId="1" applyNumberFormat="1" applyFont="1" applyBorder="1"/>
    <xf numFmtId="43" fontId="25" fillId="0" borderId="5" xfId="1" applyNumberFormat="1" applyFont="1" applyBorder="1" applyAlignment="1">
      <alignment wrapText="1"/>
    </xf>
    <xf numFmtId="10" fontId="3" fillId="0" borderId="7" xfId="1" applyNumberFormat="1" applyFont="1" applyBorder="1"/>
    <xf numFmtId="164" fontId="51" fillId="4" borderId="0" xfId="1" applyNumberFormat="1" applyFont="1" applyFill="1" applyAlignment="1">
      <alignment horizontal="center"/>
    </xf>
    <xf numFmtId="41" fontId="16" fillId="0" borderId="0" xfId="1" applyNumberFormat="1" applyFont="1"/>
    <xf numFmtId="164" fontId="52" fillId="0" borderId="0" xfId="1" applyNumberFormat="1" applyFont="1"/>
    <xf numFmtId="41" fontId="25" fillId="2" borderId="0" xfId="1" applyNumberFormat="1" applyFont="1" applyFill="1" applyAlignment="1">
      <alignment horizontal="right"/>
    </xf>
    <xf numFmtId="165" fontId="9" fillId="2" borderId="0" xfId="1" applyNumberFormat="1" applyFont="1" applyFill="1" applyAlignment="1">
      <alignment horizontal="center"/>
    </xf>
    <xf numFmtId="183" fontId="3" fillId="0" borderId="5" xfId="1" applyNumberFormat="1" applyFont="1" applyBorder="1" applyAlignment="1">
      <alignment horizontal="left"/>
    </xf>
    <xf numFmtId="164" fontId="3" fillId="0" borderId="0" xfId="1" applyNumberFormat="1" applyFont="1" applyAlignment="1">
      <alignment horizontal="left" indent="1"/>
    </xf>
    <xf numFmtId="165" fontId="9" fillId="0" borderId="0" xfId="1" applyNumberFormat="1" applyFont="1" applyAlignment="1">
      <alignment horizontal="center"/>
    </xf>
    <xf numFmtId="183" fontId="8" fillId="0" borderId="3" xfId="1" applyNumberFormat="1" applyFont="1" applyBorder="1"/>
    <xf numFmtId="183" fontId="9" fillId="0" borderId="10" xfId="1" applyNumberFormat="1" applyFont="1" applyBorder="1"/>
    <xf numFmtId="183" fontId="9" fillId="0" borderId="11" xfId="1" applyNumberFormat="1" applyFont="1" applyBorder="1"/>
    <xf numFmtId="0" fontId="28" fillId="0" borderId="5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166" fontId="0" fillId="0" borderId="6" xfId="0" applyNumberFormat="1" applyBorder="1"/>
    <xf numFmtId="166" fontId="8" fillId="0" borderId="3" xfId="1" applyNumberFormat="1" applyFont="1" applyBorder="1"/>
    <xf numFmtId="166" fontId="8" fillId="0" borderId="10" xfId="1" applyNumberFormat="1" applyFont="1" applyBorder="1"/>
    <xf numFmtId="166" fontId="8" fillId="0" borderId="11" xfId="1" applyNumberFormat="1" applyFont="1" applyBorder="1"/>
    <xf numFmtId="166" fontId="8" fillId="0" borderId="4" xfId="1" applyNumberFormat="1" applyFont="1" applyBorder="1"/>
    <xf numFmtId="168" fontId="3" fillId="0" borderId="5" xfId="1" applyNumberFormat="1" applyFont="1" applyBorder="1" applyAlignment="1">
      <alignment horizontal="left"/>
    </xf>
    <xf numFmtId="168" fontId="3" fillId="0" borderId="0" xfId="1" applyNumberFormat="1" applyFont="1" applyAlignment="1">
      <alignment horizontal="left"/>
    </xf>
    <xf numFmtId="168" fontId="3" fillId="0" borderId="6" xfId="1" applyNumberFormat="1" applyFont="1" applyBorder="1" applyAlignment="1">
      <alignment horizontal="left"/>
    </xf>
    <xf numFmtId="168" fontId="0" fillId="0" borderId="6" xfId="0" applyNumberFormat="1" applyBorder="1"/>
    <xf numFmtId="168" fontId="26" fillId="0" borderId="6" xfId="0" applyNumberFormat="1" applyFont="1" applyBorder="1"/>
    <xf numFmtId="43" fontId="3" fillId="0" borderId="0" xfId="12" applyFont="1"/>
    <xf numFmtId="174" fontId="30" fillId="5" borderId="24" xfId="11" applyNumberFormat="1" applyProtection="1">
      <protection locked="0"/>
    </xf>
    <xf numFmtId="184" fontId="3" fillId="0" borderId="5" xfId="12" applyNumberFormat="1" applyFont="1" applyFill="1" applyBorder="1" applyAlignment="1">
      <alignment horizontal="left"/>
    </xf>
    <xf numFmtId="164" fontId="9" fillId="0" borderId="9" xfId="1" applyNumberFormat="1" applyFont="1" applyBorder="1" applyAlignment="1">
      <alignment horizontal="left"/>
    </xf>
    <xf numFmtId="164" fontId="3" fillId="0" borderId="9" xfId="1" applyNumberFormat="1" applyFont="1" applyBorder="1" applyAlignment="1">
      <alignment horizontal="left"/>
    </xf>
    <xf numFmtId="164" fontId="9" fillId="0" borderId="4" xfId="1" applyNumberFormat="1" applyFont="1" applyBorder="1" applyAlignment="1">
      <alignment horizontal="left"/>
    </xf>
    <xf numFmtId="184" fontId="3" fillId="0" borderId="1" xfId="12" applyNumberFormat="1" applyFont="1" applyFill="1" applyBorder="1" applyAlignment="1">
      <alignment horizontal="left"/>
    </xf>
    <xf numFmtId="164" fontId="3" fillId="0" borderId="4" xfId="1" applyNumberFormat="1" applyFont="1" applyBorder="1" applyAlignment="1">
      <alignment horizontal="left"/>
    </xf>
    <xf numFmtId="41" fontId="25" fillId="11" borderId="0" xfId="1" applyNumberFormat="1" applyFont="1" applyFill="1" applyAlignment="1">
      <alignment horizontal="center"/>
    </xf>
    <xf numFmtId="41" fontId="25" fillId="11" borderId="0" xfId="1" applyNumberFormat="1" applyFont="1" applyFill="1"/>
    <xf numFmtId="49" fontId="8" fillId="11" borderId="0" xfId="1" applyNumberFormat="1" applyFont="1" applyFill="1" applyAlignment="1">
      <alignment horizontal="center"/>
    </xf>
    <xf numFmtId="41" fontId="7" fillId="11" borderId="0" xfId="1" applyNumberFormat="1" applyFont="1" applyFill="1" applyAlignment="1">
      <alignment horizontal="right"/>
    </xf>
    <xf numFmtId="164" fontId="7" fillId="11" borderId="0" xfId="1" applyNumberFormat="1" applyFont="1" applyFill="1" applyAlignment="1">
      <alignment horizontal="right"/>
    </xf>
    <xf numFmtId="164" fontId="7" fillId="11" borderId="0" xfId="1" applyNumberFormat="1" applyFont="1" applyFill="1" applyAlignment="1">
      <alignment horizontal="center"/>
    </xf>
    <xf numFmtId="164" fontId="7" fillId="11" borderId="0" xfId="1" applyNumberFormat="1" applyFont="1" applyFill="1"/>
    <xf numFmtId="49" fontId="7" fillId="11" borderId="0" xfId="1" applyNumberFormat="1" applyFont="1" applyFill="1" applyAlignment="1">
      <alignment horizontal="center"/>
    </xf>
    <xf numFmtId="41" fontId="25" fillId="11" borderId="0" xfId="1" applyNumberFormat="1" applyFont="1" applyFill="1" applyAlignment="1">
      <alignment horizontal="right"/>
    </xf>
    <xf numFmtId="165" fontId="7" fillId="11" borderId="0" xfId="1" applyNumberFormat="1" applyFont="1" applyFill="1" applyAlignment="1">
      <alignment horizontal="right"/>
    </xf>
    <xf numFmtId="164" fontId="8" fillId="11" borderId="0" xfId="1" applyNumberFormat="1" applyFont="1" applyFill="1" applyAlignment="1">
      <alignment horizontal="right"/>
    </xf>
    <xf numFmtId="164" fontId="3" fillId="11" borderId="0" xfId="1" applyNumberFormat="1" applyFont="1" applyFill="1" applyAlignment="1">
      <alignment horizontal="center"/>
    </xf>
    <xf numFmtId="164" fontId="6" fillId="11" borderId="0" xfId="1" applyNumberFormat="1" applyFont="1" applyFill="1" applyAlignment="1">
      <alignment horizontal="center"/>
    </xf>
    <xf numFmtId="49" fontId="9" fillId="11" borderId="0" xfId="1" applyNumberFormat="1" applyFont="1" applyFill="1" applyAlignment="1">
      <alignment horizontal="left"/>
    </xf>
    <xf numFmtId="9" fontId="0" fillId="11" borderId="0" xfId="7" applyFont="1" applyFill="1" applyAlignment="1">
      <alignment horizontal="right"/>
    </xf>
    <xf numFmtId="165" fontId="9" fillId="11" borderId="0" xfId="1" applyNumberFormat="1" applyFont="1" applyFill="1" applyAlignment="1">
      <alignment horizontal="center"/>
    </xf>
    <xf numFmtId="165" fontId="10" fillId="11" borderId="0" xfId="1" applyNumberFormat="1" applyFont="1" applyFill="1" applyAlignment="1">
      <alignment horizontal="right"/>
    </xf>
    <xf numFmtId="164" fontId="8" fillId="11" borderId="0" xfId="1" applyNumberFormat="1" applyFont="1" applyFill="1" applyAlignment="1">
      <alignment horizontal="center"/>
    </xf>
    <xf numFmtId="41" fontId="10" fillId="11" borderId="0" xfId="1" applyNumberFormat="1" applyFont="1" applyFill="1" applyAlignment="1">
      <alignment horizontal="right"/>
    </xf>
    <xf numFmtId="164" fontId="9" fillId="11" borderId="0" xfId="1" applyNumberFormat="1" applyFont="1" applyFill="1" applyAlignment="1">
      <alignment horizontal="right"/>
    </xf>
    <xf numFmtId="164" fontId="6" fillId="11" borderId="0" xfId="1" quotePrefix="1" applyNumberFormat="1" applyFont="1" applyFill="1" applyAlignment="1">
      <alignment horizontal="right"/>
    </xf>
    <xf numFmtId="164" fontId="3" fillId="11" borderId="0" xfId="1" applyNumberFormat="1" applyFont="1" applyFill="1" applyAlignment="1">
      <alignment horizontal="right"/>
    </xf>
    <xf numFmtId="164" fontId="9" fillId="11" borderId="0" xfId="1" applyNumberFormat="1" applyFont="1" applyFill="1" applyAlignment="1">
      <alignment horizontal="center"/>
    </xf>
    <xf numFmtId="164" fontId="10" fillId="11" borderId="0" xfId="1" quotePrefix="1" applyNumberFormat="1" applyFont="1" applyFill="1" applyAlignment="1">
      <alignment horizontal="right"/>
    </xf>
    <xf numFmtId="42" fontId="9" fillId="11" borderId="0" xfId="1" quotePrefix="1" applyNumberFormat="1" applyFont="1" applyFill="1"/>
    <xf numFmtId="166" fontId="3" fillId="11" borderId="0" xfId="1" applyNumberFormat="1" applyFont="1" applyFill="1"/>
    <xf numFmtId="164" fontId="3" fillId="11" borderId="0" xfId="1" applyNumberFormat="1" applyFont="1" applyFill="1"/>
    <xf numFmtId="167" fontId="9" fillId="11" borderId="0" xfId="1" applyNumberFormat="1" applyFont="1" applyFill="1"/>
    <xf numFmtId="164" fontId="9" fillId="11" borderId="0" xfId="1" applyNumberFormat="1" applyFont="1" applyFill="1"/>
    <xf numFmtId="169" fontId="9" fillId="11" borderId="0" xfId="1" applyNumberFormat="1" applyFont="1" applyFill="1"/>
    <xf numFmtId="42" fontId="5" fillId="11" borderId="0" xfId="1" quotePrefix="1" applyNumberFormat="1" applyFont="1" applyFill="1"/>
    <xf numFmtId="9" fontId="9" fillId="11" borderId="0" xfId="7" applyFont="1" applyFill="1" applyAlignment="1">
      <alignment horizontal="right"/>
    </xf>
    <xf numFmtId="42" fontId="9" fillId="11" borderId="0" xfId="1" applyNumberFormat="1" applyFont="1" applyFill="1"/>
    <xf numFmtId="42" fontId="10" fillId="11" borderId="0" xfId="1" applyNumberFormat="1" applyFont="1" applyFill="1"/>
    <xf numFmtId="42" fontId="27" fillId="11" borderId="0" xfId="1" applyNumberFormat="1" applyFont="1" applyFill="1"/>
    <xf numFmtId="42" fontId="8" fillId="11" borderId="0" xfId="1" applyNumberFormat="1" applyFont="1" applyFill="1"/>
    <xf numFmtId="171" fontId="8" fillId="11" borderId="0" xfId="1" applyNumberFormat="1" applyFont="1" applyFill="1"/>
    <xf numFmtId="167" fontId="8" fillId="11" borderId="0" xfId="1" applyNumberFormat="1" applyFont="1" applyFill="1" applyAlignment="1">
      <alignment horizontal="right"/>
    </xf>
    <xf numFmtId="171" fontId="8" fillId="11" borderId="2" xfId="1" applyNumberFormat="1" applyFont="1" applyFill="1" applyBorder="1"/>
    <xf numFmtId="164" fontId="8" fillId="11" borderId="0" xfId="1" applyNumberFormat="1" applyFont="1" applyFill="1"/>
    <xf numFmtId="41" fontId="8" fillId="11" borderId="0" xfId="1" applyNumberFormat="1" applyFont="1" applyFill="1" applyAlignment="1">
      <alignment horizontal="center"/>
    </xf>
    <xf numFmtId="170" fontId="9" fillId="11" borderId="0" xfId="1" applyNumberFormat="1" applyFont="1" applyFill="1"/>
    <xf numFmtId="179" fontId="9" fillId="11" borderId="0" xfId="12" quotePrefix="1" applyNumberFormat="1" applyFont="1" applyFill="1" applyBorder="1" applyAlignment="1"/>
    <xf numFmtId="164" fontId="7" fillId="11" borderId="40" xfId="1" applyNumberFormat="1" applyFont="1" applyFill="1" applyBorder="1" applyAlignment="1">
      <alignment horizontal="right"/>
    </xf>
    <xf numFmtId="164" fontId="3" fillId="11" borderId="41" xfId="1" applyNumberFormat="1" applyFont="1" applyFill="1" applyBorder="1" applyAlignment="1">
      <alignment horizontal="right"/>
    </xf>
    <xf numFmtId="164" fontId="3" fillId="11" borderId="41" xfId="1" applyNumberFormat="1" applyFont="1" applyFill="1" applyBorder="1"/>
    <xf numFmtId="164" fontId="9" fillId="11" borderId="41" xfId="1" applyNumberFormat="1" applyFont="1" applyFill="1" applyBorder="1"/>
    <xf numFmtId="164" fontId="9" fillId="11" borderId="42" xfId="1" applyNumberFormat="1" applyFont="1" applyFill="1" applyBorder="1"/>
    <xf numFmtId="164" fontId="8" fillId="11" borderId="41" xfId="1" applyNumberFormat="1" applyFont="1" applyFill="1" applyBorder="1" applyAlignment="1">
      <alignment horizontal="right"/>
    </xf>
    <xf numFmtId="41" fontId="7" fillId="11" borderId="40" xfId="1" applyNumberFormat="1" applyFont="1" applyFill="1" applyBorder="1" applyAlignment="1">
      <alignment horizontal="right"/>
    </xf>
    <xf numFmtId="165" fontId="7" fillId="11" borderId="41" xfId="1" applyNumberFormat="1" applyFont="1" applyFill="1" applyBorder="1" applyAlignment="1">
      <alignment horizontal="right"/>
    </xf>
    <xf numFmtId="41" fontId="7" fillId="11" borderId="41" xfId="1" applyNumberFormat="1" applyFont="1" applyFill="1" applyBorder="1" applyAlignment="1">
      <alignment horizontal="right"/>
    </xf>
    <xf numFmtId="164" fontId="6" fillId="11" borderId="41" xfId="1" quotePrefix="1" applyNumberFormat="1" applyFont="1" applyFill="1" applyBorder="1" applyAlignment="1">
      <alignment horizontal="right"/>
    </xf>
    <xf numFmtId="166" fontId="3" fillId="11" borderId="41" xfId="1" applyNumberFormat="1" applyFont="1" applyFill="1" applyBorder="1"/>
    <xf numFmtId="42" fontId="9" fillId="11" borderId="41" xfId="1" quotePrefix="1" applyNumberFormat="1" applyFont="1" applyFill="1" applyBorder="1"/>
    <xf numFmtId="42" fontId="5" fillId="11" borderId="41" xfId="1" quotePrefix="1" applyNumberFormat="1" applyFont="1" applyFill="1" applyBorder="1"/>
    <xf numFmtId="42" fontId="9" fillId="11" borderId="41" xfId="1" applyNumberFormat="1" applyFont="1" applyFill="1" applyBorder="1"/>
    <xf numFmtId="42" fontId="10" fillId="11" borderId="41" xfId="1" applyNumberFormat="1" applyFont="1" applyFill="1" applyBorder="1"/>
    <xf numFmtId="41" fontId="7" fillId="11" borderId="0" xfId="1" applyNumberFormat="1" applyFont="1" applyFill="1" applyAlignment="1">
      <alignment horizontal="center" wrapText="1"/>
    </xf>
    <xf numFmtId="41" fontId="8" fillId="11" borderId="0" xfId="1" quotePrefix="1" applyNumberFormat="1" applyFont="1" applyFill="1"/>
    <xf numFmtId="172" fontId="23" fillId="11" borderId="0" xfId="7" applyNumberFormat="1" applyFont="1" applyFill="1"/>
    <xf numFmtId="41" fontId="25" fillId="11" borderId="0" xfId="1" quotePrefix="1" applyNumberFormat="1" applyFont="1" applyFill="1"/>
    <xf numFmtId="172" fontId="28" fillId="11" borderId="0" xfId="7" applyNumberFormat="1" applyFont="1" applyFill="1"/>
    <xf numFmtId="42" fontId="0" fillId="11" borderId="0" xfId="0" applyNumberFormat="1" applyFill="1"/>
    <xf numFmtId="167" fontId="8" fillId="11" borderId="0" xfId="1" applyNumberFormat="1" applyFont="1" applyFill="1"/>
    <xf numFmtId="49" fontId="9" fillId="11" borderId="0" xfId="1" applyNumberFormat="1" applyFont="1" applyFill="1" applyAlignment="1">
      <alignment horizontal="center"/>
    </xf>
    <xf numFmtId="0" fontId="9" fillId="11" borderId="0" xfId="1" applyFont="1" applyFill="1" applyAlignment="1">
      <alignment horizontal="center"/>
    </xf>
    <xf numFmtId="175" fontId="8" fillId="11" borderId="0" xfId="1" applyNumberFormat="1" applyFont="1" applyFill="1"/>
    <xf numFmtId="0" fontId="0" fillId="11" borderId="0" xfId="0" applyFill="1"/>
    <xf numFmtId="0" fontId="24" fillId="11" borderId="0" xfId="0" applyFont="1" applyFill="1"/>
    <xf numFmtId="0" fontId="24" fillId="11" borderId="0" xfId="0" applyFont="1" applyFill="1" applyAlignment="1">
      <alignment horizontal="center"/>
    </xf>
    <xf numFmtId="49" fontId="24" fillId="11" borderId="0" xfId="0" applyNumberFormat="1" applyFont="1" applyFill="1"/>
    <xf numFmtId="171" fontId="8" fillId="11" borderId="8" xfId="1" applyNumberFormat="1" applyFont="1" applyFill="1" applyBorder="1"/>
    <xf numFmtId="42" fontId="8" fillId="11" borderId="8" xfId="1" applyNumberFormat="1" applyFont="1" applyFill="1" applyBorder="1"/>
    <xf numFmtId="42" fontId="27" fillId="11" borderId="42" xfId="1" applyNumberFormat="1" applyFont="1" applyFill="1" applyBorder="1"/>
    <xf numFmtId="182" fontId="3" fillId="0" borderId="0" xfId="12" applyNumberFormat="1" applyFont="1"/>
    <xf numFmtId="170" fontId="8" fillId="11" borderId="0" xfId="1" applyNumberFormat="1" applyFont="1" applyFill="1"/>
    <xf numFmtId="184" fontId="3" fillId="0" borderId="0" xfId="12" applyNumberFormat="1" applyFont="1" applyBorder="1"/>
    <xf numFmtId="176" fontId="3" fillId="0" borderId="0" xfId="12" applyNumberFormat="1" applyFont="1" applyBorder="1"/>
    <xf numFmtId="164" fontId="9" fillId="4" borderId="0" xfId="1" applyNumberFormat="1" applyFont="1" applyFill="1"/>
    <xf numFmtId="164" fontId="3" fillId="4" borderId="0" xfId="1" applyNumberFormat="1" applyFont="1" applyFill="1"/>
    <xf numFmtId="41" fontId="9" fillId="4" borderId="0" xfId="1" applyNumberFormat="1" applyFont="1" applyFill="1"/>
    <xf numFmtId="185" fontId="30" fillId="5" borderId="24" xfId="11" applyNumberFormat="1" applyProtection="1">
      <protection locked="0"/>
    </xf>
    <xf numFmtId="182" fontId="30" fillId="5" borderId="24" xfId="11" applyNumberFormat="1" applyProtection="1">
      <protection locked="0"/>
    </xf>
    <xf numFmtId="41" fontId="5" fillId="4" borderId="6" xfId="1" applyNumberFormat="1" applyFont="1" applyFill="1" applyBorder="1" applyAlignment="1">
      <alignment horizontal="center"/>
    </xf>
    <xf numFmtId="184" fontId="9" fillId="0" borderId="2" xfId="12" applyNumberFormat="1" applyFont="1" applyFill="1" applyBorder="1"/>
    <xf numFmtId="184" fontId="9" fillId="0" borderId="8" xfId="12" applyNumberFormat="1" applyFont="1" applyFill="1" applyBorder="1"/>
    <xf numFmtId="43" fontId="25" fillId="4" borderId="5" xfId="1" quotePrefix="1" applyNumberFormat="1" applyFont="1" applyFill="1" applyBorder="1" applyAlignment="1">
      <alignment horizontal="center"/>
    </xf>
    <xf numFmtId="43" fontId="5" fillId="4" borderId="0" xfId="1" applyNumberFormat="1" applyFont="1" applyFill="1" applyAlignment="1">
      <alignment horizontal="center"/>
    </xf>
    <xf numFmtId="43" fontId="5" fillId="4" borderId="6" xfId="1" applyNumberFormat="1" applyFont="1" applyFill="1" applyBorder="1" applyAlignment="1">
      <alignment horizontal="center"/>
    </xf>
    <xf numFmtId="41" fontId="9" fillId="4" borderId="5" xfId="1" quotePrefix="1" applyNumberFormat="1" applyFont="1" applyFill="1" applyBorder="1" applyAlignment="1">
      <alignment horizontal="right"/>
    </xf>
    <xf numFmtId="164" fontId="9" fillId="4" borderId="0" xfId="1" applyNumberFormat="1" applyFont="1" applyFill="1" applyAlignment="1">
      <alignment horizontal="center"/>
    </xf>
    <xf numFmtId="41" fontId="9" fillId="4" borderId="6" xfId="1" quotePrefix="1" applyNumberFormat="1" applyFont="1" applyFill="1" applyBorder="1" applyAlignment="1">
      <alignment horizontal="right"/>
    </xf>
    <xf numFmtId="183" fontId="9" fillId="4" borderId="5" xfId="1" applyNumberFormat="1" applyFont="1" applyFill="1" applyBorder="1"/>
    <xf numFmtId="183" fontId="9" fillId="4" borderId="0" xfId="1" applyNumberFormat="1" applyFont="1" applyFill="1"/>
    <xf numFmtId="183" fontId="9" fillId="4" borderId="6" xfId="1" applyNumberFormat="1" applyFont="1" applyFill="1" applyBorder="1"/>
    <xf numFmtId="170" fontId="9" fillId="4" borderId="5" xfId="1" quotePrefix="1" applyNumberFormat="1" applyFont="1" applyFill="1" applyBorder="1"/>
    <xf numFmtId="170" fontId="9" fillId="4" borderId="0" xfId="1" applyNumberFormat="1" applyFont="1" applyFill="1"/>
    <xf numFmtId="170" fontId="9" fillId="4" borderId="6" xfId="1" applyNumberFormat="1" applyFont="1" applyFill="1" applyBorder="1"/>
    <xf numFmtId="170" fontId="9" fillId="4" borderId="5" xfId="1" applyNumberFormat="1" applyFont="1" applyFill="1" applyBorder="1"/>
    <xf numFmtId="170" fontId="5" fillId="4" borderId="5" xfId="1" applyNumberFormat="1" applyFont="1" applyFill="1" applyBorder="1"/>
    <xf numFmtId="170" fontId="5" fillId="4" borderId="0" xfId="1" applyNumberFormat="1" applyFont="1" applyFill="1"/>
    <xf numFmtId="170" fontId="5" fillId="4" borderId="6" xfId="1" applyNumberFormat="1" applyFont="1" applyFill="1" applyBorder="1"/>
    <xf numFmtId="183" fontId="8" fillId="4" borderId="1" xfId="1" applyNumberFormat="1" applyFont="1" applyFill="1" applyBorder="1"/>
    <xf numFmtId="183" fontId="9" fillId="4" borderId="2" xfId="1" applyNumberFormat="1" applyFont="1" applyFill="1" applyBorder="1"/>
    <xf numFmtId="183" fontId="9" fillId="4" borderId="4" xfId="1" applyNumberFormat="1" applyFont="1" applyFill="1" applyBorder="1"/>
    <xf numFmtId="184" fontId="3" fillId="4" borderId="1" xfId="12" applyNumberFormat="1" applyFont="1" applyFill="1" applyBorder="1" applyAlignment="1">
      <alignment horizontal="left"/>
    </xf>
    <xf numFmtId="164" fontId="9" fillId="4" borderId="2" xfId="1" applyNumberFormat="1" applyFont="1" applyFill="1" applyBorder="1"/>
    <xf numFmtId="164" fontId="9" fillId="4" borderId="4" xfId="1" applyNumberFormat="1" applyFont="1" applyFill="1" applyBorder="1" applyAlignment="1">
      <alignment horizontal="left"/>
    </xf>
    <xf numFmtId="164" fontId="9" fillId="4" borderId="5" xfId="1" applyNumberFormat="1" applyFont="1" applyFill="1" applyBorder="1"/>
    <xf numFmtId="164" fontId="9" fillId="4" borderId="6" xfId="1" applyNumberFormat="1" applyFont="1" applyFill="1" applyBorder="1" applyAlignment="1">
      <alignment horizontal="left"/>
    </xf>
    <xf numFmtId="164" fontId="8" fillId="4" borderId="5" xfId="1" applyNumberFormat="1" applyFont="1" applyFill="1" applyBorder="1"/>
    <xf numFmtId="164" fontId="3" fillId="4" borderId="7" xfId="1" applyNumberFormat="1" applyFont="1" applyFill="1" applyBorder="1"/>
    <xf numFmtId="164" fontId="3" fillId="4" borderId="8" xfId="1" applyNumberFormat="1" applyFont="1" applyFill="1" applyBorder="1"/>
    <xf numFmtId="164" fontId="3" fillId="4" borderId="9" xfId="1" applyNumberFormat="1" applyFont="1" applyFill="1" applyBorder="1"/>
    <xf numFmtId="170" fontId="10" fillId="4" borderId="0" xfId="1" applyNumberFormat="1" applyFont="1" applyFill="1"/>
    <xf numFmtId="164" fontId="9" fillId="4" borderId="8" xfId="1" applyNumberFormat="1" applyFont="1" applyFill="1" applyBorder="1"/>
    <xf numFmtId="164" fontId="9" fillId="4" borderId="9" xfId="1" applyNumberFormat="1" applyFont="1" applyFill="1" applyBorder="1" applyAlignment="1">
      <alignment horizontal="left"/>
    </xf>
    <xf numFmtId="164" fontId="9" fillId="4" borderId="3" xfId="1" applyNumberFormat="1" applyFont="1" applyFill="1" applyBorder="1"/>
    <xf numFmtId="164" fontId="9" fillId="4" borderId="10" xfId="1" applyNumberFormat="1" applyFont="1" applyFill="1" applyBorder="1"/>
    <xf numFmtId="167" fontId="10" fillId="4" borderId="5" xfId="1" applyNumberFormat="1" applyFont="1" applyFill="1" applyBorder="1" applyAlignment="1">
      <alignment horizontal="right"/>
    </xf>
    <xf numFmtId="172" fontId="30" fillId="4" borderId="39" xfId="11" applyNumberFormat="1" applyFill="1" applyBorder="1" applyProtection="1">
      <protection locked="0"/>
    </xf>
    <xf numFmtId="173" fontId="9" fillId="4" borderId="6" xfId="1" applyNumberFormat="1" applyFont="1" applyFill="1" applyBorder="1"/>
    <xf numFmtId="172" fontId="9" fillId="4" borderId="5" xfId="1" applyNumberFormat="1" applyFont="1" applyFill="1" applyBorder="1"/>
    <xf numFmtId="41" fontId="3" fillId="4" borderId="6" xfId="1" applyNumberFormat="1" applyFont="1" applyFill="1" applyBorder="1"/>
    <xf numFmtId="9" fontId="3" fillId="4" borderId="5" xfId="1" applyNumberFormat="1" applyFont="1" applyFill="1" applyBorder="1"/>
    <xf numFmtId="43" fontId="5" fillId="4" borderId="5" xfId="1" applyNumberFormat="1" applyFont="1" applyFill="1" applyBorder="1" applyAlignment="1">
      <alignment horizontal="center"/>
    </xf>
    <xf numFmtId="43" fontId="5" fillId="4" borderId="6" xfId="1" applyNumberFormat="1" applyFont="1" applyFill="1" applyBorder="1" applyAlignment="1">
      <alignment horizontal="right" wrapText="1"/>
    </xf>
    <xf numFmtId="168" fontId="30" fillId="4" borderId="38" xfId="11" applyNumberFormat="1" applyFill="1" applyBorder="1" applyProtection="1">
      <protection locked="0"/>
    </xf>
    <xf numFmtId="166" fontId="9" fillId="4" borderId="6" xfId="2" applyNumberFormat="1" applyFont="1" applyFill="1" applyBorder="1"/>
    <xf numFmtId="10" fontId="3" fillId="4" borderId="5" xfId="1" applyNumberFormat="1" applyFont="1" applyFill="1" applyBorder="1"/>
    <xf numFmtId="176" fontId="3" fillId="4" borderId="6" xfId="3" applyNumberFormat="1" applyFont="1" applyFill="1" applyBorder="1"/>
    <xf numFmtId="164" fontId="3" fillId="4" borderId="5" xfId="1" applyNumberFormat="1" applyFont="1" applyFill="1" applyBorder="1"/>
    <xf numFmtId="174" fontId="9" fillId="4" borderId="6" xfId="2" applyNumberFormat="1" applyFont="1" applyFill="1" applyBorder="1"/>
    <xf numFmtId="176" fontId="5" fillId="4" borderId="6" xfId="2" applyNumberFormat="1" applyFont="1" applyFill="1" applyBorder="1"/>
    <xf numFmtId="174" fontId="14" fillId="4" borderId="6" xfId="2" applyNumberFormat="1" applyFont="1" applyFill="1" applyBorder="1"/>
    <xf numFmtId="164" fontId="9" fillId="4" borderId="11" xfId="1" applyNumberFormat="1" applyFont="1" applyFill="1" applyBorder="1"/>
    <xf numFmtId="167" fontId="10" fillId="4" borderId="0" xfId="1" applyNumberFormat="1" applyFont="1" applyFill="1" applyAlignment="1">
      <alignment horizontal="right"/>
    </xf>
    <xf numFmtId="172" fontId="30" fillId="4" borderId="37" xfId="11" applyNumberFormat="1" applyFill="1" applyBorder="1" applyProtection="1">
      <protection locked="0"/>
    </xf>
    <xf numFmtId="172" fontId="9" fillId="4" borderId="0" xfId="1" applyNumberFormat="1" applyFont="1" applyFill="1"/>
    <xf numFmtId="9" fontId="3" fillId="4" borderId="0" xfId="1" applyNumberFormat="1" applyFont="1" applyFill="1"/>
    <xf numFmtId="168" fontId="30" fillId="4" borderId="37" xfId="11" applyNumberFormat="1" applyFill="1" applyBorder="1" applyProtection="1">
      <protection locked="0"/>
    </xf>
    <xf numFmtId="10" fontId="3" fillId="4" borderId="0" xfId="1" applyNumberFormat="1" applyFont="1" applyFill="1"/>
    <xf numFmtId="43" fontId="31" fillId="5" borderId="38" xfId="12" applyFont="1" applyFill="1" applyBorder="1" applyProtection="1">
      <protection locked="0"/>
    </xf>
    <xf numFmtId="168" fontId="54" fillId="5" borderId="38" xfId="11" applyNumberFormat="1" applyFont="1" applyBorder="1" applyProtection="1">
      <protection locked="0"/>
    </xf>
    <xf numFmtId="9" fontId="3" fillId="0" borderId="0" xfId="8" applyFont="1" applyBorder="1"/>
    <xf numFmtId="164" fontId="9" fillId="15" borderId="0" xfId="1" applyNumberFormat="1" applyFont="1" applyFill="1" applyAlignment="1">
      <alignment horizontal="left"/>
    </xf>
    <xf numFmtId="41" fontId="5" fillId="15" borderId="0" xfId="1" applyNumberFormat="1" applyFont="1" applyFill="1" applyAlignment="1">
      <alignment horizontal="center"/>
    </xf>
    <xf numFmtId="164" fontId="33" fillId="15" borderId="0" xfId="1" applyNumberFormat="1" applyFont="1" applyFill="1"/>
    <xf numFmtId="42" fontId="9" fillId="15" borderId="0" xfId="1" applyNumberFormat="1" applyFont="1" applyFill="1" applyAlignment="1">
      <alignment horizontal="right"/>
    </xf>
    <xf numFmtId="41" fontId="9" fillId="15" borderId="0" xfId="1" applyNumberFormat="1" applyFont="1" applyFill="1" applyAlignment="1">
      <alignment horizontal="right"/>
    </xf>
    <xf numFmtId="41" fontId="5" fillId="15" borderId="0" xfId="1" applyNumberFormat="1" applyFont="1" applyFill="1" applyAlignment="1">
      <alignment horizontal="right"/>
    </xf>
    <xf numFmtId="164" fontId="9" fillId="15" borderId="0" xfId="1" applyNumberFormat="1" applyFont="1" applyFill="1" applyAlignment="1">
      <alignment horizontal="left" indent="1"/>
    </xf>
    <xf numFmtId="42" fontId="8" fillId="15" borderId="0" xfId="1" applyNumberFormat="1" applyFont="1" applyFill="1" applyAlignment="1">
      <alignment horizontal="right"/>
    </xf>
    <xf numFmtId="41" fontId="25" fillId="15" borderId="0" xfId="1" applyNumberFormat="1" applyFont="1" applyFill="1" applyAlignment="1">
      <alignment horizontal="right"/>
    </xf>
    <xf numFmtId="42" fontId="27" fillId="15" borderId="0" xfId="1" applyNumberFormat="1" applyFont="1" applyFill="1" applyAlignment="1">
      <alignment horizontal="right"/>
    </xf>
    <xf numFmtId="164" fontId="3" fillId="15" borderId="0" xfId="1" applyNumberFormat="1" applyFont="1" applyFill="1"/>
    <xf numFmtId="41" fontId="27" fillId="15" borderId="0" xfId="1" applyNumberFormat="1" applyFont="1" applyFill="1" applyAlignment="1">
      <alignment horizontal="right"/>
    </xf>
    <xf numFmtId="43" fontId="8" fillId="0" borderId="0" xfId="1" quotePrefix="1" applyNumberFormat="1" applyFont="1"/>
    <xf numFmtId="172" fontId="43" fillId="11" borderId="0" xfId="7" applyNumberFormat="1" applyFont="1" applyFill="1"/>
    <xf numFmtId="164" fontId="7" fillId="11" borderId="0" xfId="1" applyNumberFormat="1" applyFont="1" applyFill="1" applyAlignment="1">
      <alignment horizontal="center" wrapText="1"/>
    </xf>
    <xf numFmtId="164" fontId="9" fillId="16" borderId="0" xfId="1" applyNumberFormat="1" applyFont="1" applyFill="1"/>
    <xf numFmtId="164" fontId="8" fillId="4" borderId="22" xfId="1" applyNumberFormat="1" applyFont="1" applyFill="1" applyBorder="1" applyAlignment="1">
      <alignment horizontal="center"/>
    </xf>
    <xf numFmtId="164" fontId="8" fillId="4" borderId="23" xfId="1" applyNumberFormat="1" applyFont="1" applyFill="1" applyBorder="1" applyAlignment="1">
      <alignment horizontal="center"/>
    </xf>
    <xf numFmtId="41" fontId="8" fillId="4" borderId="17" xfId="1" quotePrefix="1" applyNumberFormat="1" applyFont="1" applyFill="1" applyBorder="1"/>
    <xf numFmtId="41" fontId="8" fillId="4" borderId="0" xfId="1" quotePrefix="1" applyNumberFormat="1" applyFont="1" applyFill="1"/>
    <xf numFmtId="169" fontId="9" fillId="4" borderId="0" xfId="1" applyNumberFormat="1" applyFont="1" applyFill="1"/>
    <xf numFmtId="42" fontId="9" fillId="4" borderId="0" xfId="1" quotePrefix="1" applyNumberFormat="1" applyFont="1" applyFill="1"/>
    <xf numFmtId="164" fontId="3" fillId="4" borderId="18" xfId="1" applyNumberFormat="1" applyFont="1" applyFill="1" applyBorder="1"/>
    <xf numFmtId="41" fontId="10" fillId="4" borderId="0" xfId="1" applyNumberFormat="1" applyFont="1" applyFill="1"/>
    <xf numFmtId="42" fontId="9" fillId="4" borderId="19" xfId="1" quotePrefix="1" applyNumberFormat="1" applyFont="1" applyFill="1" applyBorder="1"/>
    <xf numFmtId="42" fontId="9" fillId="4" borderId="15" xfId="1" quotePrefix="1" applyNumberFormat="1" applyFont="1" applyFill="1" applyBorder="1"/>
    <xf numFmtId="42" fontId="24" fillId="4" borderId="15" xfId="0" applyNumberFormat="1" applyFont="1" applyFill="1" applyBorder="1"/>
    <xf numFmtId="41" fontId="9" fillId="4" borderId="15" xfId="1" applyNumberFormat="1" applyFont="1" applyFill="1" applyBorder="1"/>
    <xf numFmtId="169" fontId="8" fillId="4" borderId="15" xfId="1" applyNumberFormat="1" applyFont="1" applyFill="1" applyBorder="1"/>
    <xf numFmtId="170" fontId="8" fillId="4" borderId="15" xfId="1" applyNumberFormat="1" applyFont="1" applyFill="1" applyBorder="1"/>
    <xf numFmtId="170" fontId="8" fillId="4" borderId="20" xfId="1" applyNumberFormat="1" applyFont="1" applyFill="1" applyBorder="1"/>
    <xf numFmtId="164" fontId="8" fillId="4" borderId="21" xfId="1" applyNumberFormat="1" applyFont="1" applyFill="1" applyBorder="1" applyAlignment="1">
      <alignment horizontal="left"/>
    </xf>
    <xf numFmtId="186" fontId="30" fillId="5" borderId="38" xfId="11" applyNumberFormat="1" applyBorder="1" applyProtection="1">
      <protection locked="0"/>
    </xf>
    <xf numFmtId="175" fontId="9" fillId="0" borderId="2" xfId="1" applyNumberFormat="1" applyFont="1" applyBorder="1"/>
    <xf numFmtId="176" fontId="3" fillId="0" borderId="0" xfId="12" applyNumberFormat="1" applyFont="1"/>
    <xf numFmtId="167" fontId="6" fillId="0" borderId="0" xfId="1" applyNumberFormat="1" applyFont="1"/>
    <xf numFmtId="187" fontId="3" fillId="0" borderId="0" xfId="1" applyNumberFormat="1" applyFont="1"/>
    <xf numFmtId="43" fontId="25" fillId="4" borderId="0" xfId="1" quotePrefix="1" applyNumberFormat="1" applyFont="1" applyFill="1" applyAlignment="1">
      <alignment horizontal="center"/>
    </xf>
    <xf numFmtId="43" fontId="25" fillId="4" borderId="6" xfId="1" applyNumberFormat="1" applyFont="1" applyFill="1" applyBorder="1" applyAlignment="1">
      <alignment horizontal="center"/>
    </xf>
    <xf numFmtId="164" fontId="9" fillId="4" borderId="0" xfId="1" applyNumberFormat="1" applyFont="1" applyFill="1" applyAlignment="1">
      <alignment horizontal="right"/>
    </xf>
    <xf numFmtId="183" fontId="3" fillId="4" borderId="2" xfId="1" applyNumberFormat="1" applyFont="1" applyFill="1" applyBorder="1"/>
    <xf numFmtId="174" fontId="9" fillId="14" borderId="6" xfId="2" applyNumberFormat="1" applyFont="1" applyFill="1" applyBorder="1"/>
    <xf numFmtId="168" fontId="30" fillId="14" borderId="38" xfId="11" applyNumberFormat="1" applyFill="1" applyBorder="1" applyProtection="1">
      <protection locked="0"/>
    </xf>
    <xf numFmtId="5" fontId="3" fillId="0" borderId="0" xfId="1" applyNumberFormat="1" applyFont="1"/>
    <xf numFmtId="175" fontId="9" fillId="0" borderId="10" xfId="1" applyNumberFormat="1" applyFont="1" applyBorder="1"/>
    <xf numFmtId="164" fontId="9" fillId="0" borderId="4" xfId="1" applyNumberFormat="1" applyFont="1" applyBorder="1"/>
    <xf numFmtId="43" fontId="3" fillId="0" borderId="0" xfId="2" applyNumberFormat="1" applyFont="1" applyFill="1" applyBorder="1"/>
    <xf numFmtId="41" fontId="5" fillId="0" borderId="0" xfId="3" applyNumberFormat="1" applyFont="1" applyFill="1" applyBorder="1" applyAlignment="1">
      <alignment horizontal="center"/>
    </xf>
    <xf numFmtId="37" fontId="9" fillId="0" borderId="0" xfId="13" applyNumberFormat="1" applyFont="1" applyFill="1" applyBorder="1"/>
    <xf numFmtId="177" fontId="9" fillId="0" borderId="0" xfId="13" applyNumberFormat="1" applyFont="1" applyBorder="1"/>
    <xf numFmtId="177" fontId="8" fillId="0" borderId="0" xfId="13" applyNumberFormat="1" applyFont="1" applyBorder="1"/>
    <xf numFmtId="177" fontId="3" fillId="0" borderId="0" xfId="13" applyNumberFormat="1" applyFont="1" applyBorder="1"/>
    <xf numFmtId="179" fontId="0" fillId="17" borderId="0" xfId="12" applyNumberFormat="1" applyFont="1" applyFill="1"/>
    <xf numFmtId="0" fontId="0" fillId="17" borderId="0" xfId="0" applyFill="1"/>
    <xf numFmtId="0" fontId="0" fillId="17" borderId="6" xfId="0" applyFill="1" applyBorder="1"/>
    <xf numFmtId="164" fontId="0" fillId="0" borderId="5" xfId="0" applyNumberFormat="1" applyBorder="1" applyAlignment="1">
      <alignment horizontal="left"/>
    </xf>
    <xf numFmtId="179" fontId="0" fillId="0" borderId="0" xfId="12" applyNumberFormat="1" applyFont="1" applyBorder="1"/>
    <xf numFmtId="179" fontId="0" fillId="17" borderId="0" xfId="12" applyNumberFormat="1" applyFont="1" applyFill="1" applyBorder="1"/>
    <xf numFmtId="179" fontId="0" fillId="17" borderId="6" xfId="12" applyNumberFormat="1" applyFont="1" applyFill="1" applyBorder="1"/>
    <xf numFmtId="9" fontId="0" fillId="0" borderId="0" xfId="8" applyFont="1" applyBorder="1"/>
    <xf numFmtId="9" fontId="0" fillId="17" borderId="0" xfId="8" applyFont="1" applyFill="1" applyBorder="1"/>
    <xf numFmtId="9" fontId="0" fillId="17" borderId="6" xfId="8" applyFont="1" applyFill="1" applyBorder="1"/>
    <xf numFmtId="9" fontId="0" fillId="0" borderId="6" xfId="8" applyFont="1" applyBorder="1"/>
    <xf numFmtId="164" fontId="9" fillId="0" borderId="7" xfId="1" applyNumberFormat="1" applyFont="1" applyBorder="1" applyAlignment="1">
      <alignment horizontal="left" indent="1"/>
    </xf>
    <xf numFmtId="41" fontId="8" fillId="0" borderId="8" xfId="1" applyNumberFormat="1" applyFont="1" applyBorder="1"/>
    <xf numFmtId="44" fontId="8" fillId="0" borderId="8" xfId="2" applyFont="1" applyFill="1" applyBorder="1"/>
    <xf numFmtId="177" fontId="8" fillId="0" borderId="8" xfId="3" applyNumberFormat="1" applyFont="1" applyFill="1" applyBorder="1"/>
    <xf numFmtId="179" fontId="0" fillId="16" borderId="0" xfId="12" applyNumberFormat="1" applyFont="1" applyFill="1"/>
    <xf numFmtId="177" fontId="9" fillId="16" borderId="0" xfId="13" applyNumberFormat="1" applyFont="1" applyFill="1" applyBorder="1"/>
    <xf numFmtId="177" fontId="3" fillId="16" borderId="0" xfId="13" applyNumberFormat="1" applyFont="1" applyFill="1" applyBorder="1"/>
    <xf numFmtId="174" fontId="9" fillId="0" borderId="0" xfId="2" applyNumberFormat="1" applyFont="1" applyFill="1" applyBorder="1"/>
    <xf numFmtId="176" fontId="9" fillId="0" borderId="0" xfId="3" applyNumberFormat="1" applyFont="1" applyFill="1" applyBorder="1"/>
    <xf numFmtId="176" fontId="25" fillId="0" borderId="0" xfId="3" applyNumberFormat="1" applyFont="1" applyFill="1" applyBorder="1"/>
    <xf numFmtId="174" fontId="5" fillId="0" borderId="0" xfId="2" applyNumberFormat="1" applyFont="1" applyFill="1" applyBorder="1"/>
    <xf numFmtId="9" fontId="9" fillId="0" borderId="0" xfId="8" applyFont="1" applyFill="1" applyBorder="1"/>
    <xf numFmtId="166" fontId="8" fillId="0" borderId="6" xfId="1" applyNumberFormat="1" applyFont="1" applyBorder="1"/>
    <xf numFmtId="164" fontId="9" fillId="17" borderId="0" xfId="1" applyNumberFormat="1" applyFont="1" applyFill="1" applyAlignment="1">
      <alignment horizontal="center" wrapText="1"/>
    </xf>
    <xf numFmtId="164" fontId="9" fillId="17" borderId="0" xfId="1" applyNumberFormat="1" applyFont="1" applyFill="1" applyAlignment="1">
      <alignment horizontal="center" vertical="center" wrapText="1"/>
    </xf>
    <xf numFmtId="170" fontId="11" fillId="4" borderId="5" xfId="1" applyNumberFormat="1" applyFont="1" applyFill="1" applyBorder="1"/>
    <xf numFmtId="170" fontId="5" fillId="0" borderId="41" xfId="1" applyNumberFormat="1" applyFont="1" applyBorder="1"/>
    <xf numFmtId="164" fontId="8" fillId="0" borderId="43" xfId="1" applyNumberFormat="1" applyFont="1" applyBorder="1"/>
    <xf numFmtId="0" fontId="24" fillId="0" borderId="14" xfId="0" applyFont="1" applyBorder="1"/>
    <xf numFmtId="179" fontId="0" fillId="0" borderId="14" xfId="12" applyNumberFormat="1" applyFont="1" applyBorder="1"/>
    <xf numFmtId="0" fontId="0" fillId="0" borderId="14" xfId="0" applyBorder="1"/>
    <xf numFmtId="179" fontId="0" fillId="0" borderId="14" xfId="0" applyNumberFormat="1" applyBorder="1"/>
    <xf numFmtId="0" fontId="24" fillId="0" borderId="44" xfId="0" applyFont="1" applyBorder="1"/>
    <xf numFmtId="0" fontId="24" fillId="0" borderId="43" xfId="0" applyFont="1" applyBorder="1"/>
    <xf numFmtId="174" fontId="0" fillId="0" borderId="14" xfId="13" applyNumberFormat="1" applyFont="1" applyBorder="1"/>
    <xf numFmtId="174" fontId="0" fillId="0" borderId="45" xfId="13" applyNumberFormat="1" applyFont="1" applyBorder="1"/>
    <xf numFmtId="174" fontId="0" fillId="0" borderId="46" xfId="13" applyNumberFormat="1" applyFont="1" applyBorder="1"/>
    <xf numFmtId="174" fontId="0" fillId="0" borderId="47" xfId="13" applyNumberFormat="1" applyFont="1" applyBorder="1"/>
    <xf numFmtId="0" fontId="24" fillId="0" borderId="45" xfId="0" applyFont="1" applyBorder="1"/>
    <xf numFmtId="41" fontId="26" fillId="0" borderId="5" xfId="0" applyNumberFormat="1" applyFont="1" applyBorder="1" applyAlignment="1">
      <alignment horizontal="center"/>
    </xf>
    <xf numFmtId="41" fontId="26" fillId="0" borderId="0" xfId="0" applyNumberFormat="1" applyFont="1" applyAlignment="1">
      <alignment horizontal="center"/>
    </xf>
    <xf numFmtId="41" fontId="26" fillId="0" borderId="6" xfId="0" applyNumberFormat="1" applyFont="1" applyBorder="1" applyAlignment="1">
      <alignment horizontal="center"/>
    </xf>
    <xf numFmtId="41" fontId="26" fillId="0" borderId="3" xfId="0" applyNumberFormat="1" applyFont="1" applyBorder="1" applyAlignment="1">
      <alignment horizontal="center"/>
    </xf>
    <xf numFmtId="41" fontId="26" fillId="0" borderId="10" xfId="0" applyNumberFormat="1" applyFont="1" applyBorder="1" applyAlignment="1">
      <alignment horizontal="center"/>
    </xf>
    <xf numFmtId="41" fontId="26" fillId="0" borderId="11" xfId="0" applyNumberFormat="1" applyFont="1" applyBorder="1" applyAlignment="1">
      <alignment horizontal="center"/>
    </xf>
    <xf numFmtId="41" fontId="9" fillId="0" borderId="0" xfId="1" applyNumberFormat="1" applyFont="1"/>
    <xf numFmtId="41" fontId="9" fillId="0" borderId="8" xfId="1" applyNumberFormat="1" applyFont="1" applyBorder="1"/>
    <xf numFmtId="164" fontId="3" fillId="0" borderId="0" xfId="1" applyNumberFormat="1" applyFont="1" applyAlignment="1">
      <alignment horizontal="center"/>
    </xf>
    <xf numFmtId="3" fontId="0" fillId="0" borderId="8" xfId="0" applyNumberFormat="1" applyBorder="1" applyAlignment="1">
      <alignment horizontal="center"/>
    </xf>
    <xf numFmtId="164" fontId="9" fillId="0" borderId="0" xfId="1" applyNumberFormat="1" applyFont="1"/>
    <xf numFmtId="41" fontId="5" fillId="0" borderId="0" xfId="1" applyNumberFormat="1" applyFont="1" applyAlignment="1">
      <alignment horizontal="center"/>
    </xf>
    <xf numFmtId="41" fontId="5" fillId="0" borderId="6" xfId="1" applyNumberFormat="1" applyFont="1" applyBorder="1" applyAlignment="1">
      <alignment horizontal="center"/>
    </xf>
    <xf numFmtId="41" fontId="5" fillId="0" borderId="10" xfId="1" applyNumberFormat="1" applyFont="1" applyBorder="1"/>
    <xf numFmtId="164" fontId="9" fillId="0" borderId="2" xfId="1" applyNumberFormat="1" applyFont="1" applyBorder="1"/>
    <xf numFmtId="164" fontId="9" fillId="0" borderId="4" xfId="1" applyNumberFormat="1" applyFont="1" applyBorder="1"/>
    <xf numFmtId="164" fontId="8" fillId="2" borderId="21" xfId="1" applyNumberFormat="1" applyFont="1" applyFill="1" applyBorder="1" applyAlignment="1">
      <alignment horizontal="center"/>
    </xf>
    <xf numFmtId="164" fontId="8" fillId="2" borderId="22" xfId="1" applyNumberFormat="1" applyFont="1" applyFill="1" applyBorder="1" applyAlignment="1">
      <alignment horizontal="center"/>
    </xf>
    <xf numFmtId="164" fontId="8" fillId="2" borderId="23" xfId="1" applyNumberFormat="1" applyFont="1" applyFill="1" applyBorder="1" applyAlignment="1">
      <alignment horizontal="center"/>
    </xf>
    <xf numFmtId="164" fontId="9" fillId="0" borderId="0" xfId="1" applyNumberFormat="1" applyFont="1" applyAlignment="1">
      <alignment horizontal="center"/>
    </xf>
    <xf numFmtId="164" fontId="9" fillId="0" borderId="6" xfId="1" applyNumberFormat="1" applyFont="1" applyBorder="1" applyAlignment="1">
      <alignment horizontal="center"/>
    </xf>
    <xf numFmtId="0" fontId="9" fillId="4" borderId="0" xfId="1" applyFont="1" applyFill="1"/>
    <xf numFmtId="41" fontId="5" fillId="0" borderId="10" xfId="1" applyNumberFormat="1" applyFont="1" applyBorder="1" applyAlignment="1">
      <alignment horizontal="center"/>
    </xf>
    <xf numFmtId="41" fontId="5" fillId="0" borderId="11" xfId="1" applyNumberFormat="1" applyFont="1" applyBorder="1" applyAlignment="1">
      <alignment horizontal="center"/>
    </xf>
    <xf numFmtId="0" fontId="9" fillId="4" borderId="26" xfId="1" applyFont="1" applyFill="1" applyBorder="1"/>
    <xf numFmtId="164" fontId="9" fillId="0" borderId="8" xfId="1" applyNumberFormat="1" applyFont="1" applyBorder="1" applyAlignment="1">
      <alignment horizontal="center"/>
    </xf>
    <xf numFmtId="164" fontId="9" fillId="0" borderId="9" xfId="1" applyNumberFormat="1" applyFont="1" applyBorder="1" applyAlignment="1">
      <alignment horizontal="center"/>
    </xf>
    <xf numFmtId="164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right"/>
    </xf>
    <xf numFmtId="41" fontId="9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41" fontId="25" fillId="2" borderId="0" xfId="1" applyNumberFormat="1" applyFont="1" applyFill="1" applyAlignment="1">
      <alignment horizontal="center"/>
    </xf>
    <xf numFmtId="49" fontId="4" fillId="0" borderId="0" xfId="1" applyNumberFormat="1" applyFont="1" applyAlignment="1">
      <alignment horizontal="center"/>
    </xf>
    <xf numFmtId="43" fontId="25" fillId="0" borderId="3" xfId="1" applyNumberFormat="1" applyFont="1" applyBorder="1" applyAlignment="1">
      <alignment horizontal="center" wrapText="1"/>
    </xf>
    <xf numFmtId="43" fontId="25" fillId="0" borderId="10" xfId="1" applyNumberFormat="1" applyFont="1" applyBorder="1" applyAlignment="1">
      <alignment horizontal="center" wrapText="1"/>
    </xf>
    <xf numFmtId="43" fontId="25" fillId="0" borderId="11" xfId="1" applyNumberFormat="1" applyFont="1" applyBorder="1" applyAlignment="1">
      <alignment horizontal="center" wrapText="1"/>
    </xf>
    <xf numFmtId="41" fontId="5" fillId="0" borderId="5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164" fontId="9" fillId="11" borderId="0" xfId="1" applyNumberFormat="1" applyFont="1" applyFill="1" applyAlignment="1">
      <alignment horizontal="center"/>
    </xf>
    <xf numFmtId="164" fontId="9" fillId="11" borderId="0" xfId="1" applyNumberFormat="1" applyFont="1" applyFill="1" applyAlignment="1">
      <alignment horizontal="right"/>
    </xf>
    <xf numFmtId="41" fontId="9" fillId="15" borderId="0" xfId="1" applyNumberFormat="1" applyFont="1" applyFill="1" applyAlignment="1">
      <alignment horizontal="center"/>
    </xf>
    <xf numFmtId="41" fontId="5" fillId="4" borderId="5" xfId="1" applyNumberFormat="1" applyFont="1" applyFill="1" applyBorder="1" applyAlignment="1">
      <alignment horizontal="center"/>
    </xf>
    <xf numFmtId="41" fontId="5" fillId="4" borderId="6" xfId="1" applyNumberFormat="1" applyFont="1" applyFill="1" applyBorder="1" applyAlignment="1">
      <alignment horizontal="center"/>
    </xf>
    <xf numFmtId="41" fontId="25" fillId="11" borderId="0" xfId="1" applyNumberFormat="1" applyFont="1" applyFill="1" applyAlignment="1">
      <alignment horizontal="center"/>
    </xf>
    <xf numFmtId="49" fontId="53" fillId="0" borderId="0" xfId="1" applyNumberFormat="1" applyFont="1" applyAlignment="1">
      <alignment horizontal="center"/>
    </xf>
    <xf numFmtId="43" fontId="25" fillId="4" borderId="3" xfId="1" applyNumberFormat="1" applyFont="1" applyFill="1" applyBorder="1" applyAlignment="1">
      <alignment horizontal="center" wrapText="1"/>
    </xf>
    <xf numFmtId="43" fontId="25" fillId="4" borderId="10" xfId="1" applyNumberFormat="1" applyFont="1" applyFill="1" applyBorder="1" applyAlignment="1">
      <alignment horizontal="center" wrapText="1"/>
    </xf>
    <xf numFmtId="43" fontId="25" fillId="4" borderId="11" xfId="1" applyNumberFormat="1" applyFont="1" applyFill="1" applyBorder="1" applyAlignment="1">
      <alignment horizontal="center" wrapText="1"/>
    </xf>
    <xf numFmtId="0" fontId="24" fillId="0" borderId="3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4" fillId="0" borderId="34" xfId="0" applyFont="1" applyBorder="1" applyAlignment="1">
      <alignment wrapText="1"/>
    </xf>
    <xf numFmtId="0" fontId="24" fillId="0" borderId="17" xfId="0" applyFont="1" applyBorder="1" applyAlignment="1">
      <alignment wrapText="1"/>
    </xf>
    <xf numFmtId="0" fontId="24" fillId="0" borderId="10" xfId="0" applyFont="1" applyBorder="1" applyAlignment="1">
      <alignment horizontal="center" wrapText="1"/>
    </xf>
    <xf numFmtId="41" fontId="37" fillId="0" borderId="33" xfId="0" applyNumberFormat="1" applyFont="1" applyBorder="1" applyAlignment="1">
      <alignment horizontal="center" wrapText="1"/>
    </xf>
    <xf numFmtId="41" fontId="37" fillId="0" borderId="18" xfId="0" applyNumberFormat="1" applyFont="1" applyBorder="1" applyAlignment="1">
      <alignment horizontal="center" wrapText="1"/>
    </xf>
    <xf numFmtId="0" fontId="24" fillId="0" borderId="21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0" fillId="0" borderId="0" xfId="0"/>
    <xf numFmtId="0" fontId="0" fillId="0" borderId="10" xfId="0" applyBorder="1"/>
    <xf numFmtId="41" fontId="26" fillId="0" borderId="5" xfId="0" applyNumberFormat="1" applyFont="1" applyBorder="1" applyAlignment="1">
      <alignment horizontal="center" wrapText="1"/>
    </xf>
    <xf numFmtId="41" fontId="26" fillId="0" borderId="6" xfId="0" applyNumberFormat="1" applyFont="1" applyBorder="1" applyAlignment="1">
      <alignment horizontal="center" wrapText="1"/>
    </xf>
    <xf numFmtId="41" fontId="37" fillId="0" borderId="0" xfId="0" applyNumberFormat="1" applyFont="1"/>
    <xf numFmtId="0" fontId="0" fillId="0" borderId="0" xfId="0" applyAlignment="1">
      <alignment horizontal="center"/>
    </xf>
    <xf numFmtId="0" fontId="24" fillId="0" borderId="12" xfId="0" applyFont="1" applyBorder="1"/>
    <xf numFmtId="0" fontId="24" fillId="0" borderId="27" xfId="0" applyFont="1" applyBorder="1"/>
    <xf numFmtId="0" fontId="0" fillId="0" borderId="2" xfId="0" applyBorder="1"/>
    <xf numFmtId="43" fontId="5" fillId="0" borderId="0" xfId="1" applyNumberFormat="1" applyFont="1" applyAlignment="1">
      <alignment horizontal="center" wrapText="1"/>
    </xf>
  </cellXfs>
  <cellStyles count="14">
    <cellStyle name="Comma" xfId="12" builtinId="3"/>
    <cellStyle name="Comma 2" xfId="3" xr:uid="{00000000-0005-0000-0000-000001000000}"/>
    <cellStyle name="Comma 3" xfId="10" xr:uid="{00000000-0005-0000-0000-000002000000}"/>
    <cellStyle name="Currency" xfId="13" builtinId="4"/>
    <cellStyle name="Currency 2" xfId="2" xr:uid="{00000000-0005-0000-0000-000004000000}"/>
    <cellStyle name="Currency 3" xfId="4" xr:uid="{00000000-0005-0000-0000-000005000000}"/>
    <cellStyle name="Input" xfId="11" builtinId="20"/>
    <cellStyle name="Normal" xfId="0" builtinId="0"/>
    <cellStyle name="Normal 2" xfId="5" xr:uid="{00000000-0005-0000-0000-000008000000}"/>
    <cellStyle name="Normal 3" xfId="6" xr:uid="{00000000-0005-0000-0000-000009000000}"/>
    <cellStyle name="Normal 4" xfId="9" xr:uid="{00000000-0005-0000-0000-00000A000000}"/>
    <cellStyle name="Normal_STDS97" xfId="1" xr:uid="{00000000-0005-0000-0000-00000B000000}"/>
    <cellStyle name="Percent" xfId="8" builtinId="5"/>
    <cellStyle name="Percent 2" xfId="7" xr:uid="{00000000-0005-0000-0000-00000D000000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48</xdr:col>
      <xdr:colOff>444323</xdr:colOff>
      <xdr:row>150</xdr:row>
      <xdr:rowOff>151072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62EC3-C6BB-438C-861B-08CD9B7D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00" y="23202900"/>
          <a:ext cx="3778073" cy="452304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48</xdr:col>
      <xdr:colOff>291908</xdr:colOff>
      <xdr:row>163</xdr:row>
      <xdr:rowOff>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ED3F6-78F2-4B5F-A994-4B81D6D26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18375" y="27727275"/>
          <a:ext cx="3644708" cy="306750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47</xdr:col>
      <xdr:colOff>262890</xdr:colOff>
      <xdr:row>86</xdr:row>
      <xdr:rowOff>156508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EB76E9-245A-4623-BB4E-AC96DCB66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61126" y="12620625"/>
          <a:ext cx="3701414" cy="3766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49</xdr:col>
      <xdr:colOff>291923</xdr:colOff>
      <xdr:row>151</xdr:row>
      <xdr:rowOff>27247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90703-C6B7-4C69-8D99-8B7B632FA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4378148" cy="492309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49</xdr:col>
      <xdr:colOff>15683</xdr:colOff>
      <xdr:row>162</xdr:row>
      <xdr:rowOff>19502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3786A6-4A68-4D54-A6D5-B6BDE7186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4120958" cy="289605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48</xdr:col>
      <xdr:colOff>272415</xdr:colOff>
      <xdr:row>85</xdr:row>
      <xdr:rowOff>137458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917D92-CA2D-4512-9323-99AF12162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4282439" cy="35569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50</xdr:col>
      <xdr:colOff>253823</xdr:colOff>
      <xdr:row>151</xdr:row>
      <xdr:rowOff>84397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F016E-4C63-4660-AF77-74A37237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5073473" cy="498024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49</xdr:col>
      <xdr:colOff>682433</xdr:colOff>
      <xdr:row>161</xdr:row>
      <xdr:rowOff>38552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B2575-F8DB-4421-A803-45BE6EBE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4692458" cy="272460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49</xdr:col>
      <xdr:colOff>196215</xdr:colOff>
      <xdr:row>84</xdr:row>
      <xdr:rowOff>127933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DA5CE6-4A80-4594-88EA-899AD9CA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4958714" cy="3356908"/>
        </a:xfrm>
        <a:prstGeom prst="rect">
          <a:avLst/>
        </a:prstGeom>
      </xdr:spPr>
    </xdr:pic>
    <xdr:clientData/>
  </xdr:twoCellAnchor>
  <xdr:twoCellAnchor editAs="oneCell">
    <xdr:from>
      <xdr:col>42</xdr:col>
      <xdr:colOff>676275</xdr:colOff>
      <xdr:row>125</xdr:row>
      <xdr:rowOff>28575</xdr:rowOff>
    </xdr:from>
    <xdr:to>
      <xdr:col>48</xdr:col>
      <xdr:colOff>444323</xdr:colOff>
      <xdr:row>150</xdr:row>
      <xdr:rowOff>151072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7C7981-E72F-4ADC-A321-4B352709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4378148" cy="492309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48</xdr:col>
      <xdr:colOff>291908</xdr:colOff>
      <xdr:row>163</xdr:row>
      <xdr:rowOff>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D0CAF2-B5FF-4B68-8D64-92D1AFF29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4120958" cy="289605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47</xdr:col>
      <xdr:colOff>262890</xdr:colOff>
      <xdr:row>86</xdr:row>
      <xdr:rowOff>156508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422EB2-8AA1-45D2-BD05-2C376D5C7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4282439" cy="35569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51</xdr:col>
      <xdr:colOff>358598</xdr:colOff>
      <xdr:row>151</xdr:row>
      <xdr:rowOff>141547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BC1C7-619C-40ED-9921-77C7C0E6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5864048" cy="503739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50</xdr:col>
      <xdr:colOff>615758</xdr:colOff>
      <xdr:row>160</xdr:row>
      <xdr:rowOff>57602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23492-9CE2-427E-B7E9-E1DFA9BD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5359208" cy="255315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50</xdr:col>
      <xdr:colOff>234315</xdr:colOff>
      <xdr:row>83</xdr:row>
      <xdr:rowOff>127933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3E33E4-93C2-402E-9712-72294C53E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5730239" cy="31664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52</xdr:col>
      <xdr:colOff>653873</xdr:colOff>
      <xdr:row>152</xdr:row>
      <xdr:rowOff>17722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ACF44-2D8A-4A02-8DA4-6240B760C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6749873" cy="509454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52</xdr:col>
      <xdr:colOff>6158</xdr:colOff>
      <xdr:row>159</xdr:row>
      <xdr:rowOff>76652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FD65D-4C4C-4877-B98D-1633DB3E2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6121208" cy="238170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51</xdr:col>
      <xdr:colOff>415290</xdr:colOff>
      <xdr:row>82</xdr:row>
      <xdr:rowOff>137458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F24B8-B881-4CDB-8322-A17759581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6597014" cy="29854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54</xdr:col>
      <xdr:colOff>25223</xdr:colOff>
      <xdr:row>152</xdr:row>
      <xdr:rowOff>65347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7C427-E748-4CD8-9754-B3BE515E2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7826198" cy="5151697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53</xdr:col>
      <xdr:colOff>272858</xdr:colOff>
      <xdr:row>158</xdr:row>
      <xdr:rowOff>95702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F7ADF-5342-4AD2-B2B7-EC42F88EC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7073708" cy="2210252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53</xdr:col>
      <xdr:colOff>5715</xdr:colOff>
      <xdr:row>81</xdr:row>
      <xdr:rowOff>156508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28278F-74BE-47DE-ABD7-DA3753BFB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7559039" cy="28139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55</xdr:col>
      <xdr:colOff>362408</xdr:colOff>
      <xdr:row>152</xdr:row>
      <xdr:rowOff>112972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1B7A6-8641-4069-9473-24197DF8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8997773" cy="5199322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54</xdr:col>
      <xdr:colOff>491933</xdr:colOff>
      <xdr:row>157</xdr:row>
      <xdr:rowOff>145232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6A8F9-A68F-4036-8FB2-5F74CCA7C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8121458" cy="2067377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54</xdr:col>
      <xdr:colOff>331470</xdr:colOff>
      <xdr:row>81</xdr:row>
      <xdr:rowOff>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4090A1-4C6D-43A8-B633-C6205F73F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8711564" cy="26520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55</xdr:col>
      <xdr:colOff>362408</xdr:colOff>
      <xdr:row>152</xdr:row>
      <xdr:rowOff>112972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06280-82F7-43C1-9130-E60BC4773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8997773" cy="5199322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54</xdr:col>
      <xdr:colOff>491933</xdr:colOff>
      <xdr:row>157</xdr:row>
      <xdr:rowOff>145232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12EE90-866C-456C-A024-CBD2B624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8121458" cy="2067377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54</xdr:col>
      <xdr:colOff>331470</xdr:colOff>
      <xdr:row>81</xdr:row>
      <xdr:rowOff>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950354-CCBE-41B6-B250-E1D3DF84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8711564" cy="26520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55</xdr:col>
      <xdr:colOff>362408</xdr:colOff>
      <xdr:row>152</xdr:row>
      <xdr:rowOff>112972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6870E-3B49-4C99-AA85-6A0467D95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8997773" cy="5199322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54</xdr:col>
      <xdr:colOff>491933</xdr:colOff>
      <xdr:row>157</xdr:row>
      <xdr:rowOff>145232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B77301-0B40-4B72-BD1D-FFB87E8D2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8121458" cy="2067377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54</xdr:col>
      <xdr:colOff>331470</xdr:colOff>
      <xdr:row>81</xdr:row>
      <xdr:rowOff>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503EFD-298A-434B-B611-6FCE9920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8711564" cy="26520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55</xdr:col>
      <xdr:colOff>362408</xdr:colOff>
      <xdr:row>152</xdr:row>
      <xdr:rowOff>112972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FB18-5DB9-4DFF-A5D8-02756B802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8997773" cy="5199322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54</xdr:col>
      <xdr:colOff>491933</xdr:colOff>
      <xdr:row>157</xdr:row>
      <xdr:rowOff>145232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E1137-A762-4BCF-9E01-2D76A3FB0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8121458" cy="2067377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54</xdr:col>
      <xdr:colOff>331470</xdr:colOff>
      <xdr:row>81</xdr:row>
      <xdr:rowOff>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DCE8B-14D6-4C20-9FB9-9BB16F0AB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8711564" cy="26520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55</xdr:col>
      <xdr:colOff>362408</xdr:colOff>
      <xdr:row>152</xdr:row>
      <xdr:rowOff>112972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794CE-DE07-4C9C-B89D-6205C82A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8997773" cy="5199322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54</xdr:col>
      <xdr:colOff>491933</xdr:colOff>
      <xdr:row>157</xdr:row>
      <xdr:rowOff>145232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B2627-A46C-4607-8A40-1675E33A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8121458" cy="2067377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54</xdr:col>
      <xdr:colOff>331470</xdr:colOff>
      <xdr:row>81</xdr:row>
      <xdr:rowOff>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2CE265-19D8-45DE-9977-CD5B96660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8711564" cy="26520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676275</xdr:colOff>
      <xdr:row>125</xdr:row>
      <xdr:rowOff>28575</xdr:rowOff>
    </xdr:from>
    <xdr:to>
      <xdr:col>55</xdr:col>
      <xdr:colOff>362408</xdr:colOff>
      <xdr:row>152</xdr:row>
      <xdr:rowOff>112972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F954D-CEB9-484F-888D-BF2831B6C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47275" y="23374350"/>
          <a:ext cx="8997773" cy="5199322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146</xdr:row>
      <xdr:rowOff>171450</xdr:rowOff>
    </xdr:from>
    <xdr:to>
      <xdr:col>54</xdr:col>
      <xdr:colOff>491933</xdr:colOff>
      <xdr:row>157</xdr:row>
      <xdr:rowOff>145232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F478BC-4EB6-4D55-BE74-1CE6CB91E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52050" y="27584400"/>
          <a:ext cx="8121458" cy="2067377"/>
        </a:xfrm>
        <a:prstGeom prst="rect">
          <a:avLst/>
        </a:prstGeom>
      </xdr:spPr>
    </xdr:pic>
    <xdr:clientData/>
  </xdr:twoCellAnchor>
  <xdr:twoCellAnchor editAs="oneCell">
    <xdr:from>
      <xdr:col>41</xdr:col>
      <xdr:colOff>695326</xdr:colOff>
      <xdr:row>67</xdr:row>
      <xdr:rowOff>9525</xdr:rowOff>
    </xdr:from>
    <xdr:to>
      <xdr:col>54</xdr:col>
      <xdr:colOff>331470</xdr:colOff>
      <xdr:row>81</xdr:row>
      <xdr:rowOff>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8CDCB8-6ADD-4CCF-9214-DCFC64EE1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94801" y="12611100"/>
          <a:ext cx="8711564" cy="2652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"/>
  <sheetViews>
    <sheetView workbookViewId="0">
      <selection sqref="A1:K1"/>
    </sheetView>
  </sheetViews>
  <sheetFormatPr defaultRowHeight="15"/>
  <cols>
    <col min="1" max="1" width="22.5703125" bestFit="1" customWidth="1"/>
    <col min="2" max="2" width="11.28515625" style="143" bestFit="1" customWidth="1"/>
    <col min="3" max="3" width="7.5703125" style="494" bestFit="1" customWidth="1"/>
    <col min="4" max="4" width="1.5703125" customWidth="1"/>
    <col min="5" max="5" width="11.28515625" bestFit="1" customWidth="1"/>
    <col min="6" max="6" width="7.5703125" bestFit="1" customWidth="1"/>
    <col min="7" max="7" width="11.28515625" bestFit="1" customWidth="1"/>
    <col min="8" max="8" width="7.5703125" bestFit="1" customWidth="1"/>
    <col min="9" max="9" width="1.5703125" customWidth="1"/>
    <col min="10" max="10" width="11.28515625" bestFit="1" customWidth="1"/>
    <col min="11" max="11" width="7.5703125" bestFit="1" customWidth="1"/>
  </cols>
  <sheetData>
    <row r="1" spans="1:11" ht="17.25">
      <c r="A1" s="690"/>
      <c r="B1" s="1001" t="s">
        <v>493</v>
      </c>
      <c r="C1" s="1002"/>
      <c r="D1" s="1002"/>
      <c r="E1" s="1002"/>
      <c r="F1" s="1003"/>
      <c r="G1" s="1002" t="s">
        <v>495</v>
      </c>
      <c r="H1" s="1002"/>
      <c r="I1" s="1002"/>
      <c r="J1" s="1002"/>
      <c r="K1" s="1003"/>
    </row>
    <row r="2" spans="1:11" ht="17.25">
      <c r="A2" s="450"/>
      <c r="B2" s="998" t="s">
        <v>486</v>
      </c>
      <c r="C2" s="999"/>
      <c r="D2" s="143"/>
      <c r="E2" s="999" t="s">
        <v>485</v>
      </c>
      <c r="F2" s="1000"/>
      <c r="G2" s="999" t="s">
        <v>492</v>
      </c>
      <c r="H2" s="999"/>
      <c r="I2" s="143"/>
      <c r="J2" s="999" t="s">
        <v>494</v>
      </c>
      <c r="K2" s="1000"/>
    </row>
    <row r="3" spans="1:11" ht="17.25">
      <c r="A3" s="450"/>
      <c r="B3" s="705" t="s">
        <v>483</v>
      </c>
      <c r="C3" s="691" t="s">
        <v>484</v>
      </c>
      <c r="E3" s="689" t="s">
        <v>483</v>
      </c>
      <c r="F3" s="692" t="s">
        <v>484</v>
      </c>
      <c r="G3" s="689" t="s">
        <v>483</v>
      </c>
      <c r="H3" s="691" t="s">
        <v>484</v>
      </c>
      <c r="J3" s="689" t="s">
        <v>483</v>
      </c>
      <c r="K3" s="692" t="s">
        <v>484</v>
      </c>
    </row>
    <row r="4" spans="1:11">
      <c r="A4" s="450" t="s">
        <v>490</v>
      </c>
      <c r="B4" s="706"/>
      <c r="E4" s="143"/>
      <c r="F4" s="693"/>
      <c r="G4" s="143"/>
      <c r="H4" s="494"/>
      <c r="J4" s="143"/>
      <c r="K4" s="693"/>
    </row>
    <row r="5" spans="1:11">
      <c r="A5" s="694" t="s">
        <v>481</v>
      </c>
      <c r="B5" s="706">
        <f>'18 Std (v1)'!$B$24</f>
        <v>50100</v>
      </c>
      <c r="C5" s="494">
        <f>'18 Std (v1)'!$B$22</f>
        <v>0.20646543084138516</v>
      </c>
      <c r="E5" s="143">
        <f>'18 Std v1 (140.1M)'!$B$24</f>
        <v>90100</v>
      </c>
      <c r="F5" s="693">
        <f>'18 Std v1 (140.1M)'!$B$22</f>
        <v>0.16615629807449422</v>
      </c>
      <c r="G5" s="143">
        <f>'18 Std (v1)'!C24</f>
        <v>121112.435</v>
      </c>
      <c r="H5" s="494">
        <f>'18 Std (v1)'!C22</f>
        <v>0.16329172177902293</v>
      </c>
      <c r="J5" s="143">
        <f>'18 Std (v1)'!D24</f>
        <v>190000</v>
      </c>
      <c r="K5" s="693">
        <f>'18 Std (v1)'!D22</f>
        <v>0.11902659121695247</v>
      </c>
    </row>
    <row r="6" spans="1:11">
      <c r="A6" s="694" t="s">
        <v>467</v>
      </c>
      <c r="B6" s="706">
        <f>'18 Std (v1)'!$K$24</f>
        <v>0</v>
      </c>
      <c r="C6" s="494">
        <f>'18 Std (v1)'!$K$22</f>
        <v>0.43673061122995588</v>
      </c>
      <c r="E6" s="143">
        <f>'18 Std v1 (140.1M)'!$K$24</f>
        <v>0</v>
      </c>
      <c r="F6" s="693">
        <f>'18 Std v1 (140.1M)'!$K$22</f>
        <v>0.39642147846306502</v>
      </c>
      <c r="G6" s="143">
        <f>'18 Std (v1)'!L24</f>
        <v>630.36599999999999</v>
      </c>
      <c r="H6" s="494">
        <f>'18 Std (v1)'!L22</f>
        <v>0.39939454221833032</v>
      </c>
      <c r="J6" s="143">
        <f>'18 Std (v1)'!M24</f>
        <v>0</v>
      </c>
      <c r="K6" s="693">
        <f>'18 Std (v1)'!M22</f>
        <v>0</v>
      </c>
    </row>
    <row r="7" spans="1:11">
      <c r="A7" s="694" t="s">
        <v>459</v>
      </c>
      <c r="B7" s="706">
        <f>'18 Std (v1)'!$N$24</f>
        <v>0</v>
      </c>
      <c r="C7" s="494">
        <f>'18 Std (v1)'!$N$22</f>
        <v>0.30703664014427418</v>
      </c>
      <c r="E7" s="143">
        <f>'18 Std v1 (140.1M)'!$N$24</f>
        <v>0</v>
      </c>
      <c r="F7" s="693">
        <f>'18 Std v1 (140.1M)'!$N$22</f>
        <v>0.30469592398182599</v>
      </c>
      <c r="G7" s="143">
        <f>'18 Std (v1)'!O24</f>
        <v>1071.4000000000001</v>
      </c>
      <c r="H7" s="494">
        <f>'18 Std (v1)'!O22</f>
        <v>0.31298551428038079</v>
      </c>
      <c r="J7" s="143">
        <f>'18 Std (v1)'!P24</f>
        <v>0</v>
      </c>
      <c r="K7" s="693">
        <f>'18 Std (v1)'!P22</f>
        <v>0</v>
      </c>
    </row>
    <row r="8" spans="1:11">
      <c r="A8" s="698" t="s">
        <v>487</v>
      </c>
      <c r="B8" s="707">
        <f>SUM(B5:B7)</f>
        <v>50100</v>
      </c>
      <c r="C8" s="696"/>
      <c r="D8" s="697"/>
      <c r="E8" s="695">
        <f>SUM(E5:E7)</f>
        <v>90100</v>
      </c>
      <c r="F8" s="699"/>
      <c r="G8" s="695">
        <f>SUM(G5:G7)</f>
        <v>122814.20099999999</v>
      </c>
      <c r="H8" s="696"/>
      <c r="I8" s="697"/>
      <c r="J8" s="695">
        <f>SUM(J5:J7)</f>
        <v>190000</v>
      </c>
      <c r="K8" s="699"/>
    </row>
    <row r="9" spans="1:11">
      <c r="A9" s="450"/>
      <c r="B9" s="706"/>
      <c r="E9" s="143"/>
      <c r="F9" s="693"/>
      <c r="G9" s="143"/>
      <c r="H9" s="494"/>
      <c r="J9" s="143"/>
      <c r="K9" s="693"/>
    </row>
    <row r="10" spans="1:11">
      <c r="A10" s="450" t="s">
        <v>491</v>
      </c>
      <c r="B10" s="706"/>
      <c r="E10" s="143"/>
      <c r="F10" s="693"/>
      <c r="G10" s="143"/>
      <c r="H10" s="494"/>
      <c r="J10" s="143"/>
      <c r="K10" s="693"/>
    </row>
    <row r="11" spans="1:11">
      <c r="A11" s="694" t="s">
        <v>482</v>
      </c>
      <c r="B11" s="706">
        <f>'18 Std (v1)'!$E$24</f>
        <v>35000</v>
      </c>
      <c r="C11" s="494">
        <f>'18 Std (v1)'!$E$22</f>
        <v>0.40829992203366383</v>
      </c>
      <c r="E11" s="143">
        <f>'18 Std v1 (140.1M)'!$E$24</f>
        <v>35000</v>
      </c>
      <c r="F11" s="693">
        <f>'18 Std v1 (140.1M)'!$E$22</f>
        <v>0.37065519289269044</v>
      </c>
      <c r="G11" s="143">
        <f>'18 Std (v1)'!F24</f>
        <v>8379.4359999999997</v>
      </c>
      <c r="H11" s="494">
        <f>'18 Std (v1)'!F22</f>
        <v>0.36206859387672391</v>
      </c>
      <c r="J11" s="143">
        <f>'18 Std (v1)'!G24</f>
        <v>40000</v>
      </c>
      <c r="K11" s="693">
        <f>'18 Std (v1)'!G22</f>
        <v>0.2598742905638563</v>
      </c>
    </row>
    <row r="12" spans="1:11">
      <c r="A12" s="694" t="s">
        <v>282</v>
      </c>
      <c r="B12" s="706">
        <f>'18 Std (v1)'!$H$24</f>
        <v>15000</v>
      </c>
      <c r="C12" s="494">
        <f>'18 Std (v1)'!$H$22</f>
        <v>0.84380749921232712</v>
      </c>
      <c r="E12" s="143">
        <f>'18 Std v1 (140.1M)'!$H$24</f>
        <v>15000</v>
      </c>
      <c r="F12" s="693">
        <f>'18 Std v1 (140.1M)'!$H$22</f>
        <v>0.80616277007135362</v>
      </c>
      <c r="G12" s="143">
        <f>'18 Std (v1)'!I24</f>
        <v>15451</v>
      </c>
      <c r="H12" s="494">
        <f>'18 Std (v1)'!I22</f>
        <v>0.77540422949970877</v>
      </c>
      <c r="J12" s="143">
        <f>'18 Std (v1)'!J24</f>
        <v>6000</v>
      </c>
      <c r="K12" s="693">
        <f>'18 Std (v1)'!J22</f>
        <v>0.79889817342724256</v>
      </c>
    </row>
    <row r="13" spans="1:11">
      <c r="A13" s="698" t="s">
        <v>488</v>
      </c>
      <c r="B13" s="707">
        <f>SUM(B11:B12)</f>
        <v>50000</v>
      </c>
      <c r="C13" s="696"/>
      <c r="D13" s="697"/>
      <c r="E13" s="695">
        <f>SUM(E11:E12)</f>
        <v>50000</v>
      </c>
      <c r="F13" s="699"/>
      <c r="G13" s="695">
        <f>SUM(G11:G12)</f>
        <v>23830.436000000002</v>
      </c>
      <c r="H13" s="696"/>
      <c r="I13" s="697"/>
      <c r="J13" s="695">
        <f>SUM(J11:J12)</f>
        <v>46000</v>
      </c>
      <c r="K13" s="699"/>
    </row>
    <row r="14" spans="1:11">
      <c r="A14" s="450"/>
      <c r="B14" s="706"/>
      <c r="E14" s="143"/>
      <c r="F14" s="693"/>
      <c r="G14" s="143"/>
      <c r="H14" s="494"/>
      <c r="J14" s="143"/>
      <c r="K14" s="693"/>
    </row>
    <row r="15" spans="1:11" ht="15.75" thickBot="1">
      <c r="A15" s="700" t="s">
        <v>489</v>
      </c>
      <c r="B15" s="708">
        <f>B8+B13</f>
        <v>100100</v>
      </c>
      <c r="C15" s="702"/>
      <c r="D15" s="703"/>
      <c r="E15" s="701">
        <f>E8+E13</f>
        <v>140100</v>
      </c>
      <c r="F15" s="704"/>
      <c r="G15" s="701">
        <f>G8+G13</f>
        <v>146644.63699999999</v>
      </c>
      <c r="H15" s="702"/>
      <c r="I15" s="703"/>
      <c r="J15" s="701">
        <f>J8+J13</f>
        <v>236000</v>
      </c>
      <c r="K15" s="704"/>
    </row>
  </sheetData>
  <mergeCells count="6">
    <mergeCell ref="B2:C2"/>
    <mergeCell ref="E2:F2"/>
    <mergeCell ref="G2:H2"/>
    <mergeCell ref="B1:F1"/>
    <mergeCell ref="J2:K2"/>
    <mergeCell ref="G1:K1"/>
  </mergeCells>
  <printOptions horizontalCentered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U165"/>
  <sheetViews>
    <sheetView zoomScaleNormal="100" workbookViewId="0">
      <pane xSplit="1" ySplit="2" topLeftCell="B3" activePane="bottomRight" state="frozenSplit"/>
      <selection pane="topRight"/>
      <selection pane="bottomLeft"/>
      <selection pane="bottomRight" sqref="A1:J1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28515625" style="1" bestFit="1" customWidth="1"/>
    <col min="9" max="9" width="13.28515625" style="1" bestFit="1" customWidth="1"/>
    <col min="10" max="10" width="12.28515625" style="1" bestFit="1" customWidth="1"/>
    <col min="11" max="11" width="13.28515625" style="1" bestFit="1" customWidth="1"/>
    <col min="12" max="12" width="12.28515625" style="1" bestFit="1" customWidth="1"/>
    <col min="13" max="13" width="7.5703125" style="1" bestFit="1" customWidth="1"/>
    <col min="14" max="14" width="7.7109375" style="1" bestFit="1" customWidth="1"/>
    <col min="15" max="15" width="8.5703125" style="1" bestFit="1" customWidth="1"/>
    <col min="16" max="16" width="7.5703125" style="1" bestFit="1" customWidth="1"/>
    <col min="17" max="17" width="5.5703125" style="1" customWidth="1"/>
    <col min="18" max="18" width="15.28515625" style="1" bestFit="1" customWidth="1"/>
    <col min="19" max="19" width="13.5703125" style="1" bestFit="1" customWidth="1"/>
    <col min="20" max="20" width="11.28515625" style="1" bestFit="1" customWidth="1"/>
    <col min="21" max="21" width="13.42578125" style="1" bestFit="1" customWidth="1"/>
    <col min="22" max="22" width="7.28515625" style="1" bestFit="1" customWidth="1"/>
    <col min="23" max="23" width="12.42578125" style="1" customWidth="1" outlineLevel="1"/>
    <col min="24" max="24" width="9.7109375" style="1" customWidth="1" outlineLevel="1"/>
    <col min="25" max="25" width="12.42578125" style="1" customWidth="1" outlineLevel="1"/>
    <col min="26" max="26" width="11.5703125" style="1" customWidth="1" outlineLevel="1"/>
    <col min="27" max="27" width="11.7109375" style="1" customWidth="1" outlineLevel="1"/>
    <col min="28" max="28" width="5.28515625" style="62" customWidth="1" outlineLevel="1"/>
    <col min="29" max="29" width="16.5703125" style="1" customWidth="1" outlineLevel="1"/>
    <col min="30" max="31" width="9" style="1" customWidth="1" outlineLevel="1"/>
    <col min="32" max="32" width="12.42578125" style="1" customWidth="1" outlineLevel="1"/>
    <col min="33" max="34" width="11.42578125" style="1" bestFit="1" customWidth="1" outlineLevel="1"/>
    <col min="35" max="35" width="12.42578125" style="1" customWidth="1" outlineLevel="1"/>
    <col min="36" max="36" width="11.5703125" style="135" customWidth="1" outlineLevel="1"/>
    <col min="37" max="38" width="10.5703125" style="1" bestFit="1" customWidth="1" outlineLevel="1"/>
    <col min="39" max="39" width="11.5703125" style="1" customWidth="1" outlineLevel="1"/>
    <col min="40" max="40" width="11.7109375" style="1" customWidth="1" outlineLevel="1"/>
    <col min="41" max="42" width="11.5703125" style="1" customWidth="1" outlineLevel="1"/>
    <col min="43" max="43" width="11.5703125" style="1" bestFit="1" customWidth="1" outlineLevel="1"/>
    <col min="44" max="45" width="11.5703125" style="1" bestFit="1" customWidth="1"/>
    <col min="46" max="47" width="10.28515625" style="1" bestFit="1" customWidth="1"/>
    <col min="48" max="242" width="8.5703125" style="1" customWidth="1"/>
    <col min="243" max="16384" width="10.5703125" style="1"/>
  </cols>
  <sheetData>
    <row r="1" spans="1:47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W1" s="1029" t="s">
        <v>216</v>
      </c>
      <c r="X1" s="1029"/>
      <c r="Y1" s="1029"/>
      <c r="Z1" s="1029"/>
      <c r="AA1" s="1029"/>
      <c r="AB1" s="245"/>
      <c r="AC1" s="246"/>
      <c r="AD1" s="128"/>
      <c r="AE1" s="128"/>
      <c r="AF1" s="1029" t="s">
        <v>225</v>
      </c>
      <c r="AG1" s="1029"/>
      <c r="AH1" s="1029"/>
      <c r="AI1" s="1029"/>
      <c r="AJ1" s="1029"/>
      <c r="AK1" s="1029"/>
      <c r="AL1" s="1029"/>
      <c r="AM1" s="1029"/>
      <c r="AN1" s="1029"/>
      <c r="AO1" s="248" t="s">
        <v>194</v>
      </c>
      <c r="AP1" s="248" t="s">
        <v>177</v>
      </c>
      <c r="AQ1" s="248" t="s">
        <v>282</v>
      </c>
      <c r="AR1" s="387" t="s">
        <v>107</v>
      </c>
      <c r="AS1" s="387" t="s">
        <v>194</v>
      </c>
      <c r="AT1" s="387" t="s">
        <v>177</v>
      </c>
      <c r="AU1" s="387" t="s">
        <v>282</v>
      </c>
    </row>
    <row r="2" spans="1:47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W2" s="10" t="s">
        <v>190</v>
      </c>
      <c r="X2" s="10" t="s">
        <v>55</v>
      </c>
      <c r="Y2" s="10" t="s">
        <v>3</v>
      </c>
      <c r="Z2" s="140" t="s">
        <v>1</v>
      </c>
      <c r="AA2" s="140" t="s">
        <v>215</v>
      </c>
      <c r="AB2" s="249" t="s">
        <v>2</v>
      </c>
      <c r="AC2" s="9" t="s">
        <v>223</v>
      </c>
      <c r="AD2" s="129" t="s">
        <v>226</v>
      </c>
      <c r="AE2" s="129" t="s">
        <v>227</v>
      </c>
      <c r="AF2" s="10" t="s">
        <v>194</v>
      </c>
      <c r="AG2" s="10" t="s">
        <v>177</v>
      </c>
      <c r="AH2" s="10" t="s">
        <v>282</v>
      </c>
      <c r="AI2" s="10" t="s">
        <v>3</v>
      </c>
      <c r="AJ2" s="140" t="s">
        <v>228</v>
      </c>
      <c r="AK2" s="140" t="s">
        <v>229</v>
      </c>
      <c r="AL2" s="140" t="s">
        <v>283</v>
      </c>
      <c r="AM2" s="140" t="s">
        <v>230</v>
      </c>
      <c r="AN2" s="140" t="s">
        <v>215</v>
      </c>
      <c r="AO2" s="249" t="s">
        <v>222</v>
      </c>
      <c r="AP2" s="249" t="s">
        <v>222</v>
      </c>
      <c r="AQ2" s="249" t="s">
        <v>222</v>
      </c>
      <c r="AR2" s="388" t="s">
        <v>327</v>
      </c>
      <c r="AS2" s="388" t="s">
        <v>327</v>
      </c>
      <c r="AT2" s="388" t="s">
        <v>327</v>
      </c>
      <c r="AU2" s="388" t="s">
        <v>327</v>
      </c>
    </row>
    <row r="3" spans="1:47" ht="17.25" customHeight="1">
      <c r="B3" s="1031" t="s">
        <v>480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477</v>
      </c>
      <c r="L3" s="1032"/>
      <c r="M3" s="1033"/>
      <c r="N3" s="1031" t="s">
        <v>478</v>
      </c>
      <c r="O3" s="1032"/>
      <c r="P3" s="1033"/>
      <c r="Q3" s="363"/>
      <c r="R3" s="1031" t="s">
        <v>309</v>
      </c>
      <c r="S3" s="1032"/>
      <c r="T3" s="1032"/>
      <c r="U3" s="1033"/>
      <c r="W3" s="4"/>
      <c r="X3" s="4"/>
      <c r="Y3" s="4"/>
      <c r="Z3" s="4"/>
      <c r="AA3" s="5"/>
      <c r="AB3" s="265"/>
      <c r="AC3" s="3"/>
      <c r="AD3" s="125"/>
      <c r="AE3" s="126"/>
      <c r="AF3" s="242"/>
      <c r="AG3" s="242"/>
      <c r="AH3" s="242"/>
      <c r="AI3" s="4"/>
      <c r="AJ3" s="242"/>
      <c r="AK3" s="242"/>
      <c r="AL3" s="242"/>
      <c r="AM3" s="242"/>
      <c r="AN3" s="5"/>
      <c r="AO3" s="1025"/>
      <c r="AP3" s="1025"/>
      <c r="AQ3" s="1025"/>
      <c r="AR3" s="389"/>
      <c r="AS3" s="389"/>
      <c r="AT3" s="389"/>
      <c r="AU3" s="389"/>
    </row>
    <row r="4" spans="1:47" s="6" customFormat="1" ht="16.5">
      <c r="B4" s="664" t="s">
        <v>464</v>
      </c>
      <c r="C4" s="185" t="s">
        <v>466</v>
      </c>
      <c r="D4" s="665" t="s">
        <v>465</v>
      </c>
      <c r="E4" s="664" t="s">
        <v>464</v>
      </c>
      <c r="F4" s="185" t="s">
        <v>466</v>
      </c>
      <c r="G4" s="665" t="s">
        <v>465</v>
      </c>
      <c r="H4" s="664" t="s">
        <v>464</v>
      </c>
      <c r="I4" s="185" t="s">
        <v>466</v>
      </c>
      <c r="J4" s="665" t="s">
        <v>465</v>
      </c>
      <c r="K4" s="664" t="s">
        <v>464</v>
      </c>
      <c r="L4" s="185" t="s">
        <v>466</v>
      </c>
      <c r="M4" s="665" t="s">
        <v>465</v>
      </c>
      <c r="N4" s="664" t="s">
        <v>464</v>
      </c>
      <c r="O4" s="185" t="s">
        <v>466</v>
      </c>
      <c r="P4" s="665" t="s">
        <v>465</v>
      </c>
      <c r="Q4" s="8"/>
      <c r="R4" s="664" t="s">
        <v>464</v>
      </c>
      <c r="S4" s="683" t="s">
        <v>306</v>
      </c>
      <c r="T4" s="683" t="s">
        <v>469</v>
      </c>
      <c r="U4" s="684" t="s">
        <v>470</v>
      </c>
      <c r="W4" s="10"/>
      <c r="X4" s="10"/>
      <c r="Y4" s="10"/>
      <c r="Z4" s="5"/>
      <c r="AA4" s="5"/>
      <c r="AB4" s="256"/>
      <c r="AC4" s="9"/>
      <c r="AD4" s="125"/>
      <c r="AE4" s="126"/>
      <c r="AF4" s="243"/>
      <c r="AG4" s="243"/>
      <c r="AH4" s="243"/>
      <c r="AI4" s="10"/>
      <c r="AJ4" s="244"/>
      <c r="AK4" s="244"/>
      <c r="AL4" s="244"/>
      <c r="AM4" s="244"/>
      <c r="AN4" s="5"/>
      <c r="AO4" s="5"/>
      <c r="AP4" s="5"/>
      <c r="AQ4" s="5"/>
      <c r="AR4" s="390"/>
      <c r="AS4" s="390"/>
      <c r="AT4" s="390"/>
      <c r="AU4" s="390"/>
    </row>
    <row r="5" spans="1:47" s="6" customFormat="1" ht="15">
      <c r="A5" s="11"/>
      <c r="B5" s="335"/>
      <c r="C5" s="13" t="s">
        <v>287</v>
      </c>
      <c r="D5" s="314"/>
      <c r="E5" s="321"/>
      <c r="F5" s="13" t="s">
        <v>287</v>
      </c>
      <c r="G5" s="322"/>
      <c r="H5" s="321"/>
      <c r="I5" s="13" t="s">
        <v>287</v>
      </c>
      <c r="J5" s="322"/>
      <c r="K5" s="321"/>
      <c r="L5" s="13" t="s">
        <v>287</v>
      </c>
      <c r="M5" s="322"/>
      <c r="N5" s="321"/>
      <c r="O5" s="13" t="s">
        <v>287</v>
      </c>
      <c r="P5" s="322"/>
      <c r="Q5" s="309"/>
      <c r="R5" s="321"/>
      <c r="S5" s="11"/>
      <c r="T5" s="11"/>
      <c r="U5" s="322"/>
      <c r="W5" s="15"/>
      <c r="X5" s="15"/>
      <c r="Y5" s="15"/>
      <c r="Z5" s="16"/>
      <c r="AA5" s="16"/>
      <c r="AB5" s="159"/>
      <c r="AC5" s="14"/>
      <c r="AD5" s="125"/>
      <c r="AE5" s="126"/>
      <c r="AF5" s="15"/>
      <c r="AG5" s="15"/>
      <c r="AH5" s="15"/>
      <c r="AI5" s="15"/>
      <c r="AJ5" s="16"/>
      <c r="AK5" s="16"/>
      <c r="AL5" s="16"/>
      <c r="AM5" s="16"/>
      <c r="AN5" s="16"/>
      <c r="AO5" s="16"/>
      <c r="AP5" s="16"/>
      <c r="AQ5" s="16"/>
      <c r="AR5" s="391"/>
      <c r="AS5" s="391"/>
      <c r="AT5" s="391"/>
      <c r="AU5" s="391"/>
    </row>
    <row r="6" spans="1:47" ht="15">
      <c r="A6" s="17" t="s">
        <v>4</v>
      </c>
      <c r="B6" s="668">
        <f>IF($B$24&lt;&gt;0,$D$56,0)</f>
        <v>4.6284642573161047E-2</v>
      </c>
      <c r="C6" s="666">
        <v>4.8917889727838434E-2</v>
      </c>
      <c r="D6" s="667">
        <v>3.738323662052577E-2</v>
      </c>
      <c r="E6" s="668">
        <f>$F$56</f>
        <v>0.14603302910492424</v>
      </c>
      <c r="F6" s="666">
        <v>0.1482862426540402</v>
      </c>
      <c r="G6" s="667">
        <v>0.10706625391381686</v>
      </c>
      <c r="H6" s="668">
        <f>IF($H$24&lt;&gt;0,$H$56,0)</f>
        <v>0.5815406062835875</v>
      </c>
      <c r="I6" s="666">
        <v>0.58125835091579836</v>
      </c>
      <c r="J6" s="667">
        <v>0.5066647876706033</v>
      </c>
      <c r="K6" s="668">
        <f>J56</f>
        <v>0.27654982296173175</v>
      </c>
      <c r="L6" s="666">
        <v>0.28027625220903413</v>
      </c>
      <c r="M6" s="667">
        <v>0</v>
      </c>
      <c r="N6" s="668">
        <f>L56</f>
        <v>0.18482426848049277</v>
      </c>
      <c r="O6" s="666">
        <v>0.18504974799327983</v>
      </c>
      <c r="P6" s="667">
        <v>0</v>
      </c>
      <c r="Q6" s="18"/>
      <c r="R6" s="668">
        <f>(B6*B$24+E6*E$24+H6*H$24+K6*K$24+N6*N$24)/R$24</f>
        <v>0.12851185873496052</v>
      </c>
      <c r="S6" s="666">
        <f>R6</f>
        <v>0.12851185873496052</v>
      </c>
      <c r="T6" s="666">
        <f>R6</f>
        <v>0.12851185873496052</v>
      </c>
      <c r="U6" s="667">
        <f>R6-T6</f>
        <v>0</v>
      </c>
      <c r="V6" s="1">
        <f>R6*$R$24</f>
        <v>18004.511408767969</v>
      </c>
      <c r="W6" s="24"/>
      <c r="X6" s="21"/>
      <c r="Y6" s="21"/>
      <c r="Z6" s="2"/>
      <c r="AA6" s="2"/>
      <c r="AB6" s="159"/>
      <c r="AC6" s="20"/>
      <c r="AD6" s="125"/>
      <c r="AE6" s="126"/>
      <c r="AF6" s="21"/>
      <c r="AG6" s="21"/>
      <c r="AH6" s="21"/>
      <c r="AI6" s="21"/>
      <c r="AJ6" s="2"/>
      <c r="AK6" s="2"/>
      <c r="AL6" s="2"/>
      <c r="AM6" s="2"/>
      <c r="AN6" s="2"/>
      <c r="AO6" s="2"/>
      <c r="AP6" s="2"/>
      <c r="AQ6" s="2"/>
      <c r="AR6" s="253"/>
      <c r="AS6" s="253"/>
      <c r="AT6" s="253"/>
      <c r="AU6" s="253"/>
    </row>
    <row r="7" spans="1:47" ht="15">
      <c r="A7" s="17" t="s">
        <v>5</v>
      </c>
      <c r="B7" s="672">
        <f>IF($B$24&lt;&gt;0,$D$104,0)</f>
        <v>6.1759710889584436E-3</v>
      </c>
      <c r="C7" s="251">
        <v>6.7184367154371882E-3</v>
      </c>
      <c r="D7" s="673">
        <v>5.644520175438596E-3</v>
      </c>
      <c r="E7" s="672">
        <f>$H$104</f>
        <v>5.3892700097696894E-2</v>
      </c>
      <c r="F7" s="251">
        <v>5.3032975011683359E-2</v>
      </c>
      <c r="G7" s="674">
        <v>4.635952916666667E-2</v>
      </c>
      <c r="H7" s="672">
        <f>IF($H$24&lt;&gt;0,$H$104,0)</f>
        <v>5.3892700097696894E-2</v>
      </c>
      <c r="I7" s="251">
        <v>5.5088299786421595E-2</v>
      </c>
      <c r="J7" s="673">
        <v>5.1146000000000004E-2</v>
      </c>
      <c r="K7" s="672">
        <f>B7</f>
        <v>6.1759710889584436E-3</v>
      </c>
      <c r="L7" s="251">
        <v>4.5711697648667593E-3</v>
      </c>
      <c r="M7" s="673">
        <v>0</v>
      </c>
      <c r="N7" s="672">
        <f t="shared" ref="N7:N11" si="0">B7</f>
        <v>6.1759710889584436E-3</v>
      </c>
      <c r="O7" s="251">
        <v>4.7608362889677057E-3</v>
      </c>
      <c r="P7" s="673">
        <v>0</v>
      </c>
      <c r="Q7" s="23"/>
      <c r="R7" s="672">
        <f>(B7*B$24+E7*E$24+H7*H$24+K7*K$24+N7*N$24)/R$24</f>
        <v>2.3205496074232695E-2</v>
      </c>
      <c r="S7" s="251">
        <v>6.5396806966618289E-3</v>
      </c>
      <c r="T7" s="251">
        <f>IF($R$22&lt;$S$22,R7,IF($R$12&lt;$S$12,R7,IF(AND($R$12&gt;$S$12,$R$20&lt;$S$20),(($S$7+$S$8+$S$9+$S$10+$S$11)+($S$20-$R$20))/($R$7+$R$8+$R$9+$R$10+$R$11)*R7,R7/($R$7+$R$8+$R$9+$R$10+$R$11)*($S$7+$S$8+$S$9+$S$10+$S$11))))</f>
        <v>1.6526343454316531E-2</v>
      </c>
      <c r="U7" s="673">
        <f t="shared" ref="U7:U11" si="1">R7-T7</f>
        <v>6.6791526199161642E-3</v>
      </c>
      <c r="V7" s="1">
        <f t="shared" ref="V7:V11" si="2">R7*$R$24</f>
        <v>3251.0900000000006</v>
      </c>
      <c r="W7" s="24">
        <f>ROUND($G$98*$H$98,0)</f>
        <v>3251090</v>
      </c>
      <c r="X7" s="24">
        <v>0</v>
      </c>
      <c r="Y7" s="24">
        <f>SUM(W7:X7)</f>
        <v>3251090</v>
      </c>
      <c r="Z7" s="19">
        <f>G98</f>
        <v>44218400</v>
      </c>
      <c r="AA7" s="25">
        <f>Y7/Z7</f>
        <v>7.3523465344743369E-2</v>
      </c>
      <c r="AB7" s="159" t="s">
        <v>6</v>
      </c>
      <c r="AC7" s="20" t="s">
        <v>7</v>
      </c>
      <c r="AD7" s="125">
        <v>630010</v>
      </c>
      <c r="AE7" s="126">
        <v>1</v>
      </c>
      <c r="AF7" s="24">
        <f>ROUND($B$104*$C$104*$B$24*1000,0)</f>
        <v>556455</v>
      </c>
      <c r="AG7" s="24">
        <f>ROUND($F$104*$G$104*$E$24*1000,0)</f>
        <v>1886245</v>
      </c>
      <c r="AH7" s="24">
        <f>ROUND($F$104*$G$104*$H$24*1000,0)</f>
        <v>808391</v>
      </c>
      <c r="AI7" s="24">
        <f>SUM(AF7:AH7)</f>
        <v>3251091</v>
      </c>
      <c r="AJ7" s="19">
        <f>$B$104*$B$24*1000</f>
        <v>7568400.0000000009</v>
      </c>
      <c r="AK7" s="19">
        <f>$F$104*$E$24*1000</f>
        <v>25655000.000000004</v>
      </c>
      <c r="AL7" s="19">
        <f>$F$104*$H$24*1000</f>
        <v>10995000.000000002</v>
      </c>
      <c r="AM7" s="19">
        <f>SUM(AJ7:AL7)</f>
        <v>44218400.000000007</v>
      </c>
      <c r="AN7" s="25">
        <f>AI7/AM7</f>
        <v>7.3523487959763351E-2</v>
      </c>
      <c r="AO7" s="56">
        <f>ROUND(AJ7/$B$24,3)</f>
        <v>84</v>
      </c>
      <c r="AP7" s="56">
        <f>ROUND(AK7/$E$24,3)</f>
        <v>733</v>
      </c>
      <c r="AQ7" s="56">
        <f>IF($H$24&lt;&gt;0,ROUND(AL7/$H$24,3),0)</f>
        <v>733</v>
      </c>
      <c r="AR7" s="241">
        <f>U7*$R$24</f>
        <v>935.74928205025458</v>
      </c>
      <c r="AS7" s="241">
        <f>$AR7/$AM7*AJ7</f>
        <v>160.1623954342343</v>
      </c>
      <c r="AT7" s="241">
        <f t="shared" ref="AT7:AU11" si="3">$AR7/$AM7*AK7</f>
        <v>542.91082063121416</v>
      </c>
      <c r="AU7" s="241">
        <f t="shared" si="3"/>
        <v>232.67606598480606</v>
      </c>
    </row>
    <row r="8" spans="1:47" ht="15">
      <c r="A8" s="26" t="s">
        <v>8</v>
      </c>
      <c r="B8" s="675">
        <f>IF($B$24&lt;&gt;0,$D$109,0)</f>
        <v>1.9093159653203639E-2</v>
      </c>
      <c r="C8" s="251">
        <v>2.3250695603634748E-2</v>
      </c>
      <c r="D8" s="673">
        <v>1.757311140350877E-2</v>
      </c>
      <c r="E8" s="675">
        <f>$H$109</f>
        <v>1.0739902304927046E-2</v>
      </c>
      <c r="F8" s="251">
        <v>1.439344247035242E-2</v>
      </c>
      <c r="G8" s="673">
        <v>1.007329375E-2</v>
      </c>
      <c r="H8" s="675">
        <f>IF($H$24&lt;&gt;0,$H$109,0)</f>
        <v>1.0739902304927046E-2</v>
      </c>
      <c r="I8" s="251">
        <v>1.2985864992557116E-2</v>
      </c>
      <c r="J8" s="673">
        <v>1.2474500000000001E-2</v>
      </c>
      <c r="K8" s="675">
        <f t="shared" ref="K8:K11" si="4">B8</f>
        <v>1.9093159653203639E-2</v>
      </c>
      <c r="L8" s="251">
        <v>3.1930814796483312E-2</v>
      </c>
      <c r="M8" s="673">
        <v>0</v>
      </c>
      <c r="N8" s="675">
        <f t="shared" si="0"/>
        <v>1.9093159653203639E-2</v>
      </c>
      <c r="O8" s="251">
        <v>2.0645267873809967E-2</v>
      </c>
      <c r="P8" s="673">
        <v>0</v>
      </c>
      <c r="Q8" s="23"/>
      <c r="R8" s="675">
        <f t="shared" ref="R8:R11" si="5">(B8*B$24+E8*E$24+H8*H$24+K8*K$24+N8*N$24)/R$24</f>
        <v>1.6111982869379017E-2</v>
      </c>
      <c r="S8" s="251">
        <v>2.9646432510885341E-2</v>
      </c>
      <c r="T8" s="251">
        <f>IF($R$22&lt;$S$22,R8,IF($R$12&lt;$S$12,R8,IF(AND($R$12&gt;$S$12,$R$20&lt;$S$20),(($S$7+$S$8+$S$9+$S$10+$S$11)+($S$20-$R$20))/($R$7+$R$8+$R$9+$R$10+$R$11)*R8,R8/($R$7+$R$8+$R$9+$R$10+$R$11)*($S$7+$S$8+$S$9+$S$10+$S$11))))</f>
        <v>1.1474530075876711E-2</v>
      </c>
      <c r="U8" s="673">
        <f t="shared" si="1"/>
        <v>4.6374527935023058E-3</v>
      </c>
      <c r="V8" s="1">
        <f t="shared" si="2"/>
        <v>2257.2888000000003</v>
      </c>
      <c r="W8" s="24">
        <f>ROUND($D$98*$C$98,0)</f>
        <v>2257289</v>
      </c>
      <c r="X8" s="24">
        <v>0</v>
      </c>
      <c r="Y8" s="24">
        <f>SUM(W8:X8)</f>
        <v>2257289</v>
      </c>
      <c r="Z8" s="19">
        <f>C98*1000</f>
        <v>567479999.99999988</v>
      </c>
      <c r="AA8" s="25">
        <f>Y8/Z8</f>
        <v>3.9777419468527532E-3</v>
      </c>
      <c r="AB8" s="159" t="s">
        <v>9</v>
      </c>
      <c r="AC8" s="20" t="s">
        <v>10</v>
      </c>
      <c r="AD8" s="125" t="s">
        <v>75</v>
      </c>
      <c r="AE8" s="126">
        <v>1</v>
      </c>
      <c r="AF8" s="24">
        <f>ROUND($B$109*$C$109*$B$24*1000,0)</f>
        <v>1720294</v>
      </c>
      <c r="AG8" s="24">
        <f>ROUND($F$109*$G$109*$E$24*1000,0)</f>
        <v>375897</v>
      </c>
      <c r="AH8" s="24">
        <f>ROUND($F$109*$G$109*$H$24*1000,0)</f>
        <v>161099</v>
      </c>
      <c r="AI8" s="24">
        <f t="shared" ref="AI8:AI11" si="6">SUM(AF8:AH8)</f>
        <v>2257290</v>
      </c>
      <c r="AJ8" s="19">
        <f>$B$109*$B$24*1000*1000</f>
        <v>432479999.99999994</v>
      </c>
      <c r="AK8" s="19">
        <f>$F$109*$E$24*1000*1000</f>
        <v>94499999.999999985</v>
      </c>
      <c r="AL8" s="19">
        <f>$F$109*$H$24*1000*1000</f>
        <v>40499999.999999993</v>
      </c>
      <c r="AM8" s="19">
        <f t="shared" ref="AM8:AM11" si="7">SUM(AJ8:AL8)</f>
        <v>567479999.99999988</v>
      </c>
      <c r="AN8" s="25">
        <f>AI8/AM8</f>
        <v>3.977743709029394E-3</v>
      </c>
      <c r="AO8" s="56">
        <f>ROUND(AJ8/$B$24,3)</f>
        <v>4800</v>
      </c>
      <c r="AP8" s="56">
        <f>ROUND(AK8/$E$24,3)</f>
        <v>2700</v>
      </c>
      <c r="AQ8" s="56">
        <f>IF($H$24&lt;&gt;0,ROUND(AL8/$H$24,3),0)</f>
        <v>2700</v>
      </c>
      <c r="AR8" s="241">
        <f>U8*$R$24</f>
        <v>649.70713636967309</v>
      </c>
      <c r="AS8" s="241">
        <f>$AR8/$AM8*AJ8</f>
        <v>495.14580661372423</v>
      </c>
      <c r="AT8" s="241">
        <f t="shared" si="3"/>
        <v>108.19293082916421</v>
      </c>
      <c r="AU8" s="241">
        <f t="shared" si="3"/>
        <v>46.368398926784664</v>
      </c>
    </row>
    <row r="9" spans="1:47" ht="15">
      <c r="A9" s="17" t="s">
        <v>11</v>
      </c>
      <c r="B9" s="675">
        <f>IF($B$24&lt;&gt;0,$H$119,0)</f>
        <v>2.5695932505353323E-2</v>
      </c>
      <c r="C9" s="251">
        <v>2.0888728808069957E-2</v>
      </c>
      <c r="D9" s="673">
        <v>9.1201588372432588E-3</v>
      </c>
      <c r="E9" s="675">
        <f>$H$119</f>
        <v>2.5695932505353323E-2</v>
      </c>
      <c r="F9" s="251">
        <v>2.1258138375900237E-2</v>
      </c>
      <c r="G9" s="673">
        <v>9.3875756480945125E-3</v>
      </c>
      <c r="H9" s="675">
        <f>IF($H$24&lt;&gt;0,$H$119,0)</f>
        <v>2.5695932505353323E-2</v>
      </c>
      <c r="I9" s="251">
        <v>1.5830357905637176E-2</v>
      </c>
      <c r="J9" s="673">
        <v>3.1944442500000003E-2</v>
      </c>
      <c r="K9" s="675">
        <f t="shared" si="4"/>
        <v>2.5695932505353323E-2</v>
      </c>
      <c r="L9" s="251">
        <v>1.8773030271302702E-2</v>
      </c>
      <c r="M9" s="673">
        <v>0</v>
      </c>
      <c r="N9" s="675">
        <f t="shared" si="0"/>
        <v>2.5695932505353323E-2</v>
      </c>
      <c r="O9" s="251">
        <v>2.4556496173231288E-2</v>
      </c>
      <c r="P9" s="673">
        <v>0</v>
      </c>
      <c r="Q9" s="23"/>
      <c r="R9" s="675">
        <f t="shared" si="5"/>
        <v>2.5695932505353323E-2</v>
      </c>
      <c r="S9" s="251">
        <v>1.4439611030478954E-2</v>
      </c>
      <c r="T9" s="251">
        <f>IF($R$22&lt;$S$22,R9,IF($R$12&lt;$S$12,R9,IF(AND($R$12&gt;$S$12,$R$20&lt;$S$20),(($S$7+$S$8+$S$9+$S$10+$S$11)+($S$20-$R$20))/($R$7+$R$8+$R$9+$R$10+$R$11)*R9,R9/($R$7+$R$8+$R$9+$R$10+$R$11)*($S$7+$S$8+$S$9+$S$10+$S$11))))</f>
        <v>1.8299966723570545E-2</v>
      </c>
      <c r="U9" s="673">
        <f t="shared" si="1"/>
        <v>7.3959657817827783E-3</v>
      </c>
      <c r="V9" s="1">
        <f t="shared" si="2"/>
        <v>3600.0001440000005</v>
      </c>
      <c r="W9" s="24">
        <f>ROUND($G$119,0)</f>
        <v>3600000</v>
      </c>
      <c r="X9" s="24">
        <v>0</v>
      </c>
      <c r="Y9" s="24">
        <f>SUM(W9:X9)</f>
        <v>3600000</v>
      </c>
      <c r="Z9" s="19">
        <f>$B$25*1000</f>
        <v>140100000</v>
      </c>
      <c r="AA9" s="25">
        <f>Y9/Z9</f>
        <v>2.569593147751606E-2</v>
      </c>
      <c r="AB9" s="159" t="s">
        <v>12</v>
      </c>
      <c r="AC9" s="20" t="s">
        <v>13</v>
      </c>
      <c r="AD9" s="125" t="s">
        <v>76</v>
      </c>
      <c r="AE9" s="126">
        <v>1</v>
      </c>
      <c r="AF9" s="24">
        <f>$H$119*$B$24*1000</f>
        <v>2315203.5187323345</v>
      </c>
      <c r="AG9" s="24">
        <f>$H$119*$E$24*1000</f>
        <v>899357.63768736622</v>
      </c>
      <c r="AH9" s="24">
        <f>$H$119*$H$24*1000</f>
        <v>385438.98758029984</v>
      </c>
      <c r="AI9" s="24">
        <f t="shared" si="6"/>
        <v>3600000.1440000008</v>
      </c>
      <c r="AJ9" s="19">
        <f>$B$24*1000</f>
        <v>90100000</v>
      </c>
      <c r="AK9" s="19">
        <f>$E$24*1000</f>
        <v>35000000</v>
      </c>
      <c r="AL9" s="19">
        <f>$H$24*1000</f>
        <v>15000000</v>
      </c>
      <c r="AM9" s="19">
        <f t="shared" si="7"/>
        <v>140100000</v>
      </c>
      <c r="AN9" s="25">
        <f>AI9/AM9</f>
        <v>2.5695932505353326E-2</v>
      </c>
      <c r="AO9" s="56">
        <f>ROUND(AJ9/$B$24,3)</f>
        <v>1000</v>
      </c>
      <c r="AP9" s="56">
        <f>ROUND(AK9/$E$24,3)</f>
        <v>1000</v>
      </c>
      <c r="AQ9" s="56">
        <f>IF($H$24&lt;&gt;0,ROUND(AL9/$H$24,3),0)</f>
        <v>1000</v>
      </c>
      <c r="AR9" s="241">
        <f>U9*$R$24</f>
        <v>1036.1748060277673</v>
      </c>
      <c r="AS9" s="241">
        <f t="shared" ref="AS9:AS11" si="8">$AR9/$AM9*AJ9</f>
        <v>666.37651693862836</v>
      </c>
      <c r="AT9" s="241">
        <f t="shared" si="3"/>
        <v>258.85880236239728</v>
      </c>
      <c r="AU9" s="241">
        <f t="shared" si="3"/>
        <v>110.93948672674169</v>
      </c>
    </row>
    <row r="10" spans="1:47" ht="15">
      <c r="A10" s="17" t="s">
        <v>14</v>
      </c>
      <c r="B10" s="675">
        <f>IF($B$24&lt;&gt;0,$H$123,0)</f>
        <v>3.4261241970021412E-3</v>
      </c>
      <c r="C10" s="251">
        <v>2.5984533297509871E-3</v>
      </c>
      <c r="D10" s="673">
        <v>7.9305733846812159E-4</v>
      </c>
      <c r="E10" s="675">
        <f>$H$123</f>
        <v>3.4261241970021412E-3</v>
      </c>
      <c r="F10" s="251">
        <v>2.0231731586708226E-3</v>
      </c>
      <c r="G10" s="673">
        <v>8.1631097560975617E-4</v>
      </c>
      <c r="H10" s="675">
        <f>IF($H$24&lt;&gt;0,$H$123,0)</f>
        <v>3.4261241970021412E-3</v>
      </c>
      <c r="I10" s="251">
        <v>3.5917746424179663E-3</v>
      </c>
      <c r="J10" s="673">
        <v>2.7777777777777783E-3</v>
      </c>
      <c r="K10" s="675">
        <f t="shared" si="4"/>
        <v>3.4261241970021412E-3</v>
      </c>
      <c r="L10" s="251">
        <v>2.1372028313709811E-3</v>
      </c>
      <c r="M10" s="673">
        <v>0</v>
      </c>
      <c r="N10" s="675">
        <f t="shared" si="0"/>
        <v>3.4261241970021412E-3</v>
      </c>
      <c r="O10" s="251">
        <v>1.6521560574948664E-3</v>
      </c>
      <c r="P10" s="673">
        <v>0</v>
      </c>
      <c r="Q10" s="23"/>
      <c r="R10" s="675">
        <f t="shared" si="5"/>
        <v>3.4261241970021412E-3</v>
      </c>
      <c r="S10" s="251">
        <v>1.1089114658925979E-3</v>
      </c>
      <c r="T10" s="251">
        <f>IF($R$22&lt;$S$22,R10,IF($R$12&lt;$S$12,R10,IF(AND($R$12&gt;$S$12,$R$20&lt;$S$20),(($S$7+$S$8+$S$9+$S$10+$S$11)+($S$20-$R$20))/($R$7+$R$8+$R$9+$R$10+$R$11)*R10,R10/($R$7+$R$8+$R$9+$R$10+$R$11)*($S$7+$S$8+$S$9+$S$10+$S$11))))</f>
        <v>2.4399954655429201E-3</v>
      </c>
      <c r="U10" s="673">
        <f t="shared" si="1"/>
        <v>9.8612873145922106E-4</v>
      </c>
      <c r="V10" s="1">
        <f t="shared" si="2"/>
        <v>480</v>
      </c>
      <c r="W10" s="24">
        <f>ROUND($G$123,0)</f>
        <v>480000</v>
      </c>
      <c r="X10" s="24">
        <v>0</v>
      </c>
      <c r="Y10" s="24">
        <f>SUM(W10:X10)</f>
        <v>480000</v>
      </c>
      <c r="Z10" s="19">
        <f>$B$25*1000</f>
        <v>140100000</v>
      </c>
      <c r="AA10" s="25">
        <f>Y10/Z10</f>
        <v>3.4261241970021412E-3</v>
      </c>
      <c r="AB10" s="159" t="s">
        <v>12</v>
      </c>
      <c r="AC10" s="20" t="s">
        <v>15</v>
      </c>
      <c r="AD10" s="125" t="s">
        <v>77</v>
      </c>
      <c r="AE10" s="126">
        <v>1</v>
      </c>
      <c r="AF10" s="24">
        <f>$H$123*$B$24*1000</f>
        <v>308693.79014989297</v>
      </c>
      <c r="AG10" s="24">
        <f>$H$123*$E$24*1000</f>
        <v>119914.34689507494</v>
      </c>
      <c r="AH10" s="24">
        <f>$H$123*$H$24*1000</f>
        <v>51391.86295503212</v>
      </c>
      <c r="AI10" s="24">
        <f t="shared" si="6"/>
        <v>480000</v>
      </c>
      <c r="AJ10" s="19">
        <f>$B$24*1000</f>
        <v>90100000</v>
      </c>
      <c r="AK10" s="19">
        <f>$E$24*1000</f>
        <v>35000000</v>
      </c>
      <c r="AL10" s="19">
        <f>$H$24*1000</f>
        <v>15000000</v>
      </c>
      <c r="AM10" s="19">
        <f t="shared" si="7"/>
        <v>140100000</v>
      </c>
      <c r="AN10" s="25">
        <f>AI10/AM10</f>
        <v>3.4261241970021412E-3</v>
      </c>
      <c r="AO10" s="56">
        <f>ROUND(AJ10/$B$24,3)</f>
        <v>1000</v>
      </c>
      <c r="AP10" s="56">
        <f>ROUND(AK10/$E$24,3)</f>
        <v>1000</v>
      </c>
      <c r="AQ10" s="56">
        <f>IF($H$24&lt;&gt;0,ROUND(AL10/$H$24,3),0)</f>
        <v>1000</v>
      </c>
      <c r="AR10" s="241">
        <f>U10*$R$24</f>
        <v>138.15663527743686</v>
      </c>
      <c r="AS10" s="241">
        <f t="shared" si="8"/>
        <v>88.850198704475801</v>
      </c>
      <c r="AT10" s="241">
        <f t="shared" si="3"/>
        <v>34.514505601072734</v>
      </c>
      <c r="AU10" s="241">
        <f t="shared" si="3"/>
        <v>14.791930971888315</v>
      </c>
    </row>
    <row r="11" spans="1:47" ht="15">
      <c r="A11" s="17" t="s">
        <v>16</v>
      </c>
      <c r="B11" s="676">
        <f>IF($B$24&lt;&gt;0,$H$126,0)</f>
        <v>8.5653104925053538E-3</v>
      </c>
      <c r="C11" s="677">
        <v>7.126124167183989E-3</v>
      </c>
      <c r="D11" s="678">
        <v>2.9739650192554556E-3</v>
      </c>
      <c r="E11" s="679">
        <f>$H$126</f>
        <v>8.5653104925053538E-3</v>
      </c>
      <c r="F11" s="677">
        <v>8.722240971826745E-3</v>
      </c>
      <c r="G11" s="680">
        <v>3.0611661585365855E-3</v>
      </c>
      <c r="H11" s="679">
        <f>IF($H$24&lt;&gt;0,$H$126,0)</f>
        <v>8.5653104925053538E-3</v>
      </c>
      <c r="I11" s="677">
        <v>6.8701844540806417E-3</v>
      </c>
      <c r="J11" s="680">
        <v>1.0416666666666666E-2</v>
      </c>
      <c r="K11" s="679">
        <f t="shared" si="4"/>
        <v>8.5653104925053538E-3</v>
      </c>
      <c r="L11" s="677">
        <v>7.8377165012072352E-3</v>
      </c>
      <c r="M11" s="680">
        <v>0</v>
      </c>
      <c r="N11" s="679">
        <f t="shared" si="0"/>
        <v>8.5653104925053538E-3</v>
      </c>
      <c r="O11" s="677">
        <v>1.1616427104722792E-2</v>
      </c>
      <c r="P11" s="680">
        <v>0</v>
      </c>
      <c r="Q11" s="31"/>
      <c r="R11" s="679">
        <f t="shared" si="5"/>
        <v>8.5653104925053555E-3</v>
      </c>
      <c r="S11" s="677">
        <v>3.106188679245283E-3</v>
      </c>
      <c r="T11" s="677">
        <f>IF($R$22&lt;$S$22,R11,IF($R$12&lt;$S$12,R11,IF(AND($R$12&gt;$S$12,$R$20&lt;$S$20),(($S$7+$S$8+$S$9+$S$10+$S$11)+($S$20-$R$20))/($R$7+$R$8+$R$9+$R$10+$R$11)*R11,R11/($R$7+$R$8+$R$9+$R$10+$R$11)*($S$7+$S$8+$S$9+$S$10+$S$11))))</f>
        <v>6.0999886638573031E-3</v>
      </c>
      <c r="U11" s="680">
        <f t="shared" si="1"/>
        <v>2.4653218286480524E-3</v>
      </c>
      <c r="V11" s="372">
        <f t="shared" si="2"/>
        <v>1200.0000000000002</v>
      </c>
      <c r="W11" s="28">
        <f>ROUND($G$126,0)</f>
        <v>1200000</v>
      </c>
      <c r="X11" s="28">
        <v>0</v>
      </c>
      <c r="Y11" s="28">
        <f>SUM(W11:X11)</f>
        <v>1200000</v>
      </c>
      <c r="Z11" s="19">
        <f>$B$25*1000</f>
        <v>140100000</v>
      </c>
      <c r="AA11" s="25">
        <f>Y11/Z11</f>
        <v>8.5653104925053538E-3</v>
      </c>
      <c r="AB11" s="159" t="s">
        <v>12</v>
      </c>
      <c r="AC11" s="20" t="s">
        <v>17</v>
      </c>
      <c r="AD11" s="125" t="s">
        <v>78</v>
      </c>
      <c r="AE11" s="127" t="s">
        <v>78</v>
      </c>
      <c r="AF11" s="28">
        <f>$H$126*$B$24*1000</f>
        <v>771734.4753747324</v>
      </c>
      <c r="AG11" s="28">
        <f>$H$126*$E$24*1000</f>
        <v>299785.8672376874</v>
      </c>
      <c r="AH11" s="28">
        <f>$H$126*$H$24*1000</f>
        <v>128479.65738758032</v>
      </c>
      <c r="AI11" s="28">
        <f t="shared" si="6"/>
        <v>1200000</v>
      </c>
      <c r="AJ11" s="19">
        <f>$B$24*1000</f>
        <v>90100000</v>
      </c>
      <c r="AK11" s="19">
        <f>$E$24*1000</f>
        <v>35000000</v>
      </c>
      <c r="AL11" s="19">
        <f>$H$24*1000</f>
        <v>15000000</v>
      </c>
      <c r="AM11" s="19">
        <f t="shared" si="7"/>
        <v>140100000</v>
      </c>
      <c r="AN11" s="25">
        <f>AI11/AM11</f>
        <v>8.5653104925053538E-3</v>
      </c>
      <c r="AO11" s="56">
        <f>ROUND(AJ11/$B$24,3)</f>
        <v>1000</v>
      </c>
      <c r="AP11" s="56">
        <f>ROUND(AK11/$E$24,3)</f>
        <v>1000</v>
      </c>
      <c r="AQ11" s="56">
        <f>IF($H$24&lt;&gt;0,ROUND(AL11/$H$24,3),0)</f>
        <v>1000</v>
      </c>
      <c r="AR11" s="384">
        <f>U11*$R$24</f>
        <v>345.39158819359216</v>
      </c>
      <c r="AS11" s="384">
        <f t="shared" si="8"/>
        <v>222.12549676118954</v>
      </c>
      <c r="AT11" s="384">
        <f t="shared" si="3"/>
        <v>86.286264002681833</v>
      </c>
      <c r="AU11" s="384">
        <f t="shared" si="3"/>
        <v>36.979827429720785</v>
      </c>
    </row>
    <row r="12" spans="1:47">
      <c r="A12" s="192" t="s">
        <v>169</v>
      </c>
      <c r="B12" s="675">
        <f t="shared" ref="B12:D12" si="9">SUM(B6:B11)</f>
        <v>0.10924114051018394</v>
      </c>
      <c r="C12" s="251">
        <f t="shared" si="9"/>
        <v>0.1095003283519153</v>
      </c>
      <c r="D12" s="673">
        <f t="shared" si="9"/>
        <v>7.348804939443998E-2</v>
      </c>
      <c r="E12" s="675">
        <f>SUM(E6:E11)</f>
        <v>0.24835299870240901</v>
      </c>
      <c r="F12" s="251">
        <f t="shared" ref="F12" si="10">SUM(F6:F11)</f>
        <v>0.24771621264247379</v>
      </c>
      <c r="G12" s="673">
        <f>SUM(G6:G11)</f>
        <v>0.17676412961272434</v>
      </c>
      <c r="H12" s="675">
        <f>SUM(H6:H11)</f>
        <v>0.68386057588107219</v>
      </c>
      <c r="I12" s="251">
        <f t="shared" ref="I12" si="11">SUM(I6:I11)</f>
        <v>0.67562483269691287</v>
      </c>
      <c r="J12" s="673">
        <f>SUM(J6:J11)</f>
        <v>0.61542417461504784</v>
      </c>
      <c r="K12" s="675">
        <f>SUM(K6:K11)</f>
        <v>0.33950632089875471</v>
      </c>
      <c r="L12" s="251">
        <f t="shared" ref="L12" si="12">SUM(L6:L11)</f>
        <v>0.34552618637426513</v>
      </c>
      <c r="M12" s="673">
        <f>SUM(M6:M11)</f>
        <v>0</v>
      </c>
      <c r="N12" s="675">
        <f>SUM(N6:N11)</f>
        <v>0.24778076641751567</v>
      </c>
      <c r="O12" s="251">
        <f t="shared" ref="O12" si="13">SUM(O6:O11)</f>
        <v>0.24828093149150646</v>
      </c>
      <c r="P12" s="673">
        <f>SUM(P6:P11)</f>
        <v>0</v>
      </c>
      <c r="Q12" s="23"/>
      <c r="R12" s="675">
        <f>SUM(R6:R11)</f>
        <v>0.20551670487343304</v>
      </c>
      <c r="S12" s="251">
        <f t="shared" ref="S12:U12" si="14">SUM(S6:S11)</f>
        <v>0.1833526831181245</v>
      </c>
      <c r="T12" s="251">
        <f t="shared" si="14"/>
        <v>0.1833526831181245</v>
      </c>
      <c r="U12" s="673">
        <f t="shared" si="14"/>
        <v>2.2164021755308523E-2</v>
      </c>
      <c r="V12" s="1">
        <f>SUM(V7:V11)</f>
        <v>10788.378944</v>
      </c>
      <c r="W12" s="29">
        <f>SUM(W7:W11)</f>
        <v>10788379</v>
      </c>
      <c r="X12" s="29">
        <f>SUM(X7:X11)</f>
        <v>0</v>
      </c>
      <c r="Y12" s="29">
        <f>SUM(Y7:Y11)</f>
        <v>10788379</v>
      </c>
      <c r="Z12" s="19"/>
      <c r="AA12" s="19"/>
      <c r="AB12" s="159"/>
      <c r="AC12" s="20"/>
      <c r="AD12" s="125"/>
      <c r="AE12" s="127"/>
      <c r="AF12" s="29">
        <f>SUM(AF7:AF11)</f>
        <v>5672380.7842569593</v>
      </c>
      <c r="AG12" s="29">
        <f>SUM(AG7:AG11)</f>
        <v>3581199.851820129</v>
      </c>
      <c r="AH12" s="29">
        <f>SUM(AH7:AH11)</f>
        <v>1534800.5079229122</v>
      </c>
      <c r="AI12" s="29">
        <f>SUM(AI7:AI11)</f>
        <v>10788381.144000001</v>
      </c>
      <c r="AJ12" s="19"/>
      <c r="AK12" s="19"/>
      <c r="AL12" s="19"/>
      <c r="AM12" s="19"/>
      <c r="AN12" s="19"/>
      <c r="AO12" s="19"/>
      <c r="AP12" s="19"/>
      <c r="AQ12" s="19"/>
      <c r="AR12" s="102">
        <f>SUM(AR7:AR11)</f>
        <v>3105.1794479187242</v>
      </c>
      <c r="AS12" s="102">
        <f t="shared" ref="AS12:AU12" si="15">SUM(AS7:AS11)</f>
        <v>1632.6604144522521</v>
      </c>
      <c r="AT12" s="102">
        <f t="shared" si="15"/>
        <v>1030.7633234265302</v>
      </c>
      <c r="AU12" s="102">
        <f t="shared" si="15"/>
        <v>441.75571003994145</v>
      </c>
    </row>
    <row r="13" spans="1:47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675"/>
      <c r="O13" s="251"/>
      <c r="P13" s="673"/>
      <c r="Q13" s="23"/>
      <c r="R13" s="675"/>
      <c r="S13" s="251"/>
      <c r="T13" s="251"/>
      <c r="U13" s="673"/>
      <c r="W13" s="29"/>
      <c r="X13" s="29"/>
      <c r="Y13" s="29"/>
      <c r="Z13" s="19"/>
      <c r="AA13" s="19"/>
      <c r="AB13" s="159"/>
      <c r="AC13" s="20"/>
      <c r="AD13" s="125"/>
      <c r="AE13" s="127"/>
      <c r="AF13" s="29"/>
      <c r="AG13" s="29"/>
      <c r="AH13" s="29"/>
      <c r="AI13" s="29"/>
      <c r="AJ13" s="19"/>
      <c r="AK13" s="19"/>
      <c r="AL13" s="19"/>
      <c r="AM13" s="19"/>
      <c r="AN13" s="19"/>
      <c r="AO13" s="19"/>
      <c r="AP13" s="19"/>
      <c r="AQ13" s="19"/>
      <c r="AR13" s="102"/>
      <c r="AS13" s="102"/>
      <c r="AT13" s="102"/>
      <c r="AU13" s="102"/>
    </row>
    <row r="14" spans="1:47">
      <c r="A14" s="17" t="s">
        <v>18</v>
      </c>
      <c r="B14" s="675">
        <f>IF($B$24&lt;&gt;0,$F$89/$B$24/1000,0)</f>
        <v>2.1671574837400846E-2</v>
      </c>
      <c r="C14" s="251">
        <v>1.3083500137702623E-2</v>
      </c>
      <c r="D14" s="673">
        <v>1.5388494196625942E-2</v>
      </c>
      <c r="E14" s="675">
        <f>$H$89/($E$24+$H$24)/1000</f>
        <v>2.1671574837400842E-2</v>
      </c>
      <c r="F14" s="251">
        <v>1.53156155139797E-2</v>
      </c>
      <c r="G14" s="673">
        <v>1.5854473602379751E-2</v>
      </c>
      <c r="H14" s="675">
        <f>IF($H$24&lt;&gt;0,$H$89/($E$24+$H$24)/1000,0)</f>
        <v>2.1671574837400842E-2</v>
      </c>
      <c r="I14" s="251">
        <v>3.573798653808815E-2</v>
      </c>
      <c r="J14" s="673">
        <v>5.5160287540776363E-2</v>
      </c>
      <c r="K14" s="675">
        <f t="shared" ref="K14:K19" si="16">B14</f>
        <v>2.1671574837400846E-2</v>
      </c>
      <c r="L14" s="251">
        <v>1.4090322130317941E-2</v>
      </c>
      <c r="M14" s="673">
        <v>0</v>
      </c>
      <c r="N14" s="675">
        <f t="shared" ref="N14:N19" si="17">B14</f>
        <v>2.1671574837400846E-2</v>
      </c>
      <c r="O14" s="251">
        <v>1.3746770580548814E-2</v>
      </c>
      <c r="P14" s="673">
        <v>0</v>
      </c>
      <c r="Q14" s="23"/>
      <c r="R14" s="675">
        <f t="shared" ref="R14:R19" si="18">(B14*B$24+E14*E$24+H14*H$24+K14*K$24+N14*N$24)/R$24</f>
        <v>2.1671574837400842E-2</v>
      </c>
      <c r="S14" s="251">
        <v>1.130844702467344E-2</v>
      </c>
      <c r="T14" s="251">
        <f>R14</f>
        <v>2.1671574837400842E-2</v>
      </c>
      <c r="U14" s="673">
        <f t="shared" ref="U14:U19" si="19">R14-T14</f>
        <v>0</v>
      </c>
      <c r="V14" s="1">
        <f t="shared" ref="V14:V19" si="20">R14*$R$24</f>
        <v>3036.1876347198581</v>
      </c>
      <c r="W14" s="24">
        <f>ROUND($D$78,0)</f>
        <v>3036188</v>
      </c>
      <c r="X14" s="24">
        <f>ROUND($D$77,0)</f>
        <v>68408</v>
      </c>
      <c r="Y14" s="24">
        <f t="shared" ref="Y14:Y19" si="21">SUM(W14:X14)</f>
        <v>3104596</v>
      </c>
      <c r="Z14" s="19">
        <f>$B$76</f>
        <v>99348</v>
      </c>
      <c r="AA14" s="25">
        <f t="shared" ref="AA14:AA19" si="22">Y14/Z14</f>
        <v>31.249708096791078</v>
      </c>
      <c r="AB14" s="159" t="s">
        <v>19</v>
      </c>
      <c r="AC14" s="20" t="s">
        <v>20</v>
      </c>
      <c r="AD14" s="125" t="s">
        <v>78</v>
      </c>
      <c r="AE14" s="127" t="s">
        <v>78</v>
      </c>
      <c r="AF14" s="24">
        <f>$F89</f>
        <v>1952608.8928498162</v>
      </c>
      <c r="AG14" s="24">
        <f>$H89/($E$24+$H$24)*E24</f>
        <v>758505.11930902954</v>
      </c>
      <c r="AH14" s="24">
        <f>$H89/($E$24+$H$24)*H24</f>
        <v>325073.62256101263</v>
      </c>
      <c r="AI14" s="24">
        <f t="shared" ref="AI14:AI19" si="23">SUM(AF14:AH14)</f>
        <v>3036187.6347198579</v>
      </c>
      <c r="AJ14" s="19">
        <f>$E89</f>
        <v>62484.084716274097</v>
      </c>
      <c r="AK14" s="19">
        <f>$G89/($E$24+$H$24)*E24</f>
        <v>24272.396948608137</v>
      </c>
      <c r="AL14" s="19">
        <f>$G89/($E$24+$H$24)*H24</f>
        <v>10402.455835117773</v>
      </c>
      <c r="AM14" s="19">
        <f t="shared" ref="AM14:AM19" si="24">SUM(AJ14:AL14)</f>
        <v>97158.9375</v>
      </c>
      <c r="AN14" s="25">
        <f t="shared" ref="AN14:AN19" si="25">AI14/AM14</f>
        <v>31.249699851028712</v>
      </c>
      <c r="AO14" s="56">
        <f t="shared" ref="AO14:AO19" si="26">ROUND(AJ14/$B$24,3)</f>
        <v>0.69299999999999995</v>
      </c>
      <c r="AP14" s="56">
        <f t="shared" ref="AP14:AP19" si="27">ROUND(AK14/$E$24,3)</f>
        <v>0.69299999999999995</v>
      </c>
      <c r="AQ14" s="56">
        <f t="shared" ref="AQ14:AQ19" si="28">IF($H$24&lt;&gt;0,ROUND(AL14/$H$24,3),0)</f>
        <v>0.69299999999999995</v>
      </c>
      <c r="AR14" s="241">
        <f t="shared" ref="AR14:AR19" si="29">U14*$R$24</f>
        <v>0</v>
      </c>
      <c r="AS14" s="241">
        <f t="shared" ref="AS14:AU19" si="30">$AR14/$AM14*AJ14</f>
        <v>0</v>
      </c>
      <c r="AT14" s="241">
        <f t="shared" si="30"/>
        <v>0</v>
      </c>
      <c r="AU14" s="241">
        <f t="shared" si="30"/>
        <v>0</v>
      </c>
    </row>
    <row r="15" spans="1:47">
      <c r="A15" s="17" t="s">
        <v>21</v>
      </c>
      <c r="B15" s="675">
        <f>IF($B$24&lt;&gt;0,$F$90/$B$24/1000,0)</f>
        <v>8.6067633199143467E-3</v>
      </c>
      <c r="C15" s="251">
        <v>5.5430532793763086E-3</v>
      </c>
      <c r="D15" s="673">
        <v>5.4755569051261627E-3</v>
      </c>
      <c r="E15" s="675">
        <f>$H$90/($E$24+$H$24)/1000</f>
        <v>8.6067633199143484E-3</v>
      </c>
      <c r="F15" s="251">
        <v>6.4201194447931816E-3</v>
      </c>
      <c r="G15" s="673">
        <v>5.6361084910507321E-3</v>
      </c>
      <c r="H15" s="675">
        <f>IF($H$24&lt;&gt;0,$H$90/($E$24+$H$24)/1000,0)</f>
        <v>8.6067633199143484E-3</v>
      </c>
      <c r="I15" s="251">
        <v>1.4775811274351177E-2</v>
      </c>
      <c r="J15" s="673">
        <v>1.9178790176000004E-2</v>
      </c>
      <c r="K15" s="675">
        <f t="shared" si="16"/>
        <v>8.6067633199143467E-3</v>
      </c>
      <c r="L15" s="251">
        <v>6.1446048803393584E-3</v>
      </c>
      <c r="M15" s="673">
        <v>0</v>
      </c>
      <c r="N15" s="675">
        <f t="shared" si="17"/>
        <v>8.6067633199143467E-3</v>
      </c>
      <c r="O15" s="251">
        <v>6.2273100616016428E-3</v>
      </c>
      <c r="P15" s="673">
        <v>0</v>
      </c>
      <c r="Q15" s="23"/>
      <c r="R15" s="675">
        <f t="shared" si="18"/>
        <v>8.6067633199143467E-3</v>
      </c>
      <c r="S15" s="251">
        <v>5.2712801161103051E-3</v>
      </c>
      <c r="T15" s="251">
        <f>S22-T12-T14</f>
        <v>1.6998729952149211E-2</v>
      </c>
      <c r="U15" s="673">
        <f t="shared" si="19"/>
        <v>-8.3919666322348641E-3</v>
      </c>
      <c r="V15" s="1">
        <f t="shared" si="20"/>
        <v>1205.80754112</v>
      </c>
      <c r="W15" s="24">
        <f>ROUND($H$76,0)</f>
        <v>1205808</v>
      </c>
      <c r="X15" s="24">
        <v>0</v>
      </c>
      <c r="Y15" s="24">
        <f t="shared" si="21"/>
        <v>1205808</v>
      </c>
      <c r="Z15" s="19">
        <f>$F$76</f>
        <v>36691.200000000004</v>
      </c>
      <c r="AA15" s="25">
        <f t="shared" si="22"/>
        <v>32.863683935112505</v>
      </c>
      <c r="AB15" s="159" t="s">
        <v>19</v>
      </c>
      <c r="AC15" s="20" t="s">
        <v>22</v>
      </c>
      <c r="AD15" s="125" t="s">
        <v>78</v>
      </c>
      <c r="AE15" s="127" t="s">
        <v>78</v>
      </c>
      <c r="AF15" s="24">
        <f>$F90</f>
        <v>775469.37512428267</v>
      </c>
      <c r="AG15" s="24">
        <f>$H90/($E$24+$H$24)*E24</f>
        <v>301236.71619700221</v>
      </c>
      <c r="AH15" s="24">
        <f>$H90/($E$24+$H$24)*H24</f>
        <v>129101.44979871523</v>
      </c>
      <c r="AI15" s="24">
        <f t="shared" si="23"/>
        <v>1205807.5411200002</v>
      </c>
      <c r="AJ15" s="19">
        <f>$E90</f>
        <v>23596.553319057817</v>
      </c>
      <c r="AK15" s="19">
        <f>$G90/($E$24+$H$24)*E24</f>
        <v>9166.2526766595292</v>
      </c>
      <c r="AL15" s="19">
        <f>$G90/($E$24+$H$24)*H24</f>
        <v>3928.3940042826553</v>
      </c>
      <c r="AM15" s="19">
        <f t="shared" si="24"/>
        <v>36691.200000000004</v>
      </c>
      <c r="AN15" s="25">
        <f t="shared" si="25"/>
        <v>32.863671428571429</v>
      </c>
      <c r="AO15" s="56">
        <f t="shared" si="26"/>
        <v>0.26200000000000001</v>
      </c>
      <c r="AP15" s="56">
        <f t="shared" si="27"/>
        <v>0.26200000000000001</v>
      </c>
      <c r="AQ15" s="56">
        <f t="shared" si="28"/>
        <v>0.26200000000000001</v>
      </c>
      <c r="AR15" s="241">
        <f t="shared" si="29"/>
        <v>-1175.7145251761044</v>
      </c>
      <c r="AS15" s="241">
        <f t="shared" si="30"/>
        <v>-756.11619356436108</v>
      </c>
      <c r="AT15" s="241">
        <f t="shared" si="30"/>
        <v>-293.71883212822019</v>
      </c>
      <c r="AU15" s="241">
        <f t="shared" si="30"/>
        <v>-125.87949948352293</v>
      </c>
    </row>
    <row r="16" spans="1:47">
      <c r="A16" s="17" t="s">
        <v>23</v>
      </c>
      <c r="B16" s="672">
        <f>IF($B$24&lt;&gt;0,$F$91/$B$24/1000,0)</f>
        <v>1.2035476304201079E-2</v>
      </c>
      <c r="C16" s="251">
        <v>7.1493218677338953E-3</v>
      </c>
      <c r="D16" s="673">
        <v>9.3107449328913277E-3</v>
      </c>
      <c r="E16" s="672">
        <f>$H$91/($E$24+$H$24)/1000</f>
        <v>1.2035476304201076E-2</v>
      </c>
      <c r="F16" s="251">
        <v>8.2509872979517947E-3</v>
      </c>
      <c r="G16" s="674">
        <v>9.5926838500795496E-3</v>
      </c>
      <c r="H16" s="672">
        <f>IF($H$24&lt;&gt;0,$H$91/($E$24+$H$24)/1000,0)</f>
        <v>1.2035476304201076E-2</v>
      </c>
      <c r="I16" s="251">
        <v>1.9322726684356997E-2</v>
      </c>
      <c r="J16" s="673">
        <v>3.3374504428751707E-2</v>
      </c>
      <c r="K16" s="672">
        <f t="shared" si="16"/>
        <v>1.2035476304201079E-2</v>
      </c>
      <c r="L16" s="251">
        <v>8.0163111589140277E-3</v>
      </c>
      <c r="M16" s="673">
        <v>0</v>
      </c>
      <c r="N16" s="672">
        <f t="shared" si="17"/>
        <v>1.2035476304201079E-2</v>
      </c>
      <c r="O16" s="251">
        <v>7.4639163711032299E-3</v>
      </c>
      <c r="P16" s="673">
        <v>0</v>
      </c>
      <c r="Q16" s="23"/>
      <c r="R16" s="672">
        <f t="shared" si="18"/>
        <v>1.2035476304201077E-2</v>
      </c>
      <c r="S16" s="251">
        <v>8.0958838896952098E-3</v>
      </c>
      <c r="T16" s="251">
        <f>S22-T12-T14-T15</f>
        <v>0</v>
      </c>
      <c r="U16" s="673">
        <f t="shared" si="19"/>
        <v>1.2035476304201077E-2</v>
      </c>
      <c r="V16" s="1">
        <f t="shared" si="20"/>
        <v>1686.1702302185709</v>
      </c>
      <c r="W16" s="24">
        <f>ROUND($D$86,0)</f>
        <v>1686170</v>
      </c>
      <c r="X16" s="24">
        <f>ROUND($D$85,0)</f>
        <v>37991</v>
      </c>
      <c r="Y16" s="24">
        <f t="shared" si="21"/>
        <v>1724161</v>
      </c>
      <c r="Z16" s="19">
        <f>$B$84</f>
        <v>99348</v>
      </c>
      <c r="AA16" s="25">
        <f t="shared" si="22"/>
        <v>17.354763055119378</v>
      </c>
      <c r="AB16" s="159" t="s">
        <v>19</v>
      </c>
      <c r="AC16" s="20" t="s">
        <v>24</v>
      </c>
      <c r="AD16" s="125" t="s">
        <v>78</v>
      </c>
      <c r="AE16" s="127" t="s">
        <v>78</v>
      </c>
      <c r="AF16" s="24">
        <f>$F91</f>
        <v>1084396.4150085172</v>
      </c>
      <c r="AG16" s="24">
        <f>$H91/($E$24+$H$24)*E24</f>
        <v>421241.67064703768</v>
      </c>
      <c r="AH16" s="24">
        <f>$H91/($E$24+$H$24)*H24</f>
        <v>180532.14456301613</v>
      </c>
      <c r="AI16" s="24">
        <f t="shared" si="23"/>
        <v>1686170.2302185711</v>
      </c>
      <c r="AJ16" s="19">
        <f>$E91</f>
        <v>62484.08471627409</v>
      </c>
      <c r="AK16" s="19">
        <f>$G91/($E$24+$H$24)*E24</f>
        <v>24272.39694860813</v>
      </c>
      <c r="AL16" s="19">
        <f>$G91/($E$24+$H$24)*H24</f>
        <v>10402.455835117771</v>
      </c>
      <c r="AM16" s="19">
        <f t="shared" si="24"/>
        <v>97158.937499999985</v>
      </c>
      <c r="AN16" s="25">
        <f t="shared" si="25"/>
        <v>17.354761935499464</v>
      </c>
      <c r="AO16" s="56">
        <f t="shared" si="26"/>
        <v>0.69299999999999995</v>
      </c>
      <c r="AP16" s="56">
        <f t="shared" si="27"/>
        <v>0.69299999999999995</v>
      </c>
      <c r="AQ16" s="56">
        <f t="shared" si="28"/>
        <v>0.69299999999999995</v>
      </c>
      <c r="AR16" s="241">
        <f t="shared" si="29"/>
        <v>1686.1702302185709</v>
      </c>
      <c r="AS16" s="241">
        <f t="shared" si="30"/>
        <v>1084.3964150085171</v>
      </c>
      <c r="AT16" s="241">
        <f t="shared" si="30"/>
        <v>421.24167064703761</v>
      </c>
      <c r="AU16" s="241">
        <f t="shared" si="30"/>
        <v>180.53214456301612</v>
      </c>
    </row>
    <row r="17" spans="1:47">
      <c r="A17" s="26" t="s">
        <v>25</v>
      </c>
      <c r="B17" s="675">
        <f>IF($B$24&lt;&gt;0,$D$136,0)</f>
        <v>2.7052105638829408E-3</v>
      </c>
      <c r="C17" s="251">
        <v>2.0941539157395359E-3</v>
      </c>
      <c r="D17" s="673">
        <v>1.4661647544929397E-3</v>
      </c>
      <c r="E17" s="675">
        <f>$E$136</f>
        <v>2.7052105638829408E-3</v>
      </c>
      <c r="F17" s="251">
        <v>2.2554739961018855E-3</v>
      </c>
      <c r="G17" s="673">
        <v>1.5091549161585364E-3</v>
      </c>
      <c r="H17" s="675">
        <f>IF($H$24&lt;&gt;0,$E$136,0)</f>
        <v>2.7052105638829408E-3</v>
      </c>
      <c r="I17" s="251">
        <v>1.9750708691994045E-3</v>
      </c>
      <c r="J17" s="673">
        <v>5.1354166666666666E-3</v>
      </c>
      <c r="K17" s="675">
        <f t="shared" si="16"/>
        <v>2.7052105638829408E-3</v>
      </c>
      <c r="L17" s="251">
        <v>2.4827481177601583E-3</v>
      </c>
      <c r="M17" s="673">
        <v>0</v>
      </c>
      <c r="N17" s="675">
        <f t="shared" si="17"/>
        <v>2.7052105638829408E-3</v>
      </c>
      <c r="O17" s="251">
        <v>2.5772820608549562E-3</v>
      </c>
      <c r="P17" s="673">
        <v>0</v>
      </c>
      <c r="Q17" s="23"/>
      <c r="R17" s="675">
        <f t="shared" si="18"/>
        <v>2.7052105638829408E-3</v>
      </c>
      <c r="S17" s="251">
        <v>2.0913265602322205E-3</v>
      </c>
      <c r="T17" s="251">
        <f>S22-T12-T14-T15-T16</f>
        <v>0</v>
      </c>
      <c r="U17" s="673">
        <f t="shared" si="19"/>
        <v>2.7052105638829408E-3</v>
      </c>
      <c r="V17" s="1">
        <f t="shared" si="20"/>
        <v>379</v>
      </c>
      <c r="W17" s="24">
        <f>ROUND($C$136,0)</f>
        <v>379000</v>
      </c>
      <c r="X17" s="24">
        <v>0</v>
      </c>
      <c r="Y17" s="24">
        <f t="shared" si="21"/>
        <v>379000</v>
      </c>
      <c r="Z17" s="19">
        <f>$B$25*1000</f>
        <v>140100000</v>
      </c>
      <c r="AA17" s="25">
        <f t="shared" si="22"/>
        <v>2.7052105638829408E-3</v>
      </c>
      <c r="AB17" s="159" t="s">
        <v>12</v>
      </c>
      <c r="AC17" s="20" t="s">
        <v>26</v>
      </c>
      <c r="AD17" s="125" t="s">
        <v>99</v>
      </c>
      <c r="AE17" s="127">
        <v>1</v>
      </c>
      <c r="AF17" s="24">
        <f>$D$136*$B$24*1000</f>
        <v>243739.47180585295</v>
      </c>
      <c r="AG17" s="24">
        <f>$E$136*$E$24*1000</f>
        <v>94682.369735902917</v>
      </c>
      <c r="AH17" s="24">
        <f>$E$136*$H$24*1000</f>
        <v>40578.158458244114</v>
      </c>
      <c r="AI17" s="24">
        <f t="shared" si="23"/>
        <v>379000</v>
      </c>
      <c r="AJ17" s="19">
        <f t="shared" ref="AJ17:AL18" si="31">ROUND(AF17/$AA17,0)</f>
        <v>90100000</v>
      </c>
      <c r="AK17" s="19">
        <f t="shared" si="31"/>
        <v>35000000</v>
      </c>
      <c r="AL17" s="19">
        <f t="shared" si="31"/>
        <v>15000000</v>
      </c>
      <c r="AM17" s="19">
        <f t="shared" si="24"/>
        <v>140100000</v>
      </c>
      <c r="AN17" s="25">
        <f t="shared" si="25"/>
        <v>2.7052105638829408E-3</v>
      </c>
      <c r="AO17" s="56">
        <f t="shared" si="26"/>
        <v>1000</v>
      </c>
      <c r="AP17" s="56">
        <f t="shared" si="27"/>
        <v>1000</v>
      </c>
      <c r="AQ17" s="56">
        <f t="shared" si="28"/>
        <v>1000</v>
      </c>
      <c r="AR17" s="241">
        <f t="shared" si="29"/>
        <v>379</v>
      </c>
      <c r="AS17" s="241">
        <f t="shared" si="30"/>
        <v>243.73947180585296</v>
      </c>
      <c r="AT17" s="241">
        <f t="shared" si="30"/>
        <v>94.682369735902924</v>
      </c>
      <c r="AU17" s="241">
        <f t="shared" si="30"/>
        <v>40.578158458244111</v>
      </c>
    </row>
    <row r="18" spans="1:47">
      <c r="A18" s="26" t="s">
        <v>27</v>
      </c>
      <c r="B18" s="675">
        <f>IF($B$24&lt;&gt;0,$D$137,0)</f>
        <v>2.8551034975017845E-3</v>
      </c>
      <c r="C18" s="251">
        <v>2.2245575361439971E-3</v>
      </c>
      <c r="D18" s="673">
        <v>1.1301067073170733E-3</v>
      </c>
      <c r="E18" s="675">
        <f>$E$137</f>
        <v>2.8551034975017845E-3</v>
      </c>
      <c r="F18" s="251">
        <v>2.5373784106710764E-3</v>
      </c>
      <c r="G18" s="673">
        <v>1.1632431402439022E-3</v>
      </c>
      <c r="H18" s="675">
        <f>IF($H$24&lt;&gt;0,$E$137,0)</f>
        <v>2.8551034975017845E-3</v>
      </c>
      <c r="I18" s="251">
        <v>1.7392298233124069E-3</v>
      </c>
      <c r="J18" s="673">
        <v>3.9583333333333337E-3</v>
      </c>
      <c r="K18" s="675">
        <f t="shared" si="16"/>
        <v>2.8551034975017845E-3</v>
      </c>
      <c r="L18" s="251">
        <v>2.1055704146479984E-3</v>
      </c>
      <c r="M18" s="673">
        <v>0</v>
      </c>
      <c r="N18" s="675">
        <f t="shared" si="17"/>
        <v>2.8551034975017845E-3</v>
      </c>
      <c r="O18" s="251">
        <v>4.2373716632443529E-3</v>
      </c>
      <c r="P18" s="673">
        <v>0</v>
      </c>
      <c r="Q18" s="23"/>
      <c r="R18" s="675">
        <f t="shared" si="18"/>
        <v>2.8551034975017845E-3</v>
      </c>
      <c r="S18" s="251">
        <v>3.1981538461538462E-3</v>
      </c>
      <c r="T18" s="251">
        <f>S22-T12-T14-T15-T16-T17</f>
        <v>0</v>
      </c>
      <c r="U18" s="673">
        <f t="shared" si="19"/>
        <v>2.8551034975017845E-3</v>
      </c>
      <c r="V18" s="1">
        <f t="shared" si="20"/>
        <v>400</v>
      </c>
      <c r="W18" s="24">
        <f>ROUND($C$137,0)</f>
        <v>400000</v>
      </c>
      <c r="X18" s="24">
        <v>0</v>
      </c>
      <c r="Y18" s="24">
        <f t="shared" si="21"/>
        <v>400000</v>
      </c>
      <c r="Z18" s="19">
        <f>$B$25*1000</f>
        <v>140100000</v>
      </c>
      <c r="AA18" s="25">
        <f t="shared" si="22"/>
        <v>2.8551034975017845E-3</v>
      </c>
      <c r="AB18" s="159" t="s">
        <v>12</v>
      </c>
      <c r="AC18" s="20" t="s">
        <v>28</v>
      </c>
      <c r="AD18" s="125" t="s">
        <v>78</v>
      </c>
      <c r="AE18" s="127" t="s">
        <v>78</v>
      </c>
      <c r="AF18" s="24">
        <f>$D$137*$B$24*1000</f>
        <v>257244.8251249108</v>
      </c>
      <c r="AG18" s="24">
        <f>$E$137*$E$24*1000</f>
        <v>99928.622412562458</v>
      </c>
      <c r="AH18" s="24">
        <f>$E$137*$H$24*1000</f>
        <v>42826.552462526772</v>
      </c>
      <c r="AI18" s="24">
        <f t="shared" si="23"/>
        <v>400000.00000000006</v>
      </c>
      <c r="AJ18" s="19">
        <f t="shared" si="31"/>
        <v>90100000</v>
      </c>
      <c r="AK18" s="19">
        <f t="shared" si="31"/>
        <v>35000000</v>
      </c>
      <c r="AL18" s="19">
        <f t="shared" si="31"/>
        <v>15000000</v>
      </c>
      <c r="AM18" s="19">
        <f t="shared" si="24"/>
        <v>140100000</v>
      </c>
      <c r="AN18" s="25">
        <f t="shared" si="25"/>
        <v>2.8551034975017849E-3</v>
      </c>
      <c r="AO18" s="56">
        <f t="shared" si="26"/>
        <v>1000</v>
      </c>
      <c r="AP18" s="56">
        <f t="shared" si="27"/>
        <v>1000</v>
      </c>
      <c r="AQ18" s="56">
        <f t="shared" si="28"/>
        <v>1000</v>
      </c>
      <c r="AR18" s="241">
        <f t="shared" si="29"/>
        <v>400</v>
      </c>
      <c r="AS18" s="241">
        <f t="shared" si="30"/>
        <v>257.24482512491079</v>
      </c>
      <c r="AT18" s="241">
        <f t="shared" si="30"/>
        <v>99.928622412562447</v>
      </c>
      <c r="AU18" s="241">
        <f t="shared" si="30"/>
        <v>42.826552462526763</v>
      </c>
    </row>
    <row r="19" spans="1:47" ht="15">
      <c r="A19" s="26" t="s">
        <v>29</v>
      </c>
      <c r="B19" s="679">
        <f>IF($B$24&lt;&gt;0,$D$138,0)</f>
        <v>9.0410290414092986E-3</v>
      </c>
      <c r="C19" s="252">
        <v>2.3696806690411271E-2</v>
      </c>
      <c r="D19" s="680">
        <v>1.276747432605905E-2</v>
      </c>
      <c r="E19" s="679">
        <f>$E$138</f>
        <v>7.4428065667380444E-2</v>
      </c>
      <c r="F19" s="252">
        <v>7.9572806570752497E-2</v>
      </c>
      <c r="G19" s="680">
        <v>4.9354496951219511E-2</v>
      </c>
      <c r="H19" s="679">
        <f>IF($H$24&lt;&gt;0,$E$138,0)</f>
        <v>7.4428065667380444E-2</v>
      </c>
      <c r="I19" s="252">
        <v>2.6228571613487798E-2</v>
      </c>
      <c r="J19" s="680">
        <v>6.6666666666666666E-2</v>
      </c>
      <c r="K19" s="679">
        <f t="shared" si="16"/>
        <v>9.0410290414092986E-3</v>
      </c>
      <c r="L19" s="252">
        <v>2.1028799142085709E-2</v>
      </c>
      <c r="M19" s="680">
        <v>0</v>
      </c>
      <c r="N19" s="679">
        <f t="shared" si="17"/>
        <v>9.0410290414092986E-3</v>
      </c>
      <c r="O19" s="252">
        <v>3.0451932051521375E-2</v>
      </c>
      <c r="P19" s="680">
        <v>0</v>
      </c>
      <c r="Q19" s="31"/>
      <c r="R19" s="679">
        <f t="shared" si="18"/>
        <v>3.2376873661670233E-2</v>
      </c>
      <c r="S19" s="252">
        <v>8.7052133526850511E-3</v>
      </c>
      <c r="T19" s="252">
        <f>S22-T12-T14-T15-T16-T17-T18</f>
        <v>0</v>
      </c>
      <c r="U19" s="680">
        <f t="shared" si="19"/>
        <v>3.2376873661670233E-2</v>
      </c>
      <c r="V19" s="372">
        <f t="shared" si="20"/>
        <v>4536</v>
      </c>
      <c r="W19" s="28">
        <f>ROUND($C$138,0)</f>
        <v>4536000</v>
      </c>
      <c r="X19" s="28">
        <v>0</v>
      </c>
      <c r="Y19" s="28">
        <f t="shared" si="21"/>
        <v>4536000</v>
      </c>
      <c r="Z19" s="19">
        <f>$B$25*1000</f>
        <v>140100000</v>
      </c>
      <c r="AA19" s="25">
        <f t="shared" si="22"/>
        <v>3.2376873661670233E-2</v>
      </c>
      <c r="AB19" s="159" t="s">
        <v>12</v>
      </c>
      <c r="AC19" s="20" t="s">
        <v>30</v>
      </c>
      <c r="AD19" s="125" t="s">
        <v>78</v>
      </c>
      <c r="AE19" s="127" t="s">
        <v>78</v>
      </c>
      <c r="AF19" s="28">
        <f>$D$138*$B$24*1000</f>
        <v>814596.71663097781</v>
      </c>
      <c r="AG19" s="28">
        <f>$E$138*$E$24*1000</f>
        <v>2604982.2983583151</v>
      </c>
      <c r="AH19" s="28">
        <f>$E$138*$H$24*1000</f>
        <v>1116420.9850107068</v>
      </c>
      <c r="AI19" s="28">
        <f t="shared" si="23"/>
        <v>4536000</v>
      </c>
      <c r="AJ19" s="19">
        <f>AF19/$AA19</f>
        <v>25159832.451499119</v>
      </c>
      <c r="AK19" s="19">
        <f>AG19/$AA19</f>
        <v>80458117.283950612</v>
      </c>
      <c r="AL19" s="19">
        <f>AH19/$AA19</f>
        <v>34482050.264550276</v>
      </c>
      <c r="AM19" s="19">
        <f t="shared" si="24"/>
        <v>140100000</v>
      </c>
      <c r="AN19" s="25">
        <f t="shared" si="25"/>
        <v>3.2376873661670233E-2</v>
      </c>
      <c r="AO19" s="56">
        <f t="shared" si="26"/>
        <v>279.24299999999999</v>
      </c>
      <c r="AP19" s="56">
        <f t="shared" si="27"/>
        <v>2298.8029999999999</v>
      </c>
      <c r="AQ19" s="56">
        <f t="shared" si="28"/>
        <v>2298.8029999999999</v>
      </c>
      <c r="AR19" s="384">
        <f t="shared" si="29"/>
        <v>4536</v>
      </c>
      <c r="AS19" s="384">
        <f t="shared" si="30"/>
        <v>814.59671663097788</v>
      </c>
      <c r="AT19" s="384">
        <f t="shared" si="30"/>
        <v>2604.9822983583153</v>
      </c>
      <c r="AU19" s="384">
        <f t="shared" si="30"/>
        <v>1116.420985010707</v>
      </c>
    </row>
    <row r="20" spans="1:47">
      <c r="A20" s="192" t="s">
        <v>170</v>
      </c>
      <c r="B20" s="675">
        <f t="shared" ref="B20:D20" si="32">SUM(B14:B19)</f>
        <v>5.6915157564310294E-2</v>
      </c>
      <c r="C20" s="251">
        <f t="shared" si="32"/>
        <v>5.3791393427107634E-2</v>
      </c>
      <c r="D20" s="673">
        <f t="shared" si="32"/>
        <v>4.553854182251249E-2</v>
      </c>
      <c r="E20" s="675">
        <f>SUM(E14:E19)</f>
        <v>0.12230219419028143</v>
      </c>
      <c r="F20" s="251">
        <f t="shared" ref="F20" si="33">SUM(F14:F19)</f>
        <v>0.11435238123425012</v>
      </c>
      <c r="G20" s="673">
        <f>SUM(G14:G19)</f>
        <v>8.3110160951131981E-2</v>
      </c>
      <c r="H20" s="675">
        <f>SUM(H14:H19)</f>
        <v>0.12230219419028143</v>
      </c>
      <c r="I20" s="251">
        <f t="shared" ref="I20" si="34">SUM(I14:I19)</f>
        <v>9.9779396802795933E-2</v>
      </c>
      <c r="J20" s="673">
        <f>SUM(J14:J19)</f>
        <v>0.18347399881219473</v>
      </c>
      <c r="K20" s="675">
        <f>SUM(K14:K19)</f>
        <v>5.6915157564310294E-2</v>
      </c>
      <c r="L20" s="251">
        <f t="shared" ref="L20" si="35">SUM(L14:L19)</f>
        <v>5.3868355844065199E-2</v>
      </c>
      <c r="M20" s="673">
        <f>SUM(M14:M19)</f>
        <v>0</v>
      </c>
      <c r="N20" s="675">
        <f>SUM(N14:N19)</f>
        <v>5.6915157564310294E-2</v>
      </c>
      <c r="O20" s="251">
        <f t="shared" ref="O20" si="36">SUM(O14:O19)</f>
        <v>6.4704582788874365E-2</v>
      </c>
      <c r="P20" s="673">
        <f>SUM(P14:P19)</f>
        <v>0</v>
      </c>
      <c r="Q20" s="23"/>
      <c r="R20" s="675">
        <f>SUM(R14:R19)</f>
        <v>8.0251002184571235E-2</v>
      </c>
      <c r="S20" s="251">
        <f t="shared" ref="S20:U20" si="37">SUM(S14:S19)</f>
        <v>3.8670304789550067E-2</v>
      </c>
      <c r="T20" s="251">
        <f t="shared" si="37"/>
        <v>3.8670304789550053E-2</v>
      </c>
      <c r="U20" s="673">
        <f t="shared" si="37"/>
        <v>4.1580697395021168E-2</v>
      </c>
      <c r="V20" s="1">
        <f>SUM(V14:V19)</f>
        <v>11243.16540605843</v>
      </c>
      <c r="W20" s="32">
        <f>SUM(W14:W19)</f>
        <v>11243166</v>
      </c>
      <c r="X20" s="32">
        <f>SUM(X14:X19)</f>
        <v>106399</v>
      </c>
      <c r="Y20" s="32">
        <f>SUM(Y14:Y19)</f>
        <v>11349565</v>
      </c>
      <c r="Z20" s="19"/>
      <c r="AA20" s="19"/>
      <c r="AB20" s="265"/>
      <c r="AC20" s="21"/>
      <c r="AD20" s="125"/>
      <c r="AE20" s="127"/>
      <c r="AF20" s="32">
        <f>SUM(AF14:AF19)</f>
        <v>5128055.6965443576</v>
      </c>
      <c r="AG20" s="32">
        <f>SUM(AG14:AG19)</f>
        <v>4280576.7966598496</v>
      </c>
      <c r="AH20" s="32">
        <f>SUM(AH14:AH19)</f>
        <v>1834532.9128542216</v>
      </c>
      <c r="AI20" s="32">
        <f>SUM(AI14:AI19)</f>
        <v>11243165.406058429</v>
      </c>
      <c r="AJ20" s="19"/>
      <c r="AK20" s="19"/>
      <c r="AL20" s="19"/>
      <c r="AM20" s="19"/>
      <c r="AN20" s="19"/>
      <c r="AO20" s="19"/>
      <c r="AP20" s="19"/>
      <c r="AQ20" s="19"/>
      <c r="AR20" s="385">
        <f>SUM(AR14:AR19)</f>
        <v>5825.4557050424664</v>
      </c>
      <c r="AS20" s="385">
        <f t="shared" ref="AS20:AU20" si="38">SUM(AS14:AS19)</f>
        <v>1643.8612350058977</v>
      </c>
      <c r="AT20" s="385">
        <f t="shared" si="38"/>
        <v>2927.1161290255982</v>
      </c>
      <c r="AU20" s="385">
        <f t="shared" si="38"/>
        <v>1254.478341010971</v>
      </c>
    </row>
    <row r="21" spans="1:47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675"/>
      <c r="O21" s="251"/>
      <c r="P21" s="673"/>
      <c r="Q21" s="23"/>
      <c r="R21" s="675"/>
      <c r="S21" s="251"/>
      <c r="T21" s="251"/>
      <c r="U21" s="673"/>
      <c r="V21" s="1">
        <f>V12+V20</f>
        <v>22031.54435005843</v>
      </c>
      <c r="W21" s="247">
        <f>W12+W20</f>
        <v>22031545</v>
      </c>
      <c r="X21" s="247">
        <f>X12+X20</f>
        <v>106399</v>
      </c>
      <c r="Y21" s="247">
        <f>Y12+Y20</f>
        <v>22137944</v>
      </c>
      <c r="Z21" s="19"/>
      <c r="AA21" s="19"/>
      <c r="AB21" s="265"/>
      <c r="AC21" s="2"/>
      <c r="AD21" s="125"/>
      <c r="AE21" s="127"/>
      <c r="AF21" s="33">
        <f>AF12+AF20</f>
        <v>10800436.480801318</v>
      </c>
      <c r="AG21" s="33">
        <f>AG12+AG20</f>
        <v>7861776.6484799786</v>
      </c>
      <c r="AH21" s="33">
        <f>AH12+AH20</f>
        <v>3369333.4207771337</v>
      </c>
      <c r="AI21" s="33">
        <f>AI12+AI20</f>
        <v>22031546.550058432</v>
      </c>
      <c r="AJ21" s="19"/>
      <c r="AK21" s="19"/>
      <c r="AL21" s="19"/>
      <c r="AM21" s="19"/>
      <c r="AN21" s="19"/>
      <c r="AO21" s="19"/>
      <c r="AP21" s="19"/>
      <c r="AQ21" s="19"/>
      <c r="AR21" s="386">
        <f>AR12+AR20</f>
        <v>8930.6351529611911</v>
      </c>
      <c r="AS21" s="386">
        <f t="shared" ref="AS21:AU21" si="39">AS12+AS20</f>
        <v>3276.52164945815</v>
      </c>
      <c r="AT21" s="386">
        <f t="shared" si="39"/>
        <v>3957.8794524521281</v>
      </c>
      <c r="AU21" s="386">
        <f t="shared" si="39"/>
        <v>1696.2340510509125</v>
      </c>
    </row>
    <row r="22" spans="1:47">
      <c r="A22" s="192" t="s">
        <v>171</v>
      </c>
      <c r="B22" s="669">
        <f t="shared" ref="B22:D22" si="40">B12+B20</f>
        <v>0.16615629807449422</v>
      </c>
      <c r="C22" s="670">
        <f t="shared" si="40"/>
        <v>0.16329172177902293</v>
      </c>
      <c r="D22" s="671">
        <f t="shared" si="40"/>
        <v>0.11902659121695247</v>
      </c>
      <c r="E22" s="669">
        <f>E12+E20</f>
        <v>0.37065519289269044</v>
      </c>
      <c r="F22" s="670">
        <f t="shared" ref="F22" si="41">F12+F20</f>
        <v>0.36206859387672391</v>
      </c>
      <c r="G22" s="671">
        <f>G12+G20</f>
        <v>0.2598742905638563</v>
      </c>
      <c r="H22" s="669">
        <f>H12+H20</f>
        <v>0.80616277007135362</v>
      </c>
      <c r="I22" s="670">
        <f t="shared" ref="I22" si="42">I12+I20</f>
        <v>0.77540422949970877</v>
      </c>
      <c r="J22" s="671">
        <f>J12+J20</f>
        <v>0.79889817342724256</v>
      </c>
      <c r="K22" s="669">
        <f>K12+K20</f>
        <v>0.39642147846306502</v>
      </c>
      <c r="L22" s="670">
        <f t="shared" ref="L22" si="43">L12+L20</f>
        <v>0.39939454221833032</v>
      </c>
      <c r="M22" s="671">
        <f>M12+M20</f>
        <v>0</v>
      </c>
      <c r="N22" s="669">
        <f>N12+N20</f>
        <v>0.30469592398182599</v>
      </c>
      <c r="O22" s="670">
        <f t="shared" ref="O22" si="44">O12+O20</f>
        <v>0.31298551428038079</v>
      </c>
      <c r="P22" s="671">
        <f>P12+P20</f>
        <v>0</v>
      </c>
      <c r="Q22" s="18"/>
      <c r="R22" s="669">
        <f>R12+R20</f>
        <v>0.28576770705800425</v>
      </c>
      <c r="S22" s="670">
        <f t="shared" ref="S22:U22" si="45">S12+S20</f>
        <v>0.22202298790767455</v>
      </c>
      <c r="T22" s="670">
        <f t="shared" si="45"/>
        <v>0.22202298790767455</v>
      </c>
      <c r="U22" s="671">
        <f t="shared" si="45"/>
        <v>6.3744719150329698E-2</v>
      </c>
      <c r="V22" s="1">
        <f>V6+V21</f>
        <v>40036.055758826398</v>
      </c>
      <c r="W22" s="37"/>
      <c r="X22" s="37"/>
      <c r="Y22" s="37"/>
      <c r="Z22" s="19"/>
      <c r="AA22" s="19"/>
      <c r="AB22" s="265"/>
      <c r="AC22" s="36"/>
      <c r="AD22" s="1026" t="s">
        <v>31</v>
      </c>
      <c r="AE22" s="1026"/>
      <c r="AF22" s="38">
        <f>ROUND(AF21/AF24,5)</f>
        <v>0.11987</v>
      </c>
      <c r="AG22" s="38">
        <f>ROUND(AG21/AG24,5)</f>
        <v>0.22461999999999999</v>
      </c>
      <c r="AH22" s="38">
        <f>IF(AH24&lt;&gt;0,ROUND(AH21/AH24,5),0)</f>
        <v>0.22461999999999999</v>
      </c>
      <c r="AI22" s="38">
        <f>ROUND(AI21/AI24,5)</f>
        <v>0.15726000000000001</v>
      </c>
      <c r="AJ22" s="19"/>
      <c r="AK22" s="19"/>
      <c r="AL22" s="19"/>
      <c r="AM22" s="19"/>
      <c r="AN22" s="19"/>
      <c r="AO22" s="19"/>
      <c r="AP22" s="19"/>
      <c r="AQ22" s="19"/>
    </row>
    <row r="23" spans="1:47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48"/>
      <c r="L23" s="26"/>
      <c r="M23" s="318"/>
      <c r="N23" s="48"/>
      <c r="O23" s="26"/>
      <c r="P23" s="318"/>
      <c r="Q23" s="17"/>
      <c r="R23" s="48"/>
      <c r="S23" s="26"/>
      <c r="T23" s="26"/>
      <c r="U23" s="318"/>
      <c r="W23" s="37"/>
      <c r="X23" s="37"/>
      <c r="Y23" s="37"/>
      <c r="Z23" s="19"/>
      <c r="AA23" s="19"/>
      <c r="AB23" s="265"/>
      <c r="AC23" s="36"/>
      <c r="AD23" s="1026" t="s">
        <v>32</v>
      </c>
      <c r="AE23" s="1026"/>
      <c r="AF23" s="38">
        <f>ROUND(AF22+B6,5)</f>
        <v>0.16614999999999999</v>
      </c>
      <c r="AG23" s="38">
        <f>ROUND(AG22+E6,5)</f>
        <v>0.37064999999999998</v>
      </c>
      <c r="AH23" s="38">
        <f>IF(AH24&lt;&gt;0,ROUND(AH22+H6,5),0)</f>
        <v>0.80615999999999999</v>
      </c>
      <c r="AI23" s="38">
        <f>ROUND(AI22+(B6*B24+E6*E24+H6*H24)/B25,5)</f>
        <v>0.28577000000000002</v>
      </c>
      <c r="AJ23" s="19"/>
      <c r="AK23" s="19"/>
      <c r="AL23" s="19"/>
      <c r="AM23" s="19"/>
      <c r="AN23" s="19"/>
      <c r="AO23" s="19"/>
      <c r="AP23" s="19"/>
      <c r="AQ23" s="19"/>
    </row>
    <row r="24" spans="1:47">
      <c r="A24" s="192" t="s">
        <v>264</v>
      </c>
      <c r="B24" s="331">
        <f>$B$30+$B$31</f>
        <v>90100</v>
      </c>
      <c r="C24" s="26">
        <v>121112.435</v>
      </c>
      <c r="D24" s="77">
        <v>190000</v>
      </c>
      <c r="E24" s="331">
        <f>$B$32</f>
        <v>35000</v>
      </c>
      <c r="F24" s="26">
        <v>8379.4359999999997</v>
      </c>
      <c r="G24" s="77">
        <v>40000</v>
      </c>
      <c r="H24" s="331">
        <f>$B$33</f>
        <v>15000</v>
      </c>
      <c r="I24" s="26">
        <v>15451</v>
      </c>
      <c r="J24" s="77">
        <v>6000</v>
      </c>
      <c r="K24" s="331">
        <v>0</v>
      </c>
      <c r="L24" s="26">
        <v>630.36599999999999</v>
      </c>
      <c r="M24" s="77">
        <v>0</v>
      </c>
      <c r="N24" s="331">
        <v>0</v>
      </c>
      <c r="O24" s="26">
        <v>1071.4000000000001</v>
      </c>
      <c r="P24" s="77">
        <v>0</v>
      </c>
      <c r="Q24" s="26"/>
      <c r="R24" s="331">
        <f>B25</f>
        <v>140100</v>
      </c>
      <c r="S24" s="26"/>
      <c r="T24" s="26"/>
      <c r="U24" s="77"/>
      <c r="W24" s="41"/>
      <c r="X24" s="41"/>
      <c r="Y24" s="41"/>
      <c r="Z24" s="19"/>
      <c r="AA24" s="19"/>
      <c r="AB24" s="265"/>
      <c r="AC24" s="5"/>
      <c r="AD24" s="1026" t="s">
        <v>33</v>
      </c>
      <c r="AE24" s="1026"/>
      <c r="AF24" s="41">
        <f>ROUND(B24*1000,0)</f>
        <v>90100000</v>
      </c>
      <c r="AG24" s="41">
        <f>ROUND(E24*1000,0)</f>
        <v>35000000</v>
      </c>
      <c r="AH24" s="41">
        <f>ROUND(H24*1000,0)</f>
        <v>15000000</v>
      </c>
      <c r="AI24" s="41">
        <f>SUM(AF24:AH24)</f>
        <v>140100000</v>
      </c>
      <c r="AJ24" s="19"/>
      <c r="AK24" s="19"/>
      <c r="AL24" s="19"/>
      <c r="AM24" s="19"/>
      <c r="AN24" s="19"/>
      <c r="AO24" s="19"/>
      <c r="AP24" s="19"/>
      <c r="AQ24" s="19"/>
    </row>
    <row r="25" spans="1:47">
      <c r="A25" s="192" t="s">
        <v>265</v>
      </c>
      <c r="B25" s="686">
        <f>B24+E24+H24+K24+N24</f>
        <v>140100</v>
      </c>
      <c r="C25" s="687">
        <f>C24+F24+I24+L24+O24</f>
        <v>146644.63699999999</v>
      </c>
      <c r="D25" s="688">
        <f>D24+G24+J24+M24+P24</f>
        <v>236000</v>
      </c>
      <c r="E25" s="99"/>
      <c r="F25" s="72"/>
      <c r="G25" s="75"/>
      <c r="H25" s="99"/>
      <c r="I25" s="72"/>
      <c r="J25" s="75"/>
      <c r="K25" s="99"/>
      <c r="L25" s="72"/>
      <c r="M25" s="75"/>
      <c r="N25" s="99"/>
      <c r="O25" s="72"/>
      <c r="P25" s="75"/>
      <c r="R25" s="99"/>
      <c r="S25" s="72"/>
      <c r="T25" s="72"/>
      <c r="U25" s="75"/>
    </row>
    <row r="27" spans="1:47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R27" s="17"/>
      <c r="S27" s="199" t="s">
        <v>107</v>
      </c>
      <c r="T27" s="199" t="s">
        <v>310</v>
      </c>
      <c r="U27" s="199" t="s">
        <v>311</v>
      </c>
    </row>
    <row r="28" spans="1:47">
      <c r="A28" s="44"/>
      <c r="H28" s="45"/>
      <c r="R28" s="371" t="s">
        <v>471</v>
      </c>
      <c r="S28" s="1027" t="s">
        <v>312</v>
      </c>
      <c r="T28" s="1027"/>
      <c r="U28" s="1027"/>
    </row>
    <row r="29" spans="1:47">
      <c r="A29" s="190" t="s">
        <v>176</v>
      </c>
      <c r="B29" s="46" t="s">
        <v>168</v>
      </c>
      <c r="C29" s="46" t="s">
        <v>36</v>
      </c>
      <c r="D29" s="47"/>
      <c r="F29" s="47"/>
      <c r="H29" s="45"/>
      <c r="R29" s="17" t="s">
        <v>315</v>
      </c>
      <c r="S29" s="366">
        <f>SUM(T29:U29)</f>
        <v>31105.420605865205</v>
      </c>
      <c r="T29" s="366">
        <f>T12*$R$24</f>
        <v>25687.710904849242</v>
      </c>
      <c r="U29" s="366">
        <f>T20*$R$24</f>
        <v>5417.7097010159623</v>
      </c>
    </row>
    <row r="30" spans="1:47" ht="15">
      <c r="A30" s="48" t="s">
        <v>188</v>
      </c>
      <c r="B30" s="342">
        <f>36000+40000</f>
        <v>76000</v>
      </c>
      <c r="C30" s="183">
        <f>+B30/$B$34</f>
        <v>0.54246966452533907</v>
      </c>
      <c r="D30" s="50"/>
      <c r="F30" s="51"/>
      <c r="H30" s="45"/>
      <c r="R30" s="17" t="s">
        <v>316</v>
      </c>
      <c r="S30" s="367">
        <f>SUM(T30:U30)</f>
        <v>8930.6351529611893</v>
      </c>
      <c r="T30" s="367">
        <f>U12*R24</f>
        <v>3105.1794479187242</v>
      </c>
      <c r="U30" s="367">
        <f>U20*R24</f>
        <v>5825.4557050424655</v>
      </c>
      <c r="AQ30" s="39"/>
    </row>
    <row r="31" spans="1:47" ht="16.5">
      <c r="A31" s="48" t="s">
        <v>187</v>
      </c>
      <c r="B31" s="342">
        <f>17500+4600-8000</f>
        <v>14100</v>
      </c>
      <c r="C31" s="183">
        <f>+B31/$B$34</f>
        <v>0.1006423982869379</v>
      </c>
      <c r="D31" s="50"/>
      <c r="F31" s="51"/>
      <c r="H31" s="45"/>
      <c r="R31" s="17" t="s">
        <v>314</v>
      </c>
      <c r="S31" s="213">
        <f>SUM(T31:U31)</f>
        <v>0</v>
      </c>
      <c r="T31" s="213">
        <f>IF(C97&lt;&gt;0,0,(((((D96/1.06564)-0.33)*0.974)-D97)*(240000-C96))/1000)</f>
        <v>0</v>
      </c>
      <c r="U31" s="213">
        <v>0</v>
      </c>
      <c r="AQ31" s="39"/>
    </row>
    <row r="32" spans="1:47" ht="15">
      <c r="A32" s="48" t="s">
        <v>280</v>
      </c>
      <c r="B32" s="342">
        <f>35000</f>
        <v>35000</v>
      </c>
      <c r="C32" s="183">
        <f>+B32/$B$34</f>
        <v>0.24982155603140613</v>
      </c>
      <c r="D32" s="50"/>
      <c r="F32" s="51"/>
      <c r="H32" s="45"/>
      <c r="R32" s="192" t="s">
        <v>3</v>
      </c>
      <c r="S32" s="368">
        <f>SUM(S29:S31)</f>
        <v>40036.055758826391</v>
      </c>
      <c r="T32" s="368">
        <f>SUM(T29:T31)</f>
        <v>28792.890352767965</v>
      </c>
      <c r="U32" s="368">
        <f>SUM(U29:U31)</f>
        <v>11243.165406058428</v>
      </c>
      <c r="AQ32" s="39"/>
    </row>
    <row r="33" spans="1:47" ht="16.5">
      <c r="A33" s="48" t="s">
        <v>281</v>
      </c>
      <c r="B33" s="342">
        <f>15000</f>
        <v>15000</v>
      </c>
      <c r="C33" s="184">
        <f>+B33/$B$34</f>
        <v>0.10706638115631692</v>
      </c>
      <c r="D33" s="50"/>
      <c r="F33" s="51"/>
      <c r="H33" s="45"/>
      <c r="R33" s="192" t="s">
        <v>317</v>
      </c>
      <c r="S33" s="369">
        <f>SUM(T33:U33)</f>
        <v>-4536</v>
      </c>
      <c r="T33" s="369">
        <v>0</v>
      </c>
      <c r="U33" s="369">
        <f>-R19*R24</f>
        <v>-4536</v>
      </c>
      <c r="AQ33" s="39"/>
    </row>
    <row r="34" spans="1:47" ht="15">
      <c r="A34" s="141" t="s">
        <v>107</v>
      </c>
      <c r="B34" s="49">
        <f>SUM(B30:B33)</f>
        <v>140100</v>
      </c>
      <c r="C34" s="183">
        <f>SUM(C30:C33)</f>
        <v>1</v>
      </c>
      <c r="D34" s="50"/>
      <c r="F34" s="51"/>
      <c r="H34" s="45"/>
      <c r="R34" s="192" t="s">
        <v>313</v>
      </c>
      <c r="S34" s="370">
        <f>SUM(S32:S33)</f>
        <v>35500.055758826391</v>
      </c>
      <c r="T34" s="370">
        <f>SUM(T32:T33)</f>
        <v>28792.890352767965</v>
      </c>
      <c r="U34" s="370">
        <f>SUM(U32:U33)</f>
        <v>6707.1654060584278</v>
      </c>
      <c r="AQ34" s="39"/>
    </row>
    <row r="35" spans="1:47">
      <c r="A35" s="141"/>
      <c r="B35" s="49"/>
      <c r="C35" s="183"/>
      <c r="D35" s="50"/>
      <c r="F35" s="51"/>
      <c r="H35" s="45"/>
      <c r="AQ35" s="39"/>
    </row>
    <row r="36" spans="1:47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I36" s="1009" t="s">
        <v>467</v>
      </c>
      <c r="J36" s="1010"/>
      <c r="K36" s="1009" t="s">
        <v>459</v>
      </c>
      <c r="L36" s="1010"/>
      <c r="R36" s="371" t="s">
        <v>475</v>
      </c>
      <c r="AQ36" s="39"/>
    </row>
    <row r="37" spans="1:47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I37" s="53" t="s">
        <v>38</v>
      </c>
      <c r="J37" s="171"/>
      <c r="K37" s="53" t="s">
        <v>38</v>
      </c>
      <c r="L37" s="171"/>
      <c r="R37" s="17" t="s">
        <v>315</v>
      </c>
      <c r="S37" s="366">
        <f>SUM(T37:U37)</f>
        <v>2592.1183838221004</v>
      </c>
      <c r="T37" s="366">
        <f>T29/12</f>
        <v>2140.6425754041034</v>
      </c>
      <c r="U37" s="366">
        <f>U29/12</f>
        <v>451.47580841799686</v>
      </c>
      <c r="AB37" s="13"/>
      <c r="AC37" s="46"/>
      <c r="AO37" s="11"/>
    </row>
    <row r="38" spans="1:47" ht="15">
      <c r="A38" s="176" t="s">
        <v>173</v>
      </c>
      <c r="B38" s="347">
        <f>13.3*2</f>
        <v>26.6</v>
      </c>
      <c r="C38" s="343">
        <v>0.5</v>
      </c>
      <c r="D38" s="134"/>
      <c r="E38" s="343">
        <v>0.5</v>
      </c>
      <c r="F38" s="134"/>
      <c r="G38" s="343">
        <v>0</v>
      </c>
      <c r="H38" s="186"/>
      <c r="I38" s="343">
        <v>0.5</v>
      </c>
      <c r="J38" s="186"/>
      <c r="K38" s="343">
        <v>0.5</v>
      </c>
      <c r="L38" s="186"/>
      <c r="R38" s="17" t="s">
        <v>316</v>
      </c>
      <c r="S38" s="367">
        <f>SUM(T38:U38)</f>
        <v>744.21959608009911</v>
      </c>
      <c r="T38" s="367">
        <f t="shared" ref="T38:U39" si="46">T30/12</f>
        <v>258.76495399322704</v>
      </c>
      <c r="U38" s="367">
        <f t="shared" si="46"/>
        <v>485.45464208687213</v>
      </c>
      <c r="AB38" s="13"/>
      <c r="AC38" s="250"/>
      <c r="AO38" s="251"/>
      <c r="AP38" s="251"/>
    </row>
    <row r="39" spans="1:47" ht="16.5">
      <c r="A39" s="176" t="s">
        <v>178</v>
      </c>
      <c r="B39" s="355">
        <f>12.41*2</f>
        <v>24.82</v>
      </c>
      <c r="C39" s="343">
        <v>0.5</v>
      </c>
      <c r="D39" s="134"/>
      <c r="E39" s="343">
        <v>0.5</v>
      </c>
      <c r="F39" s="134"/>
      <c r="G39" s="343">
        <v>0</v>
      </c>
      <c r="H39" s="186"/>
      <c r="I39" s="343">
        <v>0.5</v>
      </c>
      <c r="J39" s="186"/>
      <c r="K39" s="343">
        <v>0.5</v>
      </c>
      <c r="L39" s="186"/>
      <c r="R39" s="17" t="s">
        <v>314</v>
      </c>
      <c r="S39" s="213">
        <f>SUM(T39:U39)</f>
        <v>0</v>
      </c>
      <c r="T39" s="213">
        <f t="shared" si="46"/>
        <v>0</v>
      </c>
      <c r="U39" s="213">
        <f t="shared" si="46"/>
        <v>0</v>
      </c>
      <c r="AB39" s="13"/>
      <c r="AC39" s="250"/>
      <c r="AO39" s="252"/>
      <c r="AP39" s="252"/>
    </row>
    <row r="40" spans="1:47">
      <c r="A40" s="141" t="s">
        <v>174</v>
      </c>
      <c r="B40" s="157">
        <f>+B38*C38+B39*C39</f>
        <v>25.71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I40" s="55">
        <f>SUM(I38:I39)</f>
        <v>1</v>
      </c>
      <c r="J40" s="187"/>
      <c r="K40" s="55">
        <f>SUM(K38:K39)</f>
        <v>1</v>
      </c>
      <c r="L40" s="187"/>
      <c r="R40" s="192" t="s">
        <v>3</v>
      </c>
      <c r="S40" s="368">
        <f>SUM(S37:S39)</f>
        <v>3336.3379799021995</v>
      </c>
      <c r="T40" s="368">
        <f>SUM(T37:T39)</f>
        <v>2399.4075293973306</v>
      </c>
      <c r="U40" s="368">
        <f>SUM(U37:U39)</f>
        <v>936.93045050486899</v>
      </c>
      <c r="AB40" s="13"/>
      <c r="AC40" s="250"/>
      <c r="AO40" s="251"/>
      <c r="AP40" s="251"/>
    </row>
    <row r="41" spans="1:47" ht="15">
      <c r="A41" s="43"/>
      <c r="B41" s="50"/>
      <c r="C41" s="60"/>
      <c r="D41" s="59"/>
      <c r="E41" s="60"/>
      <c r="F41" s="59"/>
      <c r="G41" s="60"/>
      <c r="H41" s="187"/>
      <c r="I41" s="60"/>
      <c r="J41" s="187"/>
      <c r="K41" s="60"/>
      <c r="L41" s="187"/>
      <c r="R41" s="192" t="s">
        <v>317</v>
      </c>
      <c r="S41" s="369">
        <f>SUM(T41:U41)</f>
        <v>-378</v>
      </c>
      <c r="T41" s="369">
        <f>T33/12</f>
        <v>0</v>
      </c>
      <c r="U41" s="369">
        <f>U33/12</f>
        <v>-378</v>
      </c>
      <c r="Z41" s="39"/>
      <c r="AA41" s="39"/>
      <c r="AB41" s="13"/>
      <c r="AC41" s="62"/>
    </row>
    <row r="42" spans="1:47" ht="18" customHeight="1">
      <c r="A42" s="198" t="s">
        <v>39</v>
      </c>
      <c r="B42" s="61" t="s">
        <v>40</v>
      </c>
      <c r="C42" s="185" t="s">
        <v>299</v>
      </c>
      <c r="D42" s="61" t="s">
        <v>179</v>
      </c>
      <c r="E42" s="185" t="s">
        <v>299</v>
      </c>
      <c r="F42" s="61" t="s">
        <v>179</v>
      </c>
      <c r="G42" s="185" t="s">
        <v>299</v>
      </c>
      <c r="H42" s="188" t="s">
        <v>179</v>
      </c>
      <c r="I42" s="185" t="s">
        <v>299</v>
      </c>
      <c r="J42" s="188" t="s">
        <v>179</v>
      </c>
      <c r="K42" s="185" t="s">
        <v>299</v>
      </c>
      <c r="L42" s="188" t="s">
        <v>179</v>
      </c>
      <c r="M42" s="62"/>
      <c r="N42" s="62"/>
      <c r="O42" s="62"/>
      <c r="P42" s="62"/>
      <c r="Q42" s="62"/>
      <c r="R42" s="192" t="s">
        <v>313</v>
      </c>
      <c r="S42" s="370">
        <f>SUM(S40:S41)</f>
        <v>2958.3379799021995</v>
      </c>
      <c r="T42" s="370">
        <f>SUM(T40:T41)</f>
        <v>2399.4075293973306</v>
      </c>
      <c r="U42" s="370">
        <f>SUM(U40:U41)</f>
        <v>558.93045050486899</v>
      </c>
      <c r="AB42" s="13"/>
      <c r="AC42" s="46"/>
      <c r="AO42" s="11"/>
      <c r="AP42" s="11"/>
      <c r="AQ42" s="11"/>
      <c r="AR42" s="52" t="s">
        <v>291</v>
      </c>
      <c r="AS42" s="52" t="s">
        <v>294</v>
      </c>
      <c r="AT42" s="52" t="s">
        <v>295</v>
      </c>
      <c r="AU42" s="52" t="s">
        <v>296</v>
      </c>
    </row>
    <row r="43" spans="1:47" ht="15">
      <c r="A43" s="176" t="s">
        <v>404</v>
      </c>
      <c r="B43" s="64">
        <f>$B$40/2000</f>
        <v>1.2855E-2</v>
      </c>
      <c r="C43" s="345">
        <v>2.1972328275292297</v>
      </c>
      <c r="D43" s="307">
        <f t="shared" ref="D43:D51" si="47">B43*C43</f>
        <v>2.8245427997888248E-2</v>
      </c>
      <c r="E43" s="345">
        <v>2.4102521654202023</v>
      </c>
      <c r="F43" s="307">
        <f t="shared" ref="F43:F51" si="48">B43*E43</f>
        <v>3.0983791586476701E-2</v>
      </c>
      <c r="G43" s="345">
        <v>0</v>
      </c>
      <c r="H43" s="311">
        <f t="shared" ref="H43:H51" si="49">$B43*G43</f>
        <v>0</v>
      </c>
      <c r="I43" s="345">
        <v>2.6302428700151976</v>
      </c>
      <c r="J43" s="311">
        <f t="shared" ref="J43:J51" si="50">$B43*I43</f>
        <v>3.3811772094045366E-2</v>
      </c>
      <c r="K43" s="345">
        <v>1.4950065335075602</v>
      </c>
      <c r="L43" s="311">
        <f t="shared" ref="L43:L51" si="51">$B43*K43</f>
        <v>1.9218308988239688E-2</v>
      </c>
      <c r="M43" s="65"/>
      <c r="N43" s="65"/>
      <c r="O43" s="65"/>
      <c r="P43" s="65"/>
      <c r="Q43" s="65"/>
      <c r="R43" s="65"/>
      <c r="S43" s="65"/>
      <c r="T43" s="65"/>
      <c r="U43" s="65"/>
      <c r="AA43" s="312">
        <f>B43*1000</f>
        <v>12.855</v>
      </c>
      <c r="AB43" s="256" t="s">
        <v>12</v>
      </c>
      <c r="AC43" s="255" t="s">
        <v>154</v>
      </c>
      <c r="AO43" s="56">
        <f t="shared" ref="AO43:AO51" si="52">IF(B43&lt;&gt;0,D43/B43*1000,0)</f>
        <v>2197.2328275292298</v>
      </c>
      <c r="AP43" s="56">
        <f t="shared" ref="AP43:AP51" si="53">IF(B43&lt;&gt;0,F43/B43*1000,0)</f>
        <v>2410.2521654202023</v>
      </c>
      <c r="AQ43" s="56">
        <f>IF(B43&lt;&gt;0,H43/B43*1000,0)</f>
        <v>0</v>
      </c>
      <c r="AR43" s="26">
        <f t="shared" ref="AR43:AR51" si="54">AO43*$B$24+AP43*$E$24+AQ43*$H$24</f>
        <v>282329503.55009067</v>
      </c>
      <c r="AS43" s="26">
        <v>202343432</v>
      </c>
      <c r="AT43" s="183">
        <f t="shared" ref="AT43:AT50" si="55">AS43/AR43</f>
        <v>0.71669247972909922</v>
      </c>
      <c r="AU43" s="341">
        <f>343597.02/24291676.299</f>
        <v>1.414464015454317E-2</v>
      </c>
    </row>
    <row r="44" spans="1:47" ht="15">
      <c r="A44" s="176" t="s">
        <v>436</v>
      </c>
      <c r="B44" s="344">
        <v>0.13442000000000001</v>
      </c>
      <c r="C44" s="345">
        <v>0</v>
      </c>
      <c r="D44" s="307">
        <f t="shared" si="47"/>
        <v>0</v>
      </c>
      <c r="E44" s="345">
        <v>0</v>
      </c>
      <c r="F44" s="307">
        <f t="shared" si="48"/>
        <v>0</v>
      </c>
      <c r="G44" s="345">
        <v>3.497559704873471</v>
      </c>
      <c r="H44" s="311">
        <f t="shared" si="49"/>
        <v>0.47014197552909204</v>
      </c>
      <c r="I44" s="345">
        <v>0</v>
      </c>
      <c r="J44" s="311">
        <f t="shared" si="50"/>
        <v>0</v>
      </c>
      <c r="K44" s="345">
        <v>0</v>
      </c>
      <c r="L44" s="311">
        <f t="shared" si="51"/>
        <v>0</v>
      </c>
      <c r="M44" s="65"/>
      <c r="N44" s="65"/>
      <c r="O44" s="65"/>
      <c r="P44" s="65"/>
      <c r="Q44" s="65"/>
      <c r="R44" s="65"/>
      <c r="S44" s="65"/>
      <c r="T44" s="65"/>
      <c r="U44" s="65"/>
      <c r="AA44" s="312">
        <f t="shared" ref="AA44:AA51" si="56">B44*1000</f>
        <v>134.42000000000002</v>
      </c>
      <c r="AB44" s="256" t="s">
        <v>12</v>
      </c>
      <c r="AC44" s="256" t="s">
        <v>298</v>
      </c>
      <c r="AO44" s="56">
        <f t="shared" si="52"/>
        <v>0</v>
      </c>
      <c r="AP44" s="56">
        <f t="shared" si="53"/>
        <v>0</v>
      </c>
      <c r="AQ44" s="56">
        <f t="shared" ref="AQ44:AQ51" si="57">IF(B44&lt;&gt;0,H44/B44*1000,0)</f>
        <v>3497.5597048734712</v>
      </c>
      <c r="AR44" s="26">
        <f t="shared" si="54"/>
        <v>52463395.573102072</v>
      </c>
      <c r="AS44" s="26">
        <v>0</v>
      </c>
      <c r="AT44" s="183">
        <f t="shared" si="55"/>
        <v>0</v>
      </c>
      <c r="AU44" s="341">
        <v>6.2740000000000004E-2</v>
      </c>
    </row>
    <row r="45" spans="1:47" ht="15">
      <c r="A45" s="176" t="s">
        <v>434</v>
      </c>
      <c r="B45" s="344">
        <v>0.30570999999999998</v>
      </c>
      <c r="C45" s="345">
        <v>0</v>
      </c>
      <c r="D45" s="307">
        <f t="shared" si="47"/>
        <v>0</v>
      </c>
      <c r="E45" s="345">
        <v>0</v>
      </c>
      <c r="F45" s="307">
        <f t="shared" si="48"/>
        <v>0</v>
      </c>
      <c r="G45" s="345">
        <v>0</v>
      </c>
      <c r="H45" s="311">
        <f t="shared" si="49"/>
        <v>0</v>
      </c>
      <c r="I45" s="345">
        <v>0</v>
      </c>
      <c r="J45" s="311">
        <f t="shared" si="50"/>
        <v>0</v>
      </c>
      <c r="K45" s="345">
        <v>0.5014980399477319</v>
      </c>
      <c r="L45" s="311">
        <f t="shared" si="51"/>
        <v>0.1533129657924211</v>
      </c>
      <c r="M45" s="65"/>
      <c r="N45" s="65"/>
      <c r="O45" s="65"/>
      <c r="P45" s="65"/>
      <c r="Q45" s="65"/>
      <c r="R45" s="65"/>
      <c r="S45" s="65"/>
      <c r="T45" s="65"/>
      <c r="U45" s="65"/>
      <c r="AA45" s="312"/>
      <c r="AB45" s="256"/>
      <c r="AC45" s="256"/>
      <c r="AO45" s="56"/>
      <c r="AP45" s="56"/>
      <c r="AQ45" s="56"/>
      <c r="AR45" s="26"/>
      <c r="AS45" s="26"/>
      <c r="AT45" s="183"/>
      <c r="AU45" s="341"/>
    </row>
    <row r="46" spans="1:47" ht="15">
      <c r="A46" s="176" t="s">
        <v>405</v>
      </c>
      <c r="B46" s="344">
        <v>1.3656999999999999</v>
      </c>
      <c r="C46" s="345">
        <v>9.9558258902151548E-3</v>
      </c>
      <c r="D46" s="307">
        <f t="shared" si="47"/>
        <v>1.3596671418266836E-2</v>
      </c>
      <c r="E46" s="345">
        <v>0</v>
      </c>
      <c r="F46" s="307">
        <f t="shared" si="48"/>
        <v>0</v>
      </c>
      <c r="G46" s="345">
        <v>0</v>
      </c>
      <c r="H46" s="311">
        <f t="shared" si="49"/>
        <v>0</v>
      </c>
      <c r="I46" s="345">
        <v>1.0031902101318916E-2</v>
      </c>
      <c r="J46" s="311">
        <f t="shared" si="50"/>
        <v>1.3700568699771242E-2</v>
      </c>
      <c r="K46" s="345">
        <v>6.6058428224752656E-3</v>
      </c>
      <c r="L46" s="311">
        <f t="shared" si="51"/>
        <v>9.0215995426544699E-3</v>
      </c>
      <c r="M46" s="65"/>
      <c r="N46" s="65"/>
      <c r="O46" s="65"/>
      <c r="P46" s="65"/>
      <c r="Q46" s="65"/>
      <c r="R46" s="65"/>
      <c r="S46" s="65"/>
      <c r="T46" s="65"/>
      <c r="U46" s="65"/>
      <c r="AA46" s="312">
        <f t="shared" si="56"/>
        <v>1365.6999999999998</v>
      </c>
      <c r="AB46" s="256" t="s">
        <v>12</v>
      </c>
      <c r="AC46" s="255" t="s">
        <v>155</v>
      </c>
      <c r="AO46" s="56">
        <f t="shared" si="52"/>
        <v>9.955825890215154</v>
      </c>
      <c r="AP46" s="56">
        <f t="shared" si="53"/>
        <v>0</v>
      </c>
      <c r="AQ46" s="56">
        <f t="shared" si="57"/>
        <v>0</v>
      </c>
      <c r="AR46" s="26">
        <f t="shared" si="54"/>
        <v>897019.91270838538</v>
      </c>
      <c r="AS46" s="26">
        <v>101933</v>
      </c>
      <c r="AT46" s="183">
        <f t="shared" si="55"/>
        <v>0.11363515854651676</v>
      </c>
      <c r="AU46" s="341">
        <f>143105.19/AS46</f>
        <v>1.4039142377836422</v>
      </c>
    </row>
    <row r="47" spans="1:47" ht="15">
      <c r="A47" s="176" t="s">
        <v>406</v>
      </c>
      <c r="B47" s="344">
        <v>0.46</v>
      </c>
      <c r="C47" s="345">
        <v>8.3656484654115008E-3</v>
      </c>
      <c r="D47" s="307">
        <f t="shared" si="47"/>
        <v>3.8481982940892904E-3</v>
      </c>
      <c r="E47" s="345">
        <v>1.0556001143752398E-2</v>
      </c>
      <c r="F47" s="307">
        <f t="shared" si="48"/>
        <v>4.8557605261261034E-3</v>
      </c>
      <c r="G47" s="345">
        <v>5.2729258300433625E-3</v>
      </c>
      <c r="H47" s="311">
        <f t="shared" si="49"/>
        <v>2.4255458818199468E-3</v>
      </c>
      <c r="I47" s="345">
        <v>5.8781279447178304E-3</v>
      </c>
      <c r="J47" s="311">
        <f t="shared" si="50"/>
        <v>2.7039388545702023E-3</v>
      </c>
      <c r="K47" s="345">
        <v>6.2581668844502517E-3</v>
      </c>
      <c r="L47" s="311">
        <f t="shared" si="51"/>
        <v>2.8787567668471159E-3</v>
      </c>
      <c r="M47" s="65"/>
      <c r="N47" s="65"/>
      <c r="O47" s="65"/>
      <c r="P47" s="65"/>
      <c r="Q47" s="65"/>
      <c r="R47" s="65"/>
      <c r="S47" s="65"/>
      <c r="T47" s="65"/>
      <c r="U47" s="65"/>
      <c r="AA47" s="312">
        <f t="shared" si="56"/>
        <v>460</v>
      </c>
      <c r="AB47" s="256" t="s">
        <v>12</v>
      </c>
      <c r="AC47" s="255" t="s">
        <v>156</v>
      </c>
      <c r="AO47" s="56">
        <f t="shared" si="52"/>
        <v>8.3656484654115015</v>
      </c>
      <c r="AP47" s="56">
        <f t="shared" si="53"/>
        <v>10.556001143752399</v>
      </c>
      <c r="AQ47" s="56">
        <f t="shared" si="57"/>
        <v>5.2729258300433628</v>
      </c>
      <c r="AR47" s="26">
        <f t="shared" si="54"/>
        <v>1202298.8542155607</v>
      </c>
      <c r="AS47" s="26">
        <v>84108</v>
      </c>
      <c r="AT47" s="183">
        <f t="shared" si="55"/>
        <v>6.9955984491789455E-2</v>
      </c>
      <c r="AU47" s="341">
        <f>38613.79/AS47</f>
        <v>0.45909770770913588</v>
      </c>
    </row>
    <row r="48" spans="1:47" ht="15">
      <c r="A48" s="176" t="s">
        <v>407</v>
      </c>
      <c r="B48" s="344">
        <v>6.2740000000000004E-2</v>
      </c>
      <c r="C48" s="345">
        <v>9.4731409454363608E-3</v>
      </c>
      <c r="D48" s="307">
        <f t="shared" si="47"/>
        <v>5.9434486291667736E-4</v>
      </c>
      <c r="E48" s="345">
        <v>1.3838362868336247E-2</v>
      </c>
      <c r="F48" s="307">
        <f t="shared" si="48"/>
        <v>8.6821888635941612E-4</v>
      </c>
      <c r="G48" s="345">
        <v>4.5626975600284776E-4</v>
      </c>
      <c r="H48" s="311">
        <f t="shared" si="49"/>
        <v>2.862636449161867E-5</v>
      </c>
      <c r="I48" s="345">
        <v>1.4843041978786928E-2</v>
      </c>
      <c r="J48" s="311">
        <f t="shared" si="50"/>
        <v>9.3125245374909194E-4</v>
      </c>
      <c r="K48" s="345">
        <v>6.2581668844502517E-3</v>
      </c>
      <c r="L48" s="311">
        <f t="shared" si="51"/>
        <v>3.9263739033040883E-4</v>
      </c>
      <c r="M48" s="65"/>
      <c r="N48" s="65"/>
      <c r="O48" s="65"/>
      <c r="P48" s="65"/>
      <c r="Q48" s="65"/>
      <c r="R48" s="65"/>
      <c r="S48" s="65"/>
      <c r="T48" s="65"/>
      <c r="U48" s="65"/>
      <c r="AA48" s="312">
        <f t="shared" si="56"/>
        <v>62.74</v>
      </c>
      <c r="AB48" s="256" t="s">
        <v>12</v>
      </c>
      <c r="AC48" s="255" t="s">
        <v>157</v>
      </c>
      <c r="AO48" s="56">
        <f t="shared" si="52"/>
        <v>9.4731409454363611</v>
      </c>
      <c r="AP48" s="56">
        <f t="shared" si="53"/>
        <v>13.838362868336247</v>
      </c>
      <c r="AQ48" s="56">
        <f t="shared" si="57"/>
        <v>0.45626975600284775</v>
      </c>
      <c r="AR48" s="26">
        <f t="shared" si="54"/>
        <v>1344716.7459156276</v>
      </c>
      <c r="AS48" s="26">
        <v>47388</v>
      </c>
      <c r="AT48" s="183">
        <f t="shared" si="55"/>
        <v>3.5240135250738741E-2</v>
      </c>
      <c r="AU48" s="341">
        <f>2705.86/AS48</f>
        <v>5.710010973242171E-2</v>
      </c>
    </row>
    <row r="49" spans="1:47" ht="15">
      <c r="A49" s="176" t="s">
        <v>408</v>
      </c>
      <c r="B49" s="344">
        <v>8.677E-2</v>
      </c>
      <c r="C49" s="345">
        <v>0</v>
      </c>
      <c r="D49" s="307">
        <f t="shared" si="47"/>
        <v>0</v>
      </c>
      <c r="E49" s="345">
        <v>0.35728908377604413</v>
      </c>
      <c r="F49" s="307">
        <f t="shared" si="48"/>
        <v>3.1001973799247348E-2</v>
      </c>
      <c r="G49" s="345">
        <v>0.27359570532651606</v>
      </c>
      <c r="H49" s="311">
        <f t="shared" si="49"/>
        <v>2.3739899351181797E-2</v>
      </c>
      <c r="I49" s="345">
        <v>0</v>
      </c>
      <c r="J49" s="311">
        <f t="shared" si="50"/>
        <v>0</v>
      </c>
      <c r="K49" s="345">
        <v>0</v>
      </c>
      <c r="L49" s="311">
        <f t="shared" si="51"/>
        <v>0</v>
      </c>
      <c r="M49" s="65"/>
      <c r="N49" s="65"/>
      <c r="O49" s="65"/>
      <c r="P49" s="65"/>
      <c r="Q49" s="65"/>
      <c r="R49" s="65"/>
      <c r="S49" s="65"/>
      <c r="T49" s="65"/>
      <c r="U49" s="65"/>
      <c r="AA49" s="312">
        <f t="shared" si="56"/>
        <v>86.77</v>
      </c>
      <c r="AB49" s="256" t="s">
        <v>12</v>
      </c>
      <c r="AC49" s="255" t="s">
        <v>231</v>
      </c>
      <c r="AO49" s="56">
        <f t="shared" si="52"/>
        <v>0</v>
      </c>
      <c r="AP49" s="56">
        <f t="shared" si="53"/>
        <v>357.28908377604415</v>
      </c>
      <c r="AQ49" s="56">
        <f t="shared" si="57"/>
        <v>273.59570532651605</v>
      </c>
      <c r="AR49" s="26">
        <f t="shared" si="54"/>
        <v>16609053.512059286</v>
      </c>
      <c r="AS49" s="26">
        <v>560786</v>
      </c>
      <c r="AT49" s="183">
        <f t="shared" si="55"/>
        <v>3.376387459964722E-2</v>
      </c>
      <c r="AU49" s="341">
        <f>49077.4/AS49</f>
        <v>8.7515380198507103E-2</v>
      </c>
    </row>
    <row r="50" spans="1:47" ht="15">
      <c r="A50" s="176" t="s">
        <v>409</v>
      </c>
      <c r="B50" s="344">
        <v>6.1364400000000003</v>
      </c>
      <c r="C50" s="345">
        <v>0</v>
      </c>
      <c r="D50" s="307">
        <f t="shared" si="47"/>
        <v>0</v>
      </c>
      <c r="E50" s="345">
        <v>1.276363564325809E-2</v>
      </c>
      <c r="F50" s="307">
        <f t="shared" si="48"/>
        <v>7.8323284306714674E-2</v>
      </c>
      <c r="G50" s="345">
        <v>1.3885014626884991E-2</v>
      </c>
      <c r="H50" s="311">
        <f t="shared" si="49"/>
        <v>8.5204559157002147E-2</v>
      </c>
      <c r="I50" s="345">
        <v>0</v>
      </c>
      <c r="J50" s="311">
        <f t="shared" si="50"/>
        <v>0</v>
      </c>
      <c r="K50" s="345">
        <v>0</v>
      </c>
      <c r="L50" s="311">
        <f t="shared" si="51"/>
        <v>0</v>
      </c>
      <c r="M50" s="65"/>
      <c r="N50" s="65"/>
      <c r="O50" s="65"/>
      <c r="P50" s="65"/>
      <c r="Q50" s="65"/>
      <c r="R50" s="65"/>
      <c r="S50" s="65"/>
      <c r="T50" s="65"/>
      <c r="U50" s="65"/>
      <c r="AA50" s="312">
        <f t="shared" si="56"/>
        <v>6136.4400000000005</v>
      </c>
      <c r="AB50" s="256" t="s">
        <v>12</v>
      </c>
      <c r="AC50" s="255" t="s">
        <v>232</v>
      </c>
      <c r="AO50" s="56">
        <f t="shared" si="52"/>
        <v>0</v>
      </c>
      <c r="AP50" s="56">
        <f t="shared" si="53"/>
        <v>12.763635643258089</v>
      </c>
      <c r="AQ50" s="56">
        <f t="shared" si="57"/>
        <v>13.885014626884994</v>
      </c>
      <c r="AR50" s="26">
        <f t="shared" si="54"/>
        <v>655002.46691730805</v>
      </c>
      <c r="AS50" s="26">
        <v>208883</v>
      </c>
      <c r="AT50" s="183">
        <f t="shared" si="55"/>
        <v>0.31890414242725412</v>
      </c>
      <c r="AU50" s="341">
        <f>1269211.15/AS50</f>
        <v>6.0761821210917111</v>
      </c>
    </row>
    <row r="51" spans="1:47" ht="15">
      <c r="A51" s="176" t="s">
        <v>432</v>
      </c>
      <c r="B51" s="344">
        <v>11.52</v>
      </c>
      <c r="C51" s="345">
        <v>0</v>
      </c>
      <c r="D51" s="307">
        <f t="shared" si="47"/>
        <v>0</v>
      </c>
      <c r="E51" s="345">
        <v>0</v>
      </c>
      <c r="F51" s="307">
        <f t="shared" si="48"/>
        <v>0</v>
      </c>
      <c r="G51" s="345">
        <v>0</v>
      </c>
      <c r="H51" s="311">
        <f t="shared" si="49"/>
        <v>0</v>
      </c>
      <c r="I51" s="345">
        <v>1.9566171081562139E-2</v>
      </c>
      <c r="J51" s="311">
        <f t="shared" si="50"/>
        <v>0.22540229085959584</v>
      </c>
      <c r="K51" s="345">
        <v>0</v>
      </c>
      <c r="L51" s="311">
        <f t="shared" si="51"/>
        <v>0</v>
      </c>
      <c r="M51" s="65"/>
      <c r="N51" s="65"/>
      <c r="O51" s="65"/>
      <c r="P51" s="65"/>
      <c r="Q51" s="65"/>
      <c r="R51" s="65"/>
      <c r="S51" s="65"/>
      <c r="T51" s="65"/>
      <c r="U51" s="65"/>
      <c r="AA51" s="312">
        <f t="shared" si="56"/>
        <v>11520</v>
      </c>
      <c r="AB51" s="256" t="s">
        <v>12</v>
      </c>
      <c r="AC51" s="255" t="s">
        <v>472</v>
      </c>
      <c r="AO51" s="56">
        <f t="shared" si="52"/>
        <v>0</v>
      </c>
      <c r="AP51" s="56">
        <f t="shared" si="53"/>
        <v>0</v>
      </c>
      <c r="AQ51" s="56">
        <f t="shared" si="57"/>
        <v>0</v>
      </c>
      <c r="AR51" s="26">
        <f t="shared" si="54"/>
        <v>0</v>
      </c>
      <c r="AS51" s="26"/>
      <c r="AT51" s="183"/>
      <c r="AU51" s="341"/>
    </row>
    <row r="52" spans="1:47">
      <c r="A52" s="63"/>
      <c r="B52" s="67"/>
      <c r="C52" s="51"/>
      <c r="D52" s="68"/>
      <c r="E52" s="51"/>
      <c r="F52" s="68"/>
      <c r="G52" s="51"/>
      <c r="H52" s="98"/>
      <c r="I52" s="51"/>
      <c r="J52" s="98"/>
      <c r="K52" s="51"/>
      <c r="L52" s="98"/>
      <c r="M52" s="65"/>
      <c r="N52" s="65"/>
      <c r="O52" s="65"/>
      <c r="P52" s="65"/>
      <c r="Q52" s="65"/>
      <c r="R52" s="65"/>
      <c r="S52" s="65"/>
      <c r="T52" s="65"/>
      <c r="U52" s="65"/>
      <c r="AC52" s="156"/>
      <c r="AQ52" s="157"/>
    </row>
    <row r="53" spans="1:47" ht="15">
      <c r="A53" s="63" t="s">
        <v>42</v>
      </c>
      <c r="C53" s="69"/>
      <c r="D53" s="199" t="s">
        <v>43</v>
      </c>
      <c r="F53" s="199" t="s">
        <v>43</v>
      </c>
      <c r="H53" s="283" t="s">
        <v>43</v>
      </c>
      <c r="J53" s="283" t="s">
        <v>43</v>
      </c>
      <c r="L53" s="283" t="s">
        <v>43</v>
      </c>
    </row>
    <row r="54" spans="1:47">
      <c r="A54" s="63" t="s">
        <v>284</v>
      </c>
      <c r="C54" s="69"/>
      <c r="D54" s="64">
        <f>D43+D44+D45</f>
        <v>2.8245427997888248E-2</v>
      </c>
      <c r="F54" s="64">
        <f>F43+F44+F45</f>
        <v>3.0983791586476701E-2</v>
      </c>
      <c r="H54" s="189">
        <f>H43+H44+H45</f>
        <v>0.47014197552909204</v>
      </c>
      <c r="J54" s="189">
        <f>J43+J44+J45</f>
        <v>3.3811772094045366E-2</v>
      </c>
      <c r="L54" s="189">
        <f>L43+L44+L45</f>
        <v>0.17253127478066077</v>
      </c>
    </row>
    <row r="55" spans="1:47" ht="15">
      <c r="A55" s="63" t="s">
        <v>44</v>
      </c>
      <c r="C55" s="69"/>
      <c r="D55" s="70">
        <f>SUM(D46:D51)</f>
        <v>1.8039214575272803E-2</v>
      </c>
      <c r="F55" s="70">
        <f>SUM(F46:F51)</f>
        <v>0.11504923751844753</v>
      </c>
      <c r="H55" s="310">
        <f>SUM(H46:H51)</f>
        <v>0.11139863075449551</v>
      </c>
      <c r="J55" s="310">
        <f>SUM(J46:J51)</f>
        <v>0.24273805086768638</v>
      </c>
      <c r="L55" s="310">
        <f>SUM(L46:L51)</f>
        <v>1.2292993699831993E-2</v>
      </c>
    </row>
    <row r="56" spans="1:47" ht="15">
      <c r="A56" s="63" t="s">
        <v>45</v>
      </c>
      <c r="C56" s="51"/>
      <c r="D56" s="339">
        <f>SUM(D54:D55)</f>
        <v>4.6284642573161047E-2</v>
      </c>
      <c r="F56" s="339">
        <f>SUM(F54:F55)</f>
        <v>0.14603302910492424</v>
      </c>
      <c r="H56" s="340">
        <f>SUM(H54:H55)</f>
        <v>0.5815406062835875</v>
      </c>
      <c r="J56" s="340">
        <f>SUM(J54:J55)</f>
        <v>0.27654982296173175</v>
      </c>
      <c r="L56" s="340">
        <f>SUM(L54:L55)</f>
        <v>0.18482426848049277</v>
      </c>
    </row>
    <row r="57" spans="1:47">
      <c r="A57" s="71"/>
      <c r="B57" s="72"/>
      <c r="C57" s="72"/>
      <c r="D57" s="72"/>
      <c r="E57" s="73"/>
      <c r="F57" s="74"/>
      <c r="G57" s="72"/>
      <c r="H57" s="75"/>
      <c r="I57" s="72"/>
      <c r="J57" s="75"/>
      <c r="K57" s="72"/>
      <c r="L57" s="75"/>
      <c r="AB57" s="69"/>
    </row>
    <row r="58" spans="1:47">
      <c r="A58" s="39"/>
      <c r="E58" s="51"/>
      <c r="F58" s="76"/>
      <c r="AB58" s="69"/>
    </row>
    <row r="59" spans="1:47" ht="13.5" thickBot="1">
      <c r="F59" s="39"/>
      <c r="G59" s="39"/>
    </row>
    <row r="60" spans="1:47" ht="14.65" customHeight="1">
      <c r="A60" s="82" t="s">
        <v>269</v>
      </c>
      <c r="B60" s="1020" t="s">
        <v>18</v>
      </c>
      <c r="C60" s="1020"/>
      <c r="D60" s="1020"/>
      <c r="E60" s="93"/>
      <c r="F60" s="1020" t="s">
        <v>46</v>
      </c>
      <c r="G60" s="1020"/>
      <c r="H60" s="1021"/>
      <c r="AF60" s="1014" t="s">
        <v>253</v>
      </c>
      <c r="AG60" s="1015"/>
      <c r="AH60" s="1015"/>
      <c r="AI60" s="1015"/>
      <c r="AJ60" s="1015"/>
      <c r="AK60" s="1015"/>
      <c r="AL60" s="1015"/>
      <c r="AM60" s="1015"/>
      <c r="AN60" s="1015"/>
      <c r="AO60" s="1015"/>
      <c r="AP60" s="1016"/>
    </row>
    <row r="61" spans="1:47" ht="14.65" customHeight="1">
      <c r="A61" s="43"/>
      <c r="B61" s="199" t="s">
        <v>159</v>
      </c>
      <c r="C61" s="199" t="s">
        <v>109</v>
      </c>
      <c r="D61" s="199" t="s">
        <v>107</v>
      </c>
      <c r="E61" s="26"/>
      <c r="F61" s="199" t="s">
        <v>159</v>
      </c>
      <c r="G61" s="199" t="s">
        <v>109</v>
      </c>
      <c r="H61" s="283" t="s">
        <v>107</v>
      </c>
      <c r="W61" s="240"/>
      <c r="X61" s="240"/>
      <c r="Y61" s="261">
        <f>$Y$14*$AE61</f>
        <v>2794136.4</v>
      </c>
      <c r="Z61" s="250"/>
      <c r="AA61" s="250"/>
      <c r="AB61" s="256"/>
      <c r="AC61" s="20" t="s">
        <v>79</v>
      </c>
      <c r="AD61" s="128" t="s">
        <v>80</v>
      </c>
      <c r="AE61" s="206">
        <f>100%-D64</f>
        <v>0.9</v>
      </c>
      <c r="AF61" s="274"/>
      <c r="AG61" s="261"/>
      <c r="AH61" s="261"/>
      <c r="AI61" s="261" t="s">
        <v>159</v>
      </c>
      <c r="AJ61" s="278">
        <f>($B$68+$B$70+$B$72+$B$75-$B$77)/$B$25*$B$24</f>
        <v>31583.836322269806</v>
      </c>
      <c r="AK61" s="278">
        <f>($B$68+$B$70+$B$72+$B$75-$B$77)/$B$25*($E$24+$H$24)</f>
        <v>17527.101177730194</v>
      </c>
      <c r="AL61" s="278"/>
      <c r="AM61" s="278">
        <f>SUM(AJ61:AK61)</f>
        <v>49110.9375</v>
      </c>
      <c r="AN61" s="25"/>
      <c r="AO61" s="24"/>
      <c r="AP61" s="270"/>
      <c r="AQ61" s="131"/>
    </row>
    <row r="62" spans="1:47" ht="14.65" customHeight="1">
      <c r="A62" s="48" t="s">
        <v>191</v>
      </c>
      <c r="B62" s="346">
        <f>33-8</f>
        <v>25</v>
      </c>
      <c r="C62" s="346">
        <v>20</v>
      </c>
      <c r="D62" s="78">
        <f>SUM(B62:C62)</f>
        <v>45</v>
      </c>
      <c r="F62" s="346">
        <f>11+1</f>
        <v>12</v>
      </c>
      <c r="G62" s="346">
        <v>4</v>
      </c>
      <c r="H62" s="79">
        <f>SUM(F62:G62)</f>
        <v>16</v>
      </c>
      <c r="W62" s="269"/>
      <c r="X62" s="269"/>
      <c r="Y62" s="262">
        <f>$Y$14*$AE62</f>
        <v>310459.60000000003</v>
      </c>
      <c r="Z62" s="250"/>
      <c r="AA62" s="250"/>
      <c r="AB62" s="256"/>
      <c r="AC62" s="20" t="s">
        <v>81</v>
      </c>
      <c r="AD62" s="128" t="s">
        <v>82</v>
      </c>
      <c r="AE62" s="138">
        <f>D64</f>
        <v>0.1</v>
      </c>
      <c r="AF62" s="274"/>
      <c r="AG62" s="261"/>
      <c r="AH62" s="261"/>
      <c r="AI62" s="261" t="s">
        <v>109</v>
      </c>
      <c r="AJ62" s="279">
        <v>0</v>
      </c>
      <c r="AK62" s="279">
        <f>($B$69+$B$71+$B$73)/$E$24*($E$24+$H$24)</f>
        <v>68640</v>
      </c>
      <c r="AL62" s="279"/>
      <c r="AM62" s="279">
        <f>SUM(AJ62:AK62)</f>
        <v>68640</v>
      </c>
      <c r="AN62" s="25"/>
      <c r="AO62" s="24"/>
      <c r="AP62" s="270"/>
      <c r="AQ62" s="131"/>
    </row>
    <row r="63" spans="1:47" ht="14.65" customHeight="1" thickBot="1">
      <c r="A63" s="48" t="s">
        <v>192</v>
      </c>
      <c r="B63" s="347">
        <f>28.6*(1+$F$150)</f>
        <v>29.172000000000001</v>
      </c>
      <c r="C63" s="347">
        <f>28.6*(1+$F$150)</f>
        <v>29.172000000000001</v>
      </c>
      <c r="D63" s="80">
        <f>($B$62*B63+$C$62*C63)/$D$62</f>
        <v>29.172000000000004</v>
      </c>
      <c r="E63" s="26"/>
      <c r="F63" s="347">
        <f>31.47*(1+$F$150)</f>
        <v>32.099400000000003</v>
      </c>
      <c r="G63" s="347">
        <f>31.47*(1+$F$150)</f>
        <v>32.099400000000003</v>
      </c>
      <c r="H63" s="81">
        <f>($F$62*F63+$G$62*G63)/$H$62</f>
        <v>32.099400000000003</v>
      </c>
      <c r="W63" s="235"/>
      <c r="X63" s="235"/>
      <c r="Y63" s="24">
        <f>SUM(Y61:Y62)</f>
        <v>3104596</v>
      </c>
      <c r="Z63" s="268"/>
      <c r="AA63" s="268"/>
      <c r="AB63" s="256" t="s">
        <v>19</v>
      </c>
      <c r="AC63" s="130" t="s">
        <v>20</v>
      </c>
      <c r="AD63" s="257" t="s">
        <v>107</v>
      </c>
      <c r="AE63" s="138"/>
      <c r="AF63" s="271">
        <f>$AN$63*AO63*$B$24</f>
        <v>986985.40521494998</v>
      </c>
      <c r="AG63" s="272">
        <f>$AN$63*AP63*($E$24+$H$24)</f>
        <v>2692696.0488372911</v>
      </c>
      <c r="AH63" s="272"/>
      <c r="AI63" s="273">
        <f>SUM(AF63:AG63)</f>
        <v>3679681.4540522411</v>
      </c>
      <c r="AJ63" s="280">
        <f>SUM(AJ61:AJ62)</f>
        <v>31583.836322269806</v>
      </c>
      <c r="AK63" s="280">
        <f>SUM(AK61:AK62)</f>
        <v>86167.10117773019</v>
      </c>
      <c r="AL63" s="280"/>
      <c r="AM63" s="280">
        <f>SUM(AM61:AM62)</f>
        <v>117750.9375</v>
      </c>
      <c r="AN63" s="277">
        <f>$AN$14</f>
        <v>31.249699851028712</v>
      </c>
      <c r="AO63" s="275">
        <f>AJ63/$B$24</f>
        <v>0.35054202355460384</v>
      </c>
      <c r="AP63" s="276">
        <f>AK63/($E$24+$H$24)</f>
        <v>1.7233420235546038</v>
      </c>
      <c r="AQ63" s="131"/>
    </row>
    <row r="64" spans="1:47" ht="14.65" customHeight="1">
      <c r="A64" s="48" t="s">
        <v>193</v>
      </c>
      <c r="B64" s="343">
        <v>0.1</v>
      </c>
      <c r="C64" s="343">
        <v>0.1</v>
      </c>
      <c r="D64" s="203">
        <f>($B$62*B64+$C$62*C64)/$D$62</f>
        <v>0.1</v>
      </c>
      <c r="E64" s="26"/>
      <c r="F64" s="343">
        <v>0.05</v>
      </c>
      <c r="G64" s="343">
        <v>0.05</v>
      </c>
      <c r="H64" s="211">
        <f>($F$62*F64+$G$62*G64)/$H$62</f>
        <v>0.05</v>
      </c>
      <c r="AF64" s="1014" t="s">
        <v>254</v>
      </c>
      <c r="AG64" s="1015"/>
      <c r="AH64" s="1015"/>
      <c r="AI64" s="1015"/>
      <c r="AJ64" s="1015"/>
      <c r="AK64" s="1015"/>
      <c r="AL64" s="1015"/>
      <c r="AM64" s="1015"/>
      <c r="AN64" s="1015"/>
      <c r="AO64" s="1015"/>
      <c r="AP64" s="1016"/>
    </row>
    <row r="65" spans="1:43" ht="14.65" customHeight="1">
      <c r="A65" s="43"/>
      <c r="H65" s="45"/>
      <c r="W65" s="240"/>
      <c r="X65" s="240"/>
      <c r="Y65" s="261">
        <f>$Y$15*$AE65</f>
        <v>1145517.5999999999</v>
      </c>
      <c r="Z65" s="250"/>
      <c r="AA65" s="250"/>
      <c r="AB65" s="256"/>
      <c r="AC65" s="20" t="s">
        <v>83</v>
      </c>
      <c r="AD65" s="128" t="s">
        <v>84</v>
      </c>
      <c r="AE65" s="138">
        <f>100%-H64</f>
        <v>0.95</v>
      </c>
      <c r="AF65" s="274"/>
      <c r="AG65" s="261"/>
      <c r="AH65" s="261"/>
      <c r="AI65" s="261" t="s">
        <v>159</v>
      </c>
      <c r="AJ65" s="278">
        <f>($F$68+$F$70+$F$72+$F$75-$F$77)/$B$25*$B$24</f>
        <v>17697.414989293364</v>
      </c>
      <c r="AK65" s="278">
        <f>($F$68+$F$70+$F$72+$F$75-$F$77)/$B$25*($E$24+$H$24)</f>
        <v>9820.9850107066377</v>
      </c>
      <c r="AL65" s="278"/>
      <c r="AM65" s="278">
        <f>SUM(AJ65:AK65)</f>
        <v>27518.400000000001</v>
      </c>
      <c r="AN65" s="25"/>
      <c r="AO65" s="24"/>
      <c r="AP65" s="270"/>
      <c r="AQ65" s="131"/>
    </row>
    <row r="66" spans="1:43" ht="14.65" customHeight="1">
      <c r="A66" s="48"/>
      <c r="B66" s="1017" t="s">
        <v>18</v>
      </c>
      <c r="C66" s="1017"/>
      <c r="D66" s="1017"/>
      <c r="F66" s="1017" t="s">
        <v>47</v>
      </c>
      <c r="G66" s="1017"/>
      <c r="H66" s="1018"/>
      <c r="W66" s="269"/>
      <c r="X66" s="269"/>
      <c r="Y66" s="262">
        <f>$Y$15*$AE66</f>
        <v>60290.400000000001</v>
      </c>
      <c r="Z66" s="250"/>
      <c r="AA66" s="250"/>
      <c r="AB66" s="256"/>
      <c r="AC66" s="20" t="s">
        <v>85</v>
      </c>
      <c r="AD66" s="128" t="s">
        <v>86</v>
      </c>
      <c r="AE66" s="138">
        <f>H64</f>
        <v>0.05</v>
      </c>
      <c r="AF66" s="274"/>
      <c r="AG66" s="261"/>
      <c r="AH66" s="261"/>
      <c r="AI66" s="261" t="s">
        <v>109</v>
      </c>
      <c r="AJ66" s="279">
        <v>0</v>
      </c>
      <c r="AK66" s="279">
        <f>($F$69+$F$71+$F$73)/$E$24*($E$24+$H$24)</f>
        <v>13103.999999999998</v>
      </c>
      <c r="AL66" s="279"/>
      <c r="AM66" s="279">
        <f>SUM(AJ66:AK66)</f>
        <v>13103.999999999998</v>
      </c>
      <c r="AN66" s="25"/>
      <c r="AO66" s="24"/>
      <c r="AP66" s="270"/>
      <c r="AQ66" s="131"/>
    </row>
    <row r="67" spans="1:43" ht="14.65" customHeight="1" thickBot="1">
      <c r="A67" s="48"/>
      <c r="B67" s="83" t="s">
        <v>48</v>
      </c>
      <c r="C67" s="83" t="s">
        <v>49</v>
      </c>
      <c r="D67" s="84" t="s">
        <v>50</v>
      </c>
      <c r="E67" s="52"/>
      <c r="F67" s="83" t="s">
        <v>48</v>
      </c>
      <c r="G67" s="83" t="s">
        <v>49</v>
      </c>
      <c r="H67" s="85" t="s">
        <v>50</v>
      </c>
      <c r="I67" s="52"/>
      <c r="W67" s="235"/>
      <c r="X67" s="235"/>
      <c r="Y67" s="24">
        <f>SUM(Y65:Y66)</f>
        <v>1205807.9999999998</v>
      </c>
      <c r="Z67" s="268"/>
      <c r="AA67" s="268"/>
      <c r="AB67" s="256" t="s">
        <v>19</v>
      </c>
      <c r="AC67" s="130" t="s">
        <v>22</v>
      </c>
      <c r="AD67" s="257" t="s">
        <v>107</v>
      </c>
      <c r="AE67" s="138"/>
      <c r="AF67" s="271">
        <f>$AN$67*AO67*$B$24</f>
        <v>581602.031343212</v>
      </c>
      <c r="AG67" s="272">
        <f>$AN$67*AP67*($E$24+$H$24)</f>
        <v>753399.17489678797</v>
      </c>
      <c r="AH67" s="272"/>
      <c r="AI67" s="273">
        <f>SUM(AF67:AG67)</f>
        <v>1335001.20624</v>
      </c>
      <c r="AJ67" s="280">
        <f>SUM(AJ65:AJ66)</f>
        <v>17697.414989293364</v>
      </c>
      <c r="AK67" s="280">
        <f>SUM(AK65:AK66)</f>
        <v>22924.985010706638</v>
      </c>
      <c r="AL67" s="280"/>
      <c r="AM67" s="280">
        <f>SUM(AM65:AM66)</f>
        <v>40622.400000000001</v>
      </c>
      <c r="AN67" s="277">
        <f>$AN$15</f>
        <v>32.863671428571429</v>
      </c>
      <c r="AO67" s="275">
        <f>AJ67/$B$24</f>
        <v>0.19641970021413277</v>
      </c>
      <c r="AP67" s="276">
        <f>AK67/($E$24+$H$24)</f>
        <v>0.45849970021413278</v>
      </c>
    </row>
    <row r="68" spans="1:43" ht="14.65" customHeight="1">
      <c r="A68" s="48" t="s">
        <v>195</v>
      </c>
      <c r="B68" s="49">
        <f>$D$150*$D$151*B$62</f>
        <v>54600</v>
      </c>
      <c r="C68" s="86">
        <f>B$63</f>
        <v>29.172000000000001</v>
      </c>
      <c r="D68" s="87">
        <f>B68*C68</f>
        <v>1592791.2</v>
      </c>
      <c r="F68" s="49">
        <f>$D$150*$D$151*F$62</f>
        <v>26208</v>
      </c>
      <c r="G68" s="86">
        <f>F$63</f>
        <v>32.099400000000003</v>
      </c>
      <c r="H68" s="88">
        <f>F68*G68</f>
        <v>841261.07520000008</v>
      </c>
      <c r="I68" s="26"/>
      <c r="W68"/>
      <c r="X68"/>
      <c r="Y68"/>
      <c r="Z68" s="131"/>
      <c r="AA68" s="131"/>
      <c r="AB68" s="146"/>
      <c r="AC68" s="131"/>
      <c r="AD68" s="132"/>
      <c r="AE68"/>
      <c r="AF68" s="260" t="s">
        <v>398</v>
      </c>
      <c r="AG68" s="131"/>
      <c r="AH68" s="131"/>
      <c r="AI68" s="131"/>
      <c r="AJ68" s="162"/>
    </row>
    <row r="69" spans="1:43" ht="14.65" customHeight="1">
      <c r="A69" s="48" t="s">
        <v>196</v>
      </c>
      <c r="B69" s="49">
        <f>$D$150*$D$151*C$62</f>
        <v>43680</v>
      </c>
      <c r="C69" s="205">
        <f>C$63</f>
        <v>29.172000000000001</v>
      </c>
      <c r="D69" s="78">
        <f>B69*C69</f>
        <v>1274232.96</v>
      </c>
      <c r="F69" s="49">
        <f>$D$150*$D$151*G$62</f>
        <v>8736</v>
      </c>
      <c r="G69" s="205">
        <f>G$63</f>
        <v>32.099400000000003</v>
      </c>
      <c r="H69" s="79">
        <f>F69*G69</f>
        <v>280420.35840000003</v>
      </c>
      <c r="I69" s="26"/>
      <c r="W69" s="240"/>
      <c r="X69" s="240"/>
      <c r="Y69" s="261">
        <f t="shared" ref="Y69:Y74" si="58">$Y$16*$AE69</f>
        <v>152926.99688676081</v>
      </c>
      <c r="Z69" s="250"/>
      <c r="AA69" s="250"/>
      <c r="AB69" s="159"/>
      <c r="AC69" s="20" t="s">
        <v>87</v>
      </c>
      <c r="AD69" s="128" t="s">
        <v>88</v>
      </c>
      <c r="AE69" s="138">
        <f t="shared" ref="AE69:AE74" si="59">AF69/$AF$75</f>
        <v>8.8696471435533455E-2</v>
      </c>
      <c r="AF69" s="143">
        <v>113854.1</v>
      </c>
      <c r="AG69" s="133"/>
      <c r="AH69" s="133"/>
      <c r="AI69" s="133"/>
      <c r="AJ69" s="143"/>
      <c r="AN69" s="240"/>
      <c r="AO69" s="240"/>
    </row>
    <row r="70" spans="1:43" ht="14.65" customHeight="1">
      <c r="A70" s="48" t="s">
        <v>197</v>
      </c>
      <c r="B70" s="49">
        <f>B68*B64</f>
        <v>5460</v>
      </c>
      <c r="C70" s="89">
        <f>B63*D152</f>
        <v>43.758000000000003</v>
      </c>
      <c r="D70" s="78">
        <f>B70*C70</f>
        <v>238918.68000000002</v>
      </c>
      <c r="F70" s="49">
        <f>F68*F64</f>
        <v>1310.4000000000001</v>
      </c>
      <c r="G70" s="89">
        <f>F63*D152</f>
        <v>48.149100000000004</v>
      </c>
      <c r="H70" s="79">
        <f>F70*G70</f>
        <v>63094.580640000007</v>
      </c>
      <c r="I70" s="26"/>
      <c r="W70" s="240"/>
      <c r="X70" s="240"/>
      <c r="Y70" s="261">
        <f t="shared" si="58"/>
        <v>143396.26073479431</v>
      </c>
      <c r="Z70" s="250"/>
      <c r="AA70" s="250"/>
      <c r="AB70" s="159"/>
      <c r="AC70" s="20" t="s">
        <v>89</v>
      </c>
      <c r="AD70" s="128" t="s">
        <v>90</v>
      </c>
      <c r="AE70" s="138">
        <f t="shared" si="59"/>
        <v>8.3168718428728125E-2</v>
      </c>
      <c r="AF70" s="143">
        <v>106758.47</v>
      </c>
      <c r="AG70" s="133"/>
      <c r="AH70" s="133"/>
      <c r="AI70" s="133"/>
      <c r="AJ70" s="143"/>
      <c r="AN70" s="240"/>
      <c r="AO70" s="240"/>
    </row>
    <row r="71" spans="1:43" ht="14.65" customHeight="1">
      <c r="A71" s="48" t="s">
        <v>198</v>
      </c>
      <c r="B71" s="49">
        <f>B69*C64</f>
        <v>4368</v>
      </c>
      <c r="C71" s="89">
        <f>C63*D152</f>
        <v>43.758000000000003</v>
      </c>
      <c r="D71" s="78">
        <f>B71*C71</f>
        <v>191134.94400000002</v>
      </c>
      <c r="F71" s="49">
        <f>F69*G64</f>
        <v>436.8</v>
      </c>
      <c r="G71" s="89">
        <f>G63*D152</f>
        <v>48.149100000000004</v>
      </c>
      <c r="H71" s="79">
        <f>F71*G71</f>
        <v>21031.526880000001</v>
      </c>
      <c r="I71" s="26"/>
      <c r="W71" s="240"/>
      <c r="X71" s="240"/>
      <c r="Y71" s="261">
        <f t="shared" si="58"/>
        <v>142313.82910535688</v>
      </c>
      <c r="Z71" s="250"/>
      <c r="AA71" s="250"/>
      <c r="AB71" s="159"/>
      <c r="AC71" s="20" t="s">
        <v>91</v>
      </c>
      <c r="AD71" s="128" t="s">
        <v>92</v>
      </c>
      <c r="AE71" s="138">
        <f t="shared" si="59"/>
        <v>8.2540916483644436E-2</v>
      </c>
      <c r="AF71" s="143">
        <v>105952.6</v>
      </c>
      <c r="AG71" s="133"/>
      <c r="AH71" s="133"/>
      <c r="AI71" s="133"/>
      <c r="AJ71" s="143"/>
      <c r="AN71" s="240"/>
      <c r="AO71" s="240"/>
    </row>
    <row r="72" spans="1:43" ht="14.65" customHeight="1">
      <c r="A72" s="48" t="s">
        <v>199</v>
      </c>
      <c r="B72" s="49">
        <v>0</v>
      </c>
      <c r="C72" s="90"/>
      <c r="D72" s="685">
        <f>96*(35.78*1.02)*12*1.5</f>
        <v>63064.39680000001</v>
      </c>
      <c r="F72" s="49">
        <v>0</v>
      </c>
      <c r="G72" s="89"/>
      <c r="H72" s="79">
        <v>0</v>
      </c>
      <c r="I72" s="26"/>
      <c r="W72" s="240"/>
      <c r="X72" s="240"/>
      <c r="Y72" s="261">
        <f t="shared" si="58"/>
        <v>860260.64024811646</v>
      </c>
      <c r="Z72" s="250"/>
      <c r="AA72" s="250"/>
      <c r="AB72" s="159"/>
      <c r="AC72" s="20" t="s">
        <v>93</v>
      </c>
      <c r="AD72" s="128" t="s">
        <v>94</v>
      </c>
      <c r="AE72" s="138">
        <f t="shared" si="59"/>
        <v>0.49894449546655822</v>
      </c>
      <c r="AF72" s="143">
        <v>640463.77</v>
      </c>
      <c r="AG72" s="133"/>
      <c r="AH72" s="133"/>
      <c r="AI72" s="133"/>
      <c r="AJ72" s="143"/>
      <c r="AN72" s="240"/>
      <c r="AO72" s="240"/>
    </row>
    <row r="73" spans="1:43" ht="14.65" customHeight="1">
      <c r="A73" s="48" t="s">
        <v>200</v>
      </c>
      <c r="B73" s="170">
        <v>0</v>
      </c>
      <c r="C73" s="177"/>
      <c r="D73" s="178">
        <v>0</v>
      </c>
      <c r="E73" s="163"/>
      <c r="F73" s="170">
        <v>0</v>
      </c>
      <c r="G73" s="177"/>
      <c r="H73" s="194">
        <v>0</v>
      </c>
      <c r="I73" s="26"/>
      <c r="W73" s="240"/>
      <c r="X73" s="240"/>
      <c r="Y73" s="261">
        <f t="shared" si="58"/>
        <v>393466.13370174629</v>
      </c>
      <c r="Z73" s="250"/>
      <c r="AA73" s="250"/>
      <c r="AB73" s="159"/>
      <c r="AC73" s="20" t="s">
        <v>95</v>
      </c>
      <c r="AD73" s="128" t="s">
        <v>96</v>
      </c>
      <c r="AE73" s="138">
        <f t="shared" si="59"/>
        <v>0.22820730413328355</v>
      </c>
      <c r="AF73" s="143">
        <v>292935.40999999997</v>
      </c>
      <c r="AG73" s="133"/>
      <c r="AH73" s="133"/>
      <c r="AI73" s="133"/>
      <c r="AJ73" s="143"/>
      <c r="AN73" s="240"/>
      <c r="AO73" s="240"/>
    </row>
    <row r="74" spans="1:43" ht="14.65" customHeight="1">
      <c r="A74" s="176" t="s">
        <v>161</v>
      </c>
      <c r="B74" s="49">
        <f>SUM(B68:B73)</f>
        <v>108108</v>
      </c>
      <c r="C74" s="80">
        <f>D74/B74</f>
        <v>31.081346253746261</v>
      </c>
      <c r="D74" s="167">
        <f>SUM(D68:D73)</f>
        <v>3360142.1808000007</v>
      </c>
      <c r="E74" s="163"/>
      <c r="F74" s="49">
        <f>SUM(F68:F73)</f>
        <v>36691.200000000004</v>
      </c>
      <c r="G74" s="80">
        <f>H74/F74</f>
        <v>32.863671428571429</v>
      </c>
      <c r="H74" s="91">
        <f>SUM(H68:H73)</f>
        <v>1205807.5411200002</v>
      </c>
      <c r="I74" s="26"/>
      <c r="W74" s="269"/>
      <c r="X74" s="269"/>
      <c r="Y74" s="262">
        <f t="shared" si="58"/>
        <v>31797.139323225183</v>
      </c>
      <c r="Z74" s="250"/>
      <c r="AA74" s="250"/>
      <c r="AB74" s="159"/>
      <c r="AC74" s="20" t="s">
        <v>97</v>
      </c>
      <c r="AD74" s="128" t="s">
        <v>98</v>
      </c>
      <c r="AE74" s="258">
        <f t="shared" si="59"/>
        <v>1.8442094052252188E-2</v>
      </c>
      <c r="AF74" s="161">
        <v>23672.959999999999</v>
      </c>
      <c r="AG74" s="133"/>
      <c r="AH74" s="133"/>
      <c r="AI74" s="133"/>
      <c r="AJ74" s="161"/>
      <c r="AN74" s="240"/>
      <c r="AO74" s="240"/>
    </row>
    <row r="75" spans="1:43" ht="14.65" customHeight="1">
      <c r="A75" s="176" t="s">
        <v>217</v>
      </c>
      <c r="B75" s="170">
        <f>-H84</f>
        <v>-8760</v>
      </c>
      <c r="C75" s="209">
        <f>D75/B75</f>
        <v>29.172031963470321</v>
      </c>
      <c r="D75" s="179">
        <f>ROUND(B75*B63,0)</f>
        <v>-255547</v>
      </c>
      <c r="E75" s="163"/>
      <c r="F75" s="170">
        <v>0</v>
      </c>
      <c r="G75" s="210"/>
      <c r="H75" s="195">
        <v>0</v>
      </c>
      <c r="I75" s="163"/>
      <c r="W75" s="235"/>
      <c r="X75" s="235"/>
      <c r="Y75" s="24">
        <f>SUM(Y69:Y74)</f>
        <v>1724161</v>
      </c>
      <c r="Z75" s="268"/>
      <c r="AA75" s="268"/>
      <c r="AB75" s="256" t="s">
        <v>19</v>
      </c>
      <c r="AC75" s="130" t="s">
        <v>24</v>
      </c>
      <c r="AD75" s="257" t="s">
        <v>107</v>
      </c>
      <c r="AE75" s="138">
        <f>SUM(AE69:AE74)</f>
        <v>0.99999999999999989</v>
      </c>
      <c r="AF75" s="259">
        <f>SUM(AF69:AF74)</f>
        <v>1283637.31</v>
      </c>
      <c r="AG75"/>
      <c r="AH75"/>
      <c r="AI75"/>
      <c r="AJ75" s="160"/>
      <c r="AN75" s="241"/>
      <c r="AO75" s="241"/>
    </row>
    <row r="76" spans="1:43" ht="14.65" customHeight="1">
      <c r="A76" s="176" t="s">
        <v>162</v>
      </c>
      <c r="B76" s="165">
        <f>SUM(B74:B75)</f>
        <v>99348</v>
      </c>
      <c r="C76" s="166">
        <f>D76/B76</f>
        <v>31.249699851028716</v>
      </c>
      <c r="D76" s="169">
        <f>SUM(D74:D75)</f>
        <v>3104595.1808000007</v>
      </c>
      <c r="E76" s="163"/>
      <c r="F76" s="165">
        <f>SUM(F74:F75)</f>
        <v>36691.200000000004</v>
      </c>
      <c r="G76" s="196">
        <f>H76/F76</f>
        <v>32.863671428571429</v>
      </c>
      <c r="H76" s="164">
        <f>SUM(H74:H75)</f>
        <v>1205807.5411200002</v>
      </c>
    </row>
    <row r="77" spans="1:43" ht="14.65" customHeight="1">
      <c r="A77" s="141" t="s">
        <v>163</v>
      </c>
      <c r="B77" s="165">
        <f>H85</f>
        <v>2189.0625</v>
      </c>
      <c r="C77" s="166"/>
      <c r="D77" s="169">
        <f>B77*C76</f>
        <v>68407.546080142551</v>
      </c>
      <c r="E77" s="163"/>
      <c r="F77" s="165">
        <v>0</v>
      </c>
      <c r="G77" s="40"/>
      <c r="H77" s="164">
        <f>F77*G76</f>
        <v>0</v>
      </c>
    </row>
    <row r="78" spans="1:43" ht="14.65" customHeight="1">
      <c r="A78" s="141" t="s">
        <v>164</v>
      </c>
      <c r="B78" s="165">
        <f>B76-B77</f>
        <v>97158.9375</v>
      </c>
      <c r="C78" s="166"/>
      <c r="D78" s="169">
        <f>B78*C76</f>
        <v>3036187.6347198584</v>
      </c>
      <c r="E78" s="163"/>
      <c r="F78" s="165">
        <f>F76-F77</f>
        <v>36691.200000000004</v>
      </c>
      <c r="G78" s="196"/>
      <c r="H78" s="197">
        <f>F78*G76</f>
        <v>1205807.5411200002</v>
      </c>
    </row>
    <row r="79" spans="1:43" ht="14.65" customHeight="1" thickBot="1">
      <c r="A79" s="48"/>
      <c r="B79" s="59"/>
      <c r="H79" s="45"/>
    </row>
    <row r="80" spans="1:43" ht="14.65" customHeight="1">
      <c r="A80" s="48" t="str">
        <f>CONCATENATE("Indirect Payroll Cost (IPC) at ",$D$153*100,"% (NIRO)")</f>
        <v>Indirect Payroll Cost (IPC) at 40% (NIRO)</v>
      </c>
      <c r="B80" s="49">
        <f>B68+B70+B72</f>
        <v>60060</v>
      </c>
      <c r="C80" s="80">
        <f>D80/B80</f>
        <v>18.642223993606397</v>
      </c>
      <c r="D80" s="204">
        <f>((D68+D70+D72)*$D$153)+((H68+H70+H72)*$D$153)</f>
        <v>1119651.9730560002</v>
      </c>
      <c r="E80" s="1019" t="s">
        <v>300</v>
      </c>
      <c r="F80" s="1019"/>
      <c r="G80" s="1019"/>
      <c r="H80" s="357">
        <f>B63*(1+D153)*H83</f>
        <v>447168.47175000003</v>
      </c>
      <c r="AF80" s="1014" t="s">
        <v>255</v>
      </c>
      <c r="AG80" s="1015"/>
      <c r="AH80" s="1015"/>
      <c r="AI80" s="1015"/>
      <c r="AJ80" s="1015"/>
      <c r="AK80" s="1015"/>
      <c r="AL80" s="1015"/>
      <c r="AM80" s="1015"/>
      <c r="AN80" s="1015"/>
      <c r="AO80" s="1015"/>
      <c r="AP80" s="1016"/>
    </row>
    <row r="81" spans="1:42" ht="14.65" customHeight="1">
      <c r="A81" s="48" t="str">
        <f>CONCATENATE("Indirect Payroll Cost (IPC) at ",$D$153*100,"% (KS)")</f>
        <v>Indirect Payroll Cost (IPC) at 40% (KS)</v>
      </c>
      <c r="B81" s="170">
        <f>B69+B71+B73</f>
        <v>48048</v>
      </c>
      <c r="C81" s="209">
        <f>D81/B81</f>
        <v>14.708789454545457</v>
      </c>
      <c r="D81" s="179">
        <f>((D69+D71+D73)*$D$153)+((H69+H71+H73)*$D$153)</f>
        <v>706727.9157120001</v>
      </c>
      <c r="E81" s="1019" t="s">
        <v>301</v>
      </c>
      <c r="F81" s="1022"/>
      <c r="G81" s="356">
        <v>0.2</v>
      </c>
      <c r="H81" s="292">
        <f>B25*G81*1000</f>
        <v>28020000</v>
      </c>
      <c r="AF81" s="274"/>
      <c r="AG81" s="261"/>
      <c r="AH81" s="261"/>
      <c r="AI81" s="261" t="s">
        <v>159</v>
      </c>
      <c r="AJ81" s="278">
        <f>($B$68+$B$70+$B$72+$B$75-$B$77)/$B$25*$B$24</f>
        <v>31583.836322269806</v>
      </c>
      <c r="AK81" s="278">
        <f>($B$68+$B$70+$B$72+$B$75-$B$77)/$B$25*($E$24+$H$24)</f>
        <v>17527.101177730194</v>
      </c>
      <c r="AL81" s="278"/>
      <c r="AM81" s="278">
        <f>SUM(AJ81:AK81)</f>
        <v>49110.9375</v>
      </c>
      <c r="AN81" s="25"/>
      <c r="AO81" s="24"/>
      <c r="AP81" s="270"/>
    </row>
    <row r="82" spans="1:42" ht="14.65" customHeight="1">
      <c r="A82" s="176" t="str">
        <f>CONCATENATE("Total IPC at ",$D$153*100,"% (KS)")</f>
        <v>Total IPC at 40% (KS)</v>
      </c>
      <c r="B82" s="49">
        <f>SUM(B80:B81)</f>
        <v>108108</v>
      </c>
      <c r="C82" s="80">
        <f>D82/B82</f>
        <v>16.894030865134869</v>
      </c>
      <c r="D82" s="207">
        <f>SUM(D80:D81)</f>
        <v>1826379.8887680003</v>
      </c>
      <c r="E82" s="293" t="s">
        <v>158</v>
      </c>
      <c r="F82" s="294" t="s">
        <v>50</v>
      </c>
      <c r="G82" s="294" t="s">
        <v>52</v>
      </c>
      <c r="H82" s="295" t="s">
        <v>53</v>
      </c>
      <c r="AF82" s="274"/>
      <c r="AG82" s="261"/>
      <c r="AH82" s="261"/>
      <c r="AI82" s="261" t="s">
        <v>109</v>
      </c>
      <c r="AJ82" s="279">
        <v>0</v>
      </c>
      <c r="AK82" s="279">
        <f>($B$69+$B$71+$B$73)/($E$24+$H$24)*($E$24+$H$24)</f>
        <v>48048</v>
      </c>
      <c r="AL82" s="279"/>
      <c r="AM82" s="279">
        <f>SUM(AJ82:AK82)</f>
        <v>48048</v>
      </c>
      <c r="AN82" s="25"/>
      <c r="AO82" s="24"/>
      <c r="AP82" s="270"/>
    </row>
    <row r="83" spans="1:42" ht="14.65" customHeight="1" thickBot="1">
      <c r="A83" s="176" t="s">
        <v>201</v>
      </c>
      <c r="B83" s="147">
        <f>B75</f>
        <v>-8760</v>
      </c>
      <c r="C83" s="208">
        <f>D83/B83</f>
        <v>11.668835616438356</v>
      </c>
      <c r="D83" s="168">
        <f>ROUND(B83*$B$63*D153,0)</f>
        <v>-102219</v>
      </c>
      <c r="E83" s="298" t="s">
        <v>151</v>
      </c>
      <c r="F83" s="296">
        <f>SUM(F84:F85)</f>
        <v>323954.26608014258</v>
      </c>
      <c r="G83" s="296">
        <f>SUM(G84:G85)</f>
        <v>140209.34654942929</v>
      </c>
      <c r="H83" s="297">
        <f>SUM(H84:H85)</f>
        <v>10949.0625</v>
      </c>
      <c r="AF83" s="271">
        <f>$AN$83*AO83*$B$24</f>
        <v>548129.96038277342</v>
      </c>
      <c r="AG83" s="272">
        <f>$AN$83*AP83*($E$24+$H$24)</f>
        <v>1138040.2698357981</v>
      </c>
      <c r="AH83" s="272"/>
      <c r="AI83" s="273">
        <f>SUM(AF83:AG83)</f>
        <v>1686170.2302185716</v>
      </c>
      <c r="AJ83" s="280">
        <f>SUM(AJ81:AJ82)</f>
        <v>31583.836322269806</v>
      </c>
      <c r="AK83" s="280">
        <f>SUM(AK81:AK82)</f>
        <v>65575.10117773019</v>
      </c>
      <c r="AL83" s="280"/>
      <c r="AM83" s="280">
        <f>SUM(AM81:AM82)</f>
        <v>97158.9375</v>
      </c>
      <c r="AN83" s="277">
        <f>$AN$16</f>
        <v>17.354761935499464</v>
      </c>
      <c r="AO83" s="275">
        <f>AJ83/$B$24</f>
        <v>0.35054202355460384</v>
      </c>
      <c r="AP83" s="276">
        <f>AK83/($E$24+$H$24)</f>
        <v>1.3115020235546038</v>
      </c>
    </row>
    <row r="84" spans="1:42" ht="14.65" customHeight="1">
      <c r="A84" s="176" t="s">
        <v>165</v>
      </c>
      <c r="B84" s="165">
        <f>SUM(B82:B83)</f>
        <v>99348</v>
      </c>
      <c r="C84" s="166">
        <f>D84/B84</f>
        <v>17.354761935499461</v>
      </c>
      <c r="D84" s="169">
        <f>SUM(D82:D83)</f>
        <v>1724160.8887680003</v>
      </c>
      <c r="E84" s="298" t="s">
        <v>54</v>
      </c>
      <c r="F84" s="296">
        <f>$H84*$B$63</f>
        <v>255546.72</v>
      </c>
      <c r="G84" s="296">
        <f>$H84*$B$63*$D$153</f>
        <v>102218.68800000001</v>
      </c>
      <c r="H84" s="297">
        <f>1*365*24</f>
        <v>8760</v>
      </c>
    </row>
    <row r="85" spans="1:42" ht="14.65" customHeight="1">
      <c r="A85" s="141" t="s">
        <v>166</v>
      </c>
      <c r="B85" s="165">
        <f>H85</f>
        <v>2189.0625</v>
      </c>
      <c r="C85" s="166"/>
      <c r="D85" s="169">
        <f>B85*C84</f>
        <v>37990.658549429289</v>
      </c>
      <c r="E85" s="298" t="s">
        <v>55</v>
      </c>
      <c r="F85" s="296">
        <f>$H85*$C$76</f>
        <v>68407.546080142551</v>
      </c>
      <c r="G85" s="296">
        <f>$H85*$C$84</f>
        <v>37990.658549429289</v>
      </c>
      <c r="H85" s="297">
        <f>H81/12800</f>
        <v>2189.0625</v>
      </c>
    </row>
    <row r="86" spans="1:42" ht="14.65" customHeight="1">
      <c r="A86" s="141" t="s">
        <v>167</v>
      </c>
      <c r="B86" s="165">
        <f>B84-B85</f>
        <v>97158.9375</v>
      </c>
      <c r="C86" s="196"/>
      <c r="D86" s="169">
        <f>B86*C84</f>
        <v>1686170.2302185711</v>
      </c>
      <c r="E86" s="26"/>
      <c r="F86" s="26"/>
      <c r="G86" s="26"/>
      <c r="H86" s="77"/>
    </row>
    <row r="87" spans="1:42" ht="14.65" customHeight="1">
      <c r="A87" s="48"/>
      <c r="B87" s="26"/>
      <c r="C87" s="26"/>
      <c r="D87" s="299"/>
      <c r="E87" s="1009" t="s">
        <v>473</v>
      </c>
      <c r="F87" s="1009"/>
      <c r="G87" s="1009" t="s">
        <v>474</v>
      </c>
      <c r="H87" s="1010"/>
    </row>
    <row r="88" spans="1:42" ht="14.65" customHeight="1">
      <c r="A88" s="48"/>
      <c r="B88" s="26"/>
      <c r="C88" s="26"/>
      <c r="D88" s="299"/>
      <c r="E88" s="199" t="s">
        <v>53</v>
      </c>
      <c r="F88" s="199" t="s">
        <v>273</v>
      </c>
      <c r="G88" s="199" t="s">
        <v>53</v>
      </c>
      <c r="H88" s="305" t="s">
        <v>273</v>
      </c>
    </row>
    <row r="89" spans="1:42" ht="14.65" customHeight="1">
      <c r="A89" s="48" t="s">
        <v>274</v>
      </c>
      <c r="B89" s="26"/>
      <c r="C89" s="26"/>
      <c r="D89" s="299"/>
      <c r="E89" s="49">
        <f>IF(AND($B$132&lt;&gt;0,$C$132&lt;&gt;0),$B$78/$D$132*$B$132,IF(AND($B$132&lt;&gt;0,$C$132=0),$B$78,0))</f>
        <v>62484.084716274097</v>
      </c>
      <c r="F89" s="102">
        <f>E89*$C$76</f>
        <v>1952608.8928498162</v>
      </c>
      <c r="G89" s="49">
        <f>IF(AND($B$132&lt;&gt;0,$C$132&lt;&gt;0),$B$78/$D$132*$C$132,IF(AND($B$132=0,$C$132&lt;&gt;0),$B$78,0))</f>
        <v>34674.85278372591</v>
      </c>
      <c r="H89" s="303">
        <f>G89*$C$76</f>
        <v>1083578.7418700422</v>
      </c>
    </row>
    <row r="90" spans="1:42" ht="14.65" customHeight="1">
      <c r="A90" s="48" t="s">
        <v>275</v>
      </c>
      <c r="B90" s="26"/>
      <c r="C90" s="26"/>
      <c r="D90" s="299"/>
      <c r="E90" s="49">
        <f>IF(AND($B$132&lt;&gt;0,$C$132&lt;&gt;0),$F$78/$D$132*$B$132,IF(AND($B$132&lt;&gt;0,$C$132=0),$F$78,0))</f>
        <v>23596.553319057817</v>
      </c>
      <c r="F90" s="102">
        <f>E90*$G$76</f>
        <v>775469.37512428267</v>
      </c>
      <c r="G90" s="49">
        <f>IF(AND($B$132&lt;&gt;0,$C$132&lt;&gt;0),$F$78/$D$132*$C$132,IF(AND($B$132=0,$C$132&lt;&gt;0),$F$78,0))</f>
        <v>13094.646680942185</v>
      </c>
      <c r="H90" s="303">
        <f>G90*$G$76</f>
        <v>430338.1659957174</v>
      </c>
    </row>
    <row r="91" spans="1:42" ht="14.65" customHeight="1">
      <c r="A91" s="112" t="s">
        <v>276</v>
      </c>
      <c r="B91" s="113"/>
      <c r="C91" s="113"/>
      <c r="D91" s="300"/>
      <c r="E91" s="170">
        <f>(E89+E90)/($B$78+$F$78)*$B$86</f>
        <v>62484.08471627409</v>
      </c>
      <c r="F91" s="302">
        <f>E91*$C$84</f>
        <v>1084396.4150085172</v>
      </c>
      <c r="G91" s="170">
        <f>(G89+G90)/($B$78+$F$78)*$B$86</f>
        <v>34674.852783725903</v>
      </c>
      <c r="H91" s="304">
        <f>G91*$C$84</f>
        <v>601773.81521005381</v>
      </c>
    </row>
    <row r="92" spans="1:42" ht="14.65" customHeight="1">
      <c r="D92" s="92"/>
      <c r="H92" s="92"/>
    </row>
    <row r="93" spans="1:42" ht="14.65" customHeight="1"/>
    <row r="94" spans="1:42" ht="14.65" customHeight="1">
      <c r="A94" s="82" t="s">
        <v>56</v>
      </c>
      <c r="B94" s="93"/>
      <c r="C94" s="93"/>
      <c r="D94" s="94"/>
      <c r="E94" s="94"/>
      <c r="F94" s="93"/>
      <c r="G94" s="93"/>
      <c r="H94" s="95"/>
    </row>
    <row r="95" spans="1:42" ht="15">
      <c r="A95" s="48"/>
      <c r="B95" s="147" t="s">
        <v>8</v>
      </c>
      <c r="C95" s="213" t="s">
        <v>207</v>
      </c>
      <c r="D95" s="213" t="s">
        <v>213</v>
      </c>
      <c r="F95" s="147" t="s">
        <v>5</v>
      </c>
      <c r="G95" s="213" t="s">
        <v>6</v>
      </c>
      <c r="H95" s="214" t="s">
        <v>214</v>
      </c>
    </row>
    <row r="96" spans="1:42" ht="15">
      <c r="A96" s="48"/>
      <c r="B96" s="49" t="s">
        <v>202</v>
      </c>
      <c r="C96" s="49">
        <f>IF(($B$109*$B$24+$F$109*$E$24+$F$109*$H$24)*1000&lt;=240000,($B$109*$B$24+$F$109*$E$24+$F$109*$H$24)*1000,240000)</f>
        <v>240000</v>
      </c>
      <c r="D96" s="347">
        <v>5.23</v>
      </c>
      <c r="F96" s="49" t="s">
        <v>159</v>
      </c>
      <c r="G96" s="49">
        <f>(B102*$B$24+F102*$E$24+F102*$H$24)*1000</f>
        <v>10768400.000000002</v>
      </c>
      <c r="H96" s="349">
        <v>0.1</v>
      </c>
    </row>
    <row r="97" spans="1:41" ht="16.5">
      <c r="A97" s="48"/>
      <c r="B97" s="49" t="s">
        <v>203</v>
      </c>
      <c r="C97" s="147">
        <f>IF(C96&gt;=240000,(((B106+B107+B108)*$B$24*1000)+((F106+F107+F108)*($E$24+$H$24)*1000))-240000,0)</f>
        <v>327479.99999999988</v>
      </c>
      <c r="D97" s="347">
        <v>3.06</v>
      </c>
      <c r="F97" s="49" t="s">
        <v>109</v>
      </c>
      <c r="G97" s="147">
        <f>(B103*$B$24+F103*$E$24+F103*$H$24)*1000</f>
        <v>33450000</v>
      </c>
      <c r="H97" s="349">
        <v>6.5000000000000002E-2</v>
      </c>
    </row>
    <row r="98" spans="1:41">
      <c r="A98" s="48"/>
      <c r="B98" s="49"/>
      <c r="C98" s="49">
        <f>SUM(C96:C97)</f>
        <v>567479.99999999988</v>
      </c>
      <c r="D98" s="80">
        <f>(C96*D96+C97*D97)/C98</f>
        <v>3.977741594417425</v>
      </c>
      <c r="F98" s="49"/>
      <c r="G98" s="49">
        <f>SUM(G96:G97)</f>
        <v>44218400</v>
      </c>
      <c r="H98" s="173">
        <f>(G96*H96+G97*H97)/G98</f>
        <v>7.3523465344743369E-2</v>
      </c>
    </row>
    <row r="99" spans="1:41">
      <c r="A99" s="43"/>
      <c r="C99" s="359"/>
      <c r="G99" s="359"/>
      <c r="H99" s="96"/>
    </row>
    <row r="100" spans="1:41">
      <c r="A100" s="48"/>
      <c r="B100" s="1023" t="s">
        <v>194</v>
      </c>
      <c r="C100" s="1023"/>
      <c r="D100" s="1023"/>
      <c r="F100" s="1023" t="s">
        <v>285</v>
      </c>
      <c r="G100" s="1023"/>
      <c r="H100" s="1024"/>
    </row>
    <row r="101" spans="1:41" ht="26.25">
      <c r="A101" s="48"/>
      <c r="B101" s="97" t="s">
        <v>152</v>
      </c>
      <c r="C101" s="13" t="s">
        <v>215</v>
      </c>
      <c r="D101" s="97" t="s">
        <v>153</v>
      </c>
      <c r="F101" s="97" t="s">
        <v>152</v>
      </c>
      <c r="G101" s="13" t="s">
        <v>215</v>
      </c>
      <c r="H101" s="101" t="s">
        <v>153</v>
      </c>
      <c r="AD101"/>
      <c r="AE101"/>
      <c r="AF101"/>
      <c r="AG101"/>
      <c r="AH101"/>
      <c r="AI101"/>
      <c r="AJ101" s="136"/>
    </row>
    <row r="102" spans="1:41" ht="15">
      <c r="A102" s="48" t="s">
        <v>204</v>
      </c>
      <c r="B102" s="350">
        <v>8.4000000000000005E-2</v>
      </c>
      <c r="C102" s="172">
        <f>$H$98</f>
        <v>7.3523465344743369E-2</v>
      </c>
      <c r="D102" s="174">
        <f>B102*C102</f>
        <v>6.1759710889584436E-3</v>
      </c>
      <c r="F102" s="350">
        <f>0.064</f>
        <v>6.4000000000000001E-2</v>
      </c>
      <c r="G102" s="172">
        <f>$H$98</f>
        <v>7.3523465344743369E-2</v>
      </c>
      <c r="H102" s="175">
        <f>F102*G102</f>
        <v>4.7055017820635753E-3</v>
      </c>
      <c r="AB102" s="97"/>
      <c r="AD102"/>
      <c r="AE102"/>
      <c r="AF102"/>
      <c r="AG102"/>
      <c r="AH102"/>
      <c r="AI102"/>
      <c r="AJ102" s="136"/>
    </row>
    <row r="103" spans="1:41" ht="15">
      <c r="A103" s="48" t="s">
        <v>205</v>
      </c>
      <c r="B103" s="350">
        <v>0</v>
      </c>
      <c r="C103" s="172">
        <f>$H$98</f>
        <v>7.3523465344743369E-2</v>
      </c>
      <c r="D103" s="174">
        <f>B103*C103</f>
        <v>0</v>
      </c>
      <c r="F103" s="350">
        <f>0.669</f>
        <v>0.66900000000000004</v>
      </c>
      <c r="G103" s="172">
        <f>$H$98</f>
        <v>7.3523465344743369E-2</v>
      </c>
      <c r="H103" s="175">
        <f>F103*G103</f>
        <v>4.918719831563332E-2</v>
      </c>
      <c r="AB103" s="266"/>
      <c r="AD103"/>
      <c r="AE103"/>
      <c r="AF103"/>
      <c r="AG103"/>
      <c r="AH103"/>
      <c r="AI103"/>
      <c r="AJ103" s="136"/>
      <c r="AO103" s="158"/>
    </row>
    <row r="104" spans="1:41" ht="15">
      <c r="A104" s="176" t="s">
        <v>210</v>
      </c>
      <c r="B104" s="222">
        <f>SUM(B102:B103)</f>
        <v>8.4000000000000005E-2</v>
      </c>
      <c r="C104" s="223">
        <f>D104/B104</f>
        <v>7.3523465344743369E-2</v>
      </c>
      <c r="D104" s="224">
        <f>SUM(D102:D103)</f>
        <v>6.1759710889584436E-3</v>
      </c>
      <c r="F104" s="222">
        <f>SUM(F102:F103)</f>
        <v>0.7330000000000001</v>
      </c>
      <c r="G104" s="223">
        <f>H104/F104</f>
        <v>7.3523465344743369E-2</v>
      </c>
      <c r="H104" s="225">
        <f>SUM(H102:H103)</f>
        <v>5.3892700097696894E-2</v>
      </c>
      <c r="AB104" s="266"/>
      <c r="AD104"/>
      <c r="AE104"/>
      <c r="AF104"/>
      <c r="AG104"/>
      <c r="AH104"/>
      <c r="AI104"/>
      <c r="AJ104" s="136"/>
      <c r="AO104" s="158"/>
    </row>
    <row r="105" spans="1:41" ht="15">
      <c r="A105" s="176"/>
      <c r="B105" s="217"/>
      <c r="C105" s="221"/>
      <c r="D105" s="174"/>
      <c r="F105" s="217"/>
      <c r="G105" s="221"/>
      <c r="H105" s="175"/>
      <c r="AB105" s="266"/>
      <c r="AD105"/>
      <c r="AE105"/>
      <c r="AF105"/>
      <c r="AG105"/>
      <c r="AH105"/>
      <c r="AI105"/>
      <c r="AJ105" s="136"/>
    </row>
    <row r="106" spans="1:41" ht="15">
      <c r="A106" s="48" t="s">
        <v>208</v>
      </c>
      <c r="B106" s="350">
        <v>2.3999999999999998E-3</v>
      </c>
      <c r="C106" s="212">
        <f>$D$98</f>
        <v>3.977741594417425</v>
      </c>
      <c r="D106" s="174">
        <f>B106*C106</f>
        <v>9.5465798266018195E-3</v>
      </c>
      <c r="F106" s="350">
        <v>2.3999999999999998E-3</v>
      </c>
      <c r="G106" s="212">
        <f>$D$98</f>
        <v>3.977741594417425</v>
      </c>
      <c r="H106" s="175">
        <f>F106*G106</f>
        <v>9.5465798266018195E-3</v>
      </c>
      <c r="AB106" s="266"/>
      <c r="AD106"/>
      <c r="AE106"/>
      <c r="AF106"/>
      <c r="AG106"/>
      <c r="AH106"/>
      <c r="AI106"/>
      <c r="AJ106" s="136"/>
    </row>
    <row r="107" spans="1:41" ht="15">
      <c r="A107" s="48" t="s">
        <v>206</v>
      </c>
      <c r="B107" s="350">
        <v>2.3999999999999998E-3</v>
      </c>
      <c r="C107" s="212">
        <f>$D$98</f>
        <v>3.977741594417425</v>
      </c>
      <c r="D107" s="174">
        <f>B107*C107</f>
        <v>9.5465798266018195E-3</v>
      </c>
      <c r="F107" s="350">
        <v>0</v>
      </c>
      <c r="G107" s="212">
        <f>$D$98</f>
        <v>3.977741594417425</v>
      </c>
      <c r="H107" s="175">
        <f>F107*G107</f>
        <v>0</v>
      </c>
      <c r="AD107"/>
      <c r="AE107"/>
      <c r="AF107"/>
      <c r="AG107"/>
      <c r="AH107"/>
      <c r="AI107"/>
      <c r="AJ107" s="136"/>
    </row>
    <row r="108" spans="1:41" ht="15">
      <c r="A108" s="48" t="s">
        <v>209</v>
      </c>
      <c r="B108" s="350">
        <v>0</v>
      </c>
      <c r="C108" s="212">
        <f>$D$98</f>
        <v>3.977741594417425</v>
      </c>
      <c r="D108" s="219">
        <f>B108*C108</f>
        <v>0</v>
      </c>
      <c r="F108" s="350">
        <v>2.9999999999999997E-4</v>
      </c>
      <c r="G108" s="212">
        <f>$D$98</f>
        <v>3.977741594417425</v>
      </c>
      <c r="H108" s="220">
        <f>F108*G108</f>
        <v>1.1933224783252274E-3</v>
      </c>
      <c r="AD108"/>
      <c r="AE108"/>
      <c r="AF108"/>
      <c r="AG108"/>
      <c r="AH108"/>
      <c r="AI108"/>
      <c r="AJ108" s="136"/>
    </row>
    <row r="109" spans="1:41" ht="15">
      <c r="A109" s="176" t="s">
        <v>211</v>
      </c>
      <c r="B109" s="228">
        <f>SUM(B106:B108)</f>
        <v>4.7999999999999996E-3</v>
      </c>
      <c r="C109" s="229">
        <f>D109/B109</f>
        <v>3.977741594417425</v>
      </c>
      <c r="D109" s="226">
        <f>SUM(D106:D108)</f>
        <v>1.9093159653203639E-2</v>
      </c>
      <c r="F109" s="222">
        <f>SUM(F106:F108)</f>
        <v>2.6999999999999997E-3</v>
      </c>
      <c r="G109" s="229">
        <f>H109/F109</f>
        <v>3.977741594417425</v>
      </c>
      <c r="H109" s="227">
        <f>SUM(H106:H108)</f>
        <v>1.0739902304927046E-2</v>
      </c>
      <c r="AD109"/>
      <c r="AE109"/>
      <c r="AF109"/>
      <c r="AG109"/>
      <c r="AH109"/>
      <c r="AI109"/>
      <c r="AJ109" s="136"/>
    </row>
    <row r="110" spans="1:41" ht="15">
      <c r="A110" s="176"/>
      <c r="B110" s="124"/>
      <c r="C110" s="212"/>
      <c r="D110" s="230"/>
      <c r="F110" s="217"/>
      <c r="G110" s="212"/>
      <c r="H110" s="231"/>
      <c r="AD110"/>
      <c r="AE110"/>
      <c r="AF110"/>
      <c r="AG110"/>
      <c r="AH110"/>
      <c r="AI110"/>
      <c r="AJ110" s="136"/>
    </row>
    <row r="111" spans="1:41" ht="15.75" thickBot="1">
      <c r="A111" s="141" t="s">
        <v>212</v>
      </c>
      <c r="B111" s="218"/>
      <c r="C111" s="13"/>
      <c r="D111" s="232">
        <f>D104+D109</f>
        <v>2.5269130742162083E-2</v>
      </c>
      <c r="F111" s="218"/>
      <c r="G111" s="13"/>
      <c r="H111" s="233">
        <f>H104+H109</f>
        <v>6.4632602402623945E-2</v>
      </c>
      <c r="AD111"/>
      <c r="AE111"/>
      <c r="AF111"/>
      <c r="AG111"/>
      <c r="AH111"/>
      <c r="AI111"/>
      <c r="AJ111" s="136"/>
    </row>
    <row r="112" spans="1:41" ht="15">
      <c r="A112" s="99"/>
      <c r="B112" s="72"/>
      <c r="C112" s="72"/>
      <c r="D112" s="72"/>
      <c r="E112" s="72"/>
      <c r="F112" s="72"/>
      <c r="G112" s="72"/>
      <c r="H112" s="75"/>
      <c r="AD112"/>
      <c r="AE112"/>
      <c r="AF112"/>
      <c r="AG112"/>
      <c r="AH112"/>
      <c r="AI112"/>
      <c r="AJ112" s="136"/>
    </row>
    <row r="113" spans="1:41" ht="15">
      <c r="AD113"/>
      <c r="AE113"/>
      <c r="AF113"/>
      <c r="AG113"/>
      <c r="AH113"/>
      <c r="AI113"/>
      <c r="AJ113" s="136"/>
    </row>
    <row r="114" spans="1:41" ht="15">
      <c r="G114" s="100"/>
      <c r="AD114"/>
      <c r="AE114"/>
      <c r="AF114"/>
      <c r="AG114"/>
      <c r="AH114"/>
      <c r="AI114"/>
      <c r="AJ114" s="136"/>
    </row>
    <row r="115" spans="1:41" ht="15">
      <c r="A115" s="82" t="s">
        <v>218</v>
      </c>
      <c r="B115" s="93"/>
      <c r="C115" s="93"/>
      <c r="D115" s="93"/>
      <c r="E115" s="93"/>
      <c r="F115" s="93"/>
      <c r="G115" s="93"/>
      <c r="H115" s="148"/>
      <c r="AD115"/>
      <c r="AE115"/>
      <c r="AF115"/>
      <c r="AG115"/>
      <c r="AH115"/>
      <c r="AI115"/>
      <c r="AJ115" s="136"/>
    </row>
    <row r="116" spans="1:41" ht="16.5">
      <c r="A116" s="48"/>
      <c r="B116" s="147" t="s">
        <v>107</v>
      </c>
      <c r="C116" s="147" t="s">
        <v>220</v>
      </c>
      <c r="D116" s="147" t="s">
        <v>219</v>
      </c>
      <c r="E116" s="26"/>
      <c r="F116" s="26"/>
      <c r="G116" s="26"/>
      <c r="H116" s="77"/>
      <c r="AD116"/>
      <c r="AE116"/>
      <c r="AF116"/>
      <c r="AG116"/>
      <c r="AH116"/>
      <c r="AI116"/>
      <c r="AJ116" s="136"/>
    </row>
    <row r="117" spans="1:41" ht="30">
      <c r="A117" s="48" t="s">
        <v>57</v>
      </c>
      <c r="B117" s="87">
        <f>SUM(C117:D117)</f>
        <v>104400000</v>
      </c>
      <c r="C117" s="87">
        <f>37300000+20000000</f>
        <v>57300000</v>
      </c>
      <c r="D117" s="87">
        <f>47100000</f>
        <v>47100000</v>
      </c>
      <c r="E117" s="1009" t="s">
        <v>277</v>
      </c>
      <c r="F117" s="1009"/>
      <c r="G117" s="199" t="s">
        <v>3</v>
      </c>
      <c r="H117" s="308" t="s">
        <v>69</v>
      </c>
      <c r="AD117"/>
      <c r="AE117"/>
      <c r="AF117"/>
      <c r="AG117"/>
      <c r="AH117"/>
      <c r="AI117"/>
      <c r="AJ117" s="136"/>
    </row>
    <row r="118" spans="1:41" ht="16.5">
      <c r="A118" s="48" t="s">
        <v>58</v>
      </c>
      <c r="B118" s="343">
        <v>3.4482760000000001E-2</v>
      </c>
      <c r="E118" s="306" t="s">
        <v>186</v>
      </c>
      <c r="F118" s="306" t="s">
        <v>259</v>
      </c>
      <c r="H118" s="45"/>
      <c r="AD118"/>
      <c r="AE118"/>
      <c r="AF118" s="260" t="s">
        <v>398</v>
      </c>
      <c r="AI118"/>
      <c r="AJ118" s="234"/>
    </row>
    <row r="119" spans="1:41" ht="16.5">
      <c r="A119" s="48" t="s">
        <v>59</v>
      </c>
      <c r="B119" s="26"/>
      <c r="C119" s="26"/>
      <c r="D119" s="26"/>
      <c r="E119" s="102">
        <f>($C$117/$B$25*$B$24)*$B$118</f>
        <v>1270700.7818329765</v>
      </c>
      <c r="F119" s="102">
        <f>($C$117/$B$25*($E$24+$H$24)+D117)*$B$118</f>
        <v>2329299.3621670236</v>
      </c>
      <c r="G119" s="358">
        <f>SUM(E119:F119)</f>
        <v>3600000.1440000003</v>
      </c>
      <c r="H119" s="103">
        <f>G119/(B$25*1000)</f>
        <v>2.5695932505353323E-2</v>
      </c>
      <c r="W119" s="240"/>
      <c r="X119" s="240"/>
      <c r="Y119" s="261">
        <f t="shared" ref="Y119:Y127" si="60">ROUND($Y$11*$AE119,0)</f>
        <v>34478</v>
      </c>
      <c r="AB119" s="265"/>
      <c r="AC119" s="20" t="s">
        <v>235</v>
      </c>
      <c r="AD119" s="128">
        <v>631040</v>
      </c>
      <c r="AE119" s="138">
        <f t="shared" ref="AE119:AE127" si="61">AF119/$AF$128</f>
        <v>2.8732014048368993E-2</v>
      </c>
      <c r="AF119" s="143">
        <v>30387.07</v>
      </c>
      <c r="AG119" s="136"/>
      <c r="AH119" s="136"/>
      <c r="AN119" s="236"/>
      <c r="AO119" s="236"/>
    </row>
    <row r="120" spans="1:41" ht="15">
      <c r="A120" s="48"/>
      <c r="B120" s="26"/>
      <c r="C120" s="26"/>
      <c r="D120" s="26"/>
      <c r="E120" s="307">
        <f>E119/B24/1000</f>
        <v>1.4103227323340472E-2</v>
      </c>
      <c r="F120" s="307">
        <f>F119/($E$24+$H$24)/1000</f>
        <v>4.6585987243340468E-2</v>
      </c>
      <c r="G120" s="11"/>
      <c r="H120" s="77"/>
      <c r="W120" s="240"/>
      <c r="X120" s="240"/>
      <c r="Y120" s="261">
        <f t="shared" si="60"/>
        <v>36941</v>
      </c>
      <c r="AB120" s="265"/>
      <c r="AC120" s="20" t="s">
        <v>236</v>
      </c>
      <c r="AD120" s="128">
        <v>631060</v>
      </c>
      <c r="AE120" s="138">
        <f t="shared" si="61"/>
        <v>3.0784541877331692E-2</v>
      </c>
      <c r="AF120" s="143">
        <v>32557.83</v>
      </c>
      <c r="AG120" s="136"/>
      <c r="AH120" s="136"/>
      <c r="AN120" s="235"/>
      <c r="AO120" s="235"/>
    </row>
    <row r="121" spans="1:41" ht="15">
      <c r="A121" s="48" t="s">
        <v>172</v>
      </c>
      <c r="B121" s="26"/>
      <c r="C121" s="26"/>
      <c r="D121" s="26"/>
      <c r="E121" s="26"/>
      <c r="F121" s="104"/>
      <c r="G121" s="26"/>
      <c r="H121" s="77"/>
      <c r="W121" s="240"/>
      <c r="X121" s="240"/>
      <c r="Y121" s="261">
        <f t="shared" si="60"/>
        <v>0</v>
      </c>
      <c r="AB121" s="265"/>
      <c r="AC121" s="20" t="s">
        <v>237</v>
      </c>
      <c r="AD121" s="128">
        <v>631900</v>
      </c>
      <c r="AE121" s="138">
        <f t="shared" si="61"/>
        <v>0</v>
      </c>
      <c r="AF121" s="143">
        <v>0</v>
      </c>
      <c r="AG121" s="136"/>
      <c r="AH121" s="136"/>
      <c r="AN121" s="235"/>
      <c r="AO121" s="235"/>
    </row>
    <row r="122" spans="1:41" ht="15">
      <c r="A122" s="48" t="s">
        <v>60</v>
      </c>
      <c r="B122" s="26"/>
      <c r="C122" s="26"/>
      <c r="D122" s="26"/>
      <c r="E122" s="26"/>
      <c r="F122" s="26"/>
      <c r="G122" s="26"/>
      <c r="H122" s="77"/>
      <c r="W122" s="240"/>
      <c r="X122" s="240"/>
      <c r="Y122" s="261">
        <f t="shared" si="60"/>
        <v>109923</v>
      </c>
      <c r="AB122" s="265"/>
      <c r="AC122" s="20" t="s">
        <v>238</v>
      </c>
      <c r="AD122" s="128">
        <v>630020</v>
      </c>
      <c r="AE122" s="138">
        <f t="shared" si="61"/>
        <v>9.1602521626258315E-2</v>
      </c>
      <c r="AF122" s="143">
        <v>96879.12</v>
      </c>
      <c r="AG122" s="136"/>
      <c r="AH122" s="136"/>
      <c r="AN122" s="235"/>
      <c r="AO122" s="235"/>
    </row>
    <row r="123" spans="1:41" ht="16.5">
      <c r="A123" s="48" t="s">
        <v>61</v>
      </c>
      <c r="B123" s="26"/>
      <c r="C123" s="26"/>
      <c r="D123" s="26"/>
      <c r="E123" s="26"/>
      <c r="F123" s="26"/>
      <c r="G123" s="348">
        <f>40000*12</f>
        <v>480000</v>
      </c>
      <c r="H123" s="103">
        <f>G123/(B$25*1000)</f>
        <v>3.4261241970021412E-3</v>
      </c>
      <c r="W123" s="240"/>
      <c r="X123" s="240"/>
      <c r="Y123" s="261">
        <f t="shared" si="60"/>
        <v>0</v>
      </c>
      <c r="AB123" s="265"/>
      <c r="AC123" s="20" t="s">
        <v>239</v>
      </c>
      <c r="AD123" s="128">
        <v>630030</v>
      </c>
      <c r="AE123" s="138">
        <f t="shared" si="61"/>
        <v>0</v>
      </c>
      <c r="AF123" s="143">
        <v>0</v>
      </c>
      <c r="AG123" s="136"/>
      <c r="AH123" s="136"/>
      <c r="AN123" s="235"/>
      <c r="AO123" s="235"/>
    </row>
    <row r="124" spans="1:41" ht="15">
      <c r="A124" s="48"/>
      <c r="B124" s="26"/>
      <c r="C124" s="26"/>
      <c r="D124" s="26"/>
      <c r="E124" s="26"/>
      <c r="F124" s="26"/>
      <c r="G124" s="26"/>
      <c r="H124" s="77"/>
      <c r="W124" s="240"/>
      <c r="X124" s="240"/>
      <c r="Y124" s="261">
        <f t="shared" si="60"/>
        <v>150148</v>
      </c>
      <c r="AB124" s="265"/>
      <c r="AC124" s="20" t="s">
        <v>240</v>
      </c>
      <c r="AD124" s="128">
        <v>630070</v>
      </c>
      <c r="AE124" s="138">
        <f t="shared" si="61"/>
        <v>0.12512342057966541</v>
      </c>
      <c r="AF124" s="143">
        <v>132330.93</v>
      </c>
      <c r="AG124" s="136"/>
      <c r="AH124" s="136"/>
      <c r="AN124" s="235"/>
      <c r="AO124" s="235"/>
    </row>
    <row r="125" spans="1:41" ht="15">
      <c r="A125" s="48" t="s">
        <v>62</v>
      </c>
      <c r="B125" s="26"/>
      <c r="C125" s="26"/>
      <c r="D125" s="26"/>
      <c r="E125" s="26"/>
      <c r="F125" s="26"/>
      <c r="G125" s="26"/>
      <c r="H125" s="77"/>
      <c r="W125" s="240"/>
      <c r="X125" s="240"/>
      <c r="Y125" s="261">
        <f t="shared" si="60"/>
        <v>734509</v>
      </c>
      <c r="AB125" s="265"/>
      <c r="AC125" s="20" t="s">
        <v>241</v>
      </c>
      <c r="AD125" s="128">
        <v>630080</v>
      </c>
      <c r="AE125" s="138">
        <f t="shared" si="61"/>
        <v>0.61209054586824252</v>
      </c>
      <c r="AF125" s="143">
        <v>647348.92000000004</v>
      </c>
      <c r="AG125" s="136"/>
      <c r="AH125" s="136"/>
      <c r="AN125" s="235"/>
      <c r="AO125" s="235"/>
    </row>
    <row r="126" spans="1:41" ht="16.5">
      <c r="A126" s="48" t="s">
        <v>63</v>
      </c>
      <c r="B126" s="26"/>
      <c r="C126" s="26"/>
      <c r="D126" s="26"/>
      <c r="E126" s="26"/>
      <c r="F126" s="26"/>
      <c r="G126" s="348">
        <f>100000*12</f>
        <v>1200000</v>
      </c>
      <c r="H126" s="103">
        <f>G126/(B$25*1000)</f>
        <v>8.5653104925053538E-3</v>
      </c>
      <c r="W126" s="240"/>
      <c r="X126" s="240"/>
      <c r="Y126" s="261">
        <f t="shared" si="60"/>
        <v>134000</v>
      </c>
      <c r="AB126" s="265"/>
      <c r="AC126" s="20" t="s">
        <v>242</v>
      </c>
      <c r="AD126" s="128">
        <v>633000</v>
      </c>
      <c r="AE126" s="138">
        <f t="shared" si="61"/>
        <v>0.11166695600013314</v>
      </c>
      <c r="AF126" s="143">
        <v>118099.33</v>
      </c>
      <c r="AG126" s="136"/>
      <c r="AH126" s="136"/>
      <c r="AN126" s="235"/>
      <c r="AO126" s="235"/>
    </row>
    <row r="127" spans="1:41" ht="17.25">
      <c r="A127" s="99"/>
      <c r="B127" s="72"/>
      <c r="C127" s="105"/>
      <c r="D127" s="72"/>
      <c r="E127" s="72"/>
      <c r="F127" s="72"/>
      <c r="G127" s="72"/>
      <c r="H127" s="75"/>
      <c r="W127" s="240"/>
      <c r="X127" s="240"/>
      <c r="Y127" s="262">
        <f t="shared" si="60"/>
        <v>0</v>
      </c>
      <c r="AB127" s="265"/>
      <c r="AC127" s="20" t="s">
        <v>243</v>
      </c>
      <c r="AD127" s="128">
        <v>660000</v>
      </c>
      <c r="AE127" s="258">
        <f t="shared" si="61"/>
        <v>0</v>
      </c>
      <c r="AF127" s="161">
        <v>0</v>
      </c>
      <c r="AG127" s="136"/>
      <c r="AH127" s="136"/>
      <c r="AN127" s="235"/>
      <c r="AO127" s="235"/>
    </row>
    <row r="128" spans="1:41" ht="15">
      <c r="W128" s="160"/>
      <c r="X128" s="160"/>
      <c r="Y128" s="264">
        <f>SUM(Y119:Y127)</f>
        <v>1199999</v>
      </c>
      <c r="AB128" s="256" t="s">
        <v>12</v>
      </c>
      <c r="AC128" s="130" t="s">
        <v>17</v>
      </c>
      <c r="AD128" s="257" t="s">
        <v>107</v>
      </c>
      <c r="AE128" s="138">
        <f>SUM(AE119:AE127)</f>
        <v>1</v>
      </c>
      <c r="AF128" s="259">
        <f>SUM(AF119:AF127)</f>
        <v>1057603.2</v>
      </c>
      <c r="AJ128" s="137"/>
    </row>
    <row r="130" spans="1:41">
      <c r="A130" s="82" t="s">
        <v>64</v>
      </c>
      <c r="B130" s="1012" t="s">
        <v>65</v>
      </c>
      <c r="C130" s="1012"/>
      <c r="D130" s="1012"/>
      <c r="E130" s="1012"/>
      <c r="F130" s="1012"/>
      <c r="G130" s="1012"/>
      <c r="H130" s="1013"/>
    </row>
    <row r="131" spans="1:41" ht="14.65" customHeight="1">
      <c r="A131" s="48"/>
      <c r="B131" s="199" t="s">
        <v>159</v>
      </c>
      <c r="C131" s="199" t="s">
        <v>109</v>
      </c>
      <c r="D131" s="199" t="s">
        <v>107</v>
      </c>
      <c r="E131" s="26"/>
      <c r="F131" s="26"/>
      <c r="G131" s="26"/>
      <c r="H131" s="77"/>
      <c r="AF131" s="1007" t="s">
        <v>398</v>
      </c>
      <c r="AG131" s="1007"/>
    </row>
    <row r="132" spans="1:41" ht="14.65" customHeight="1">
      <c r="A132" s="48" t="s">
        <v>262</v>
      </c>
      <c r="B132" s="207">
        <f>B30+B31</f>
        <v>90100</v>
      </c>
      <c r="C132" s="207">
        <f>B32+B33</f>
        <v>50000</v>
      </c>
      <c r="D132" s="207">
        <f>SUM(B132:C132)</f>
        <v>140100</v>
      </c>
      <c r="E132" s="26"/>
      <c r="F132" s="1008" t="s">
        <v>66</v>
      </c>
      <c r="G132" s="1008"/>
      <c r="H132" s="106">
        <f>D132/D133</f>
        <v>0.53884615384615386</v>
      </c>
      <c r="W132" s="240"/>
      <c r="X132" s="240"/>
      <c r="Y132" s="261">
        <f>$Y$18*$AE132</f>
        <v>200000</v>
      </c>
      <c r="AB132" s="265"/>
      <c r="AC132" s="20" t="s">
        <v>244</v>
      </c>
      <c r="AD132" s="128" t="s">
        <v>100</v>
      </c>
      <c r="AE132" s="138">
        <v>0.5</v>
      </c>
      <c r="AF132" s="143">
        <v>120244.49</v>
      </c>
      <c r="AG132" s="144">
        <f>AF132/$AF$134</f>
        <v>0.50750815162970342</v>
      </c>
      <c r="AH132" s="136"/>
      <c r="AI132"/>
    </row>
    <row r="133" spans="1:41" ht="14.65" customHeight="1">
      <c r="A133" s="48" t="s">
        <v>263</v>
      </c>
      <c r="B133" s="207"/>
      <c r="C133" s="207"/>
      <c r="D133" s="207">
        <v>260000</v>
      </c>
      <c r="E133" s="26"/>
      <c r="F133" s="26"/>
      <c r="G133" s="26"/>
      <c r="H133" s="107"/>
      <c r="W133" s="240"/>
      <c r="X133" s="240"/>
      <c r="Y133" s="262">
        <f>$Y$18*$AE133</f>
        <v>200000</v>
      </c>
      <c r="AB133" s="265"/>
      <c r="AC133" s="20" t="s">
        <v>245</v>
      </c>
      <c r="AD133" s="128">
        <v>630040</v>
      </c>
      <c r="AE133" s="138">
        <v>0.5</v>
      </c>
      <c r="AF133" s="161">
        <v>116686.66</v>
      </c>
      <c r="AG133" s="378">
        <f>AF133/$AF$134</f>
        <v>0.49249184837029658</v>
      </c>
      <c r="AH133" s="136"/>
      <c r="AI133"/>
    </row>
    <row r="134" spans="1:41" ht="14.65" customHeight="1">
      <c r="A134" s="43"/>
      <c r="D134" s="108"/>
      <c r="F134" s="1009" t="s">
        <v>290</v>
      </c>
      <c r="G134" s="1009"/>
      <c r="H134" s="1010"/>
      <c r="W134" s="160"/>
      <c r="X134" s="160"/>
      <c r="Y134" s="264">
        <f>SUM(Y132:Y133)</f>
        <v>400000</v>
      </c>
      <c r="AB134" s="256" t="s">
        <v>12</v>
      </c>
      <c r="AC134" s="130" t="s">
        <v>28</v>
      </c>
      <c r="AD134" s="257" t="s">
        <v>107</v>
      </c>
      <c r="AE134" s="138">
        <f>SUM(AE132:AE133)</f>
        <v>1</v>
      </c>
      <c r="AF134" s="259">
        <f>SUM(AF132:AF133)</f>
        <v>236931.15000000002</v>
      </c>
      <c r="AG134" s="144">
        <f>SUM(AG132:AG133)</f>
        <v>1</v>
      </c>
    </row>
    <row r="135" spans="1:41" ht="28.15" customHeight="1">
      <c r="A135" s="48"/>
      <c r="B135" s="97" t="s">
        <v>67</v>
      </c>
      <c r="C135" s="97" t="s">
        <v>68</v>
      </c>
      <c r="D135" s="97" t="s">
        <v>257</v>
      </c>
      <c r="E135" s="97" t="s">
        <v>258</v>
      </c>
      <c r="F135" s="49"/>
      <c r="G135" s="286" t="s">
        <v>260</v>
      </c>
      <c r="H135" s="287" t="s">
        <v>261</v>
      </c>
    </row>
    <row r="136" spans="1:41" ht="15">
      <c r="A136" s="48" t="s">
        <v>25</v>
      </c>
      <c r="B136" s="104">
        <f>C136/12</f>
        <v>31583.333333333332</v>
      </c>
      <c r="C136" s="351">
        <f>ROUNDUP(92892*4*(1+$F$150),0)</f>
        <v>379000</v>
      </c>
      <c r="D136" s="64">
        <f>$C136/$D$132/1000</f>
        <v>2.7052105638829408E-3</v>
      </c>
      <c r="E136" s="64">
        <f>$C136/$D$132/1000</f>
        <v>2.7052105638829408E-3</v>
      </c>
      <c r="F136" s="156" t="s">
        <v>270</v>
      </c>
      <c r="G136" s="348">
        <v>1220000</v>
      </c>
      <c r="H136" s="238">
        <f>G136/$D$132/1000</f>
        <v>8.7080656673804418E-3</v>
      </c>
      <c r="I136" s="253"/>
      <c r="AC136" s="139"/>
      <c r="AD136"/>
      <c r="AE136"/>
      <c r="AF136" s="260" t="s">
        <v>398</v>
      </c>
      <c r="AG136"/>
      <c r="AH136"/>
      <c r="AI136"/>
    </row>
    <row r="137" spans="1:41" ht="14.65" customHeight="1">
      <c r="A137" s="48" t="s">
        <v>27</v>
      </c>
      <c r="B137" s="26">
        <f>C137/12</f>
        <v>33333.333333333336</v>
      </c>
      <c r="C137" s="346">
        <v>400000</v>
      </c>
      <c r="D137" s="109">
        <f>$C137/$D$132/1000</f>
        <v>2.8551034975017845E-3</v>
      </c>
      <c r="E137" s="109">
        <f>$C137/$D$132/1000</f>
        <v>2.8551034975017845E-3</v>
      </c>
      <c r="F137" s="156" t="s">
        <v>271</v>
      </c>
      <c r="G137" s="348">
        <f>30000</f>
        <v>30000</v>
      </c>
      <c r="H137" s="238">
        <f>IF($B$132&lt;&gt;0,G137/$B$132/1000,G137/D132/1000)</f>
        <v>3.3296337402885685E-4</v>
      </c>
      <c r="I137" s="253"/>
      <c r="W137" s="240"/>
      <c r="X137" s="240"/>
      <c r="Y137" s="261">
        <f t="shared" ref="Y137:Y144" si="62">ROUND($Y$19*$AE137,0)</f>
        <v>140708</v>
      </c>
      <c r="AB137" s="265"/>
      <c r="AC137" s="20" t="s">
        <v>399</v>
      </c>
      <c r="AD137" s="128" t="s">
        <v>400</v>
      </c>
      <c r="AE137" s="138">
        <f t="shared" ref="AE137:AE144" si="63">AF137/$AF$145</f>
        <v>3.1020278092671626E-2</v>
      </c>
      <c r="AF137" s="143">
        <v>140030.43</v>
      </c>
      <c r="AG137" s="136"/>
      <c r="AH137" s="136"/>
      <c r="AI137"/>
    </row>
    <row r="138" spans="1:41" ht="14.65" customHeight="1">
      <c r="A138" s="48" t="s">
        <v>29</v>
      </c>
      <c r="B138" s="26">
        <f>C138/12</f>
        <v>378000</v>
      </c>
      <c r="C138" s="78">
        <f>G139</f>
        <v>4536000</v>
      </c>
      <c r="D138" s="110">
        <f>H142</f>
        <v>9.0410290414092986E-3</v>
      </c>
      <c r="E138" s="110">
        <f>H143</f>
        <v>7.4428065667380444E-2</v>
      </c>
      <c r="F138" s="156" t="s">
        <v>272</v>
      </c>
      <c r="G138" s="352">
        <f>3550000-264000</f>
        <v>3286000</v>
      </c>
      <c r="H138" s="238">
        <f>IF(C132&lt;&gt;0,G138/$C$132/1000,G138/D132/1000)</f>
        <v>6.5720000000000001E-2</v>
      </c>
      <c r="I138" s="253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W138" s="240"/>
      <c r="X138" s="240"/>
      <c r="Y138" s="261">
        <f t="shared" si="62"/>
        <v>6990</v>
      </c>
      <c r="AB138" s="265"/>
      <c r="AC138" s="20" t="s">
        <v>246</v>
      </c>
      <c r="AD138" s="128" t="s">
        <v>101</v>
      </c>
      <c r="AE138" s="138">
        <f t="shared" si="63"/>
        <v>1.5409319575424053E-3</v>
      </c>
      <c r="AF138" s="143">
        <v>6956.01</v>
      </c>
      <c r="AG138" s="136"/>
      <c r="AH138" s="136"/>
      <c r="AI138"/>
      <c r="AN138" s="235"/>
      <c r="AO138" s="235"/>
    </row>
    <row r="139" spans="1:41" ht="14.65" customHeight="1">
      <c r="A139" s="48" t="s">
        <v>70</v>
      </c>
      <c r="D139" s="64">
        <f>SUM(D136:D138)</f>
        <v>1.4601343102794024E-2</v>
      </c>
      <c r="E139" s="64">
        <f>SUM(E136:E138)</f>
        <v>7.9988379728765172E-2</v>
      </c>
      <c r="F139" s="301" t="s">
        <v>268</v>
      </c>
      <c r="G139" s="285">
        <f>SUM(G136:G138)</f>
        <v>4536000</v>
      </c>
      <c r="H139" s="238">
        <f>G139/D132/1000</f>
        <v>3.237687366167024E-2</v>
      </c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W139" s="240"/>
      <c r="X139" s="240"/>
      <c r="Y139" s="261">
        <f t="shared" si="62"/>
        <v>358567</v>
      </c>
      <c r="AB139" s="265"/>
      <c r="AC139" s="20" t="s">
        <v>247</v>
      </c>
      <c r="AD139" s="128">
        <v>640010</v>
      </c>
      <c r="AE139" s="138">
        <f t="shared" si="63"/>
        <v>7.9049062217207061E-2</v>
      </c>
      <c r="AF139" s="143">
        <v>356839.94</v>
      </c>
      <c r="AG139" s="136"/>
      <c r="AH139" s="136"/>
      <c r="AI139"/>
      <c r="AN139" s="235"/>
      <c r="AO139" s="235"/>
    </row>
    <row r="140" spans="1:41" ht="14.65" customHeight="1">
      <c r="A140" s="48"/>
      <c r="B140" s="26"/>
      <c r="C140" s="26"/>
      <c r="D140" s="64"/>
      <c r="E140" s="64"/>
      <c r="F140" s="26"/>
      <c r="G140" s="204"/>
      <c r="H140" s="238"/>
      <c r="W140" s="240"/>
      <c r="X140" s="240"/>
      <c r="Y140" s="261">
        <f t="shared" si="62"/>
        <v>3761262</v>
      </c>
      <c r="AB140" s="265"/>
      <c r="AC140" s="20" t="s">
        <v>248</v>
      </c>
      <c r="AD140" s="128">
        <v>640020</v>
      </c>
      <c r="AE140" s="138">
        <f t="shared" si="63"/>
        <v>0.82920233056363746</v>
      </c>
      <c r="AF140" s="143">
        <v>3743150.16</v>
      </c>
      <c r="AG140" s="136"/>
      <c r="AH140" s="136"/>
      <c r="AI140"/>
    </row>
    <row r="141" spans="1:41" ht="14.65" customHeight="1">
      <c r="A141" s="48"/>
      <c r="B141" s="26"/>
      <c r="C141" s="26"/>
      <c r="D141" s="288" t="s">
        <v>266</v>
      </c>
      <c r="E141" s="288" t="s">
        <v>267</v>
      </c>
      <c r="F141" s="26"/>
      <c r="G141" s="204"/>
      <c r="H141" s="238"/>
      <c r="W141" s="240"/>
      <c r="X141" s="240"/>
      <c r="Y141" s="261">
        <f t="shared" si="62"/>
        <v>249462</v>
      </c>
      <c r="AB141" s="265"/>
      <c r="AC141" s="20" t="s">
        <v>401</v>
      </c>
      <c r="AD141" s="128" t="s">
        <v>402</v>
      </c>
      <c r="AE141" s="138">
        <f t="shared" si="63"/>
        <v>5.4995959722533301E-2</v>
      </c>
      <c r="AF141" s="143">
        <v>248260.44</v>
      </c>
      <c r="AG141" s="136"/>
      <c r="AH141" s="136"/>
      <c r="AI141"/>
      <c r="AN141" s="235"/>
      <c r="AO141" s="235"/>
    </row>
    <row r="142" spans="1:41" ht="14.65" customHeight="1">
      <c r="A142" s="48"/>
      <c r="B142" s="26"/>
      <c r="C142" s="26"/>
      <c r="D142" s="290">
        <f>G142/$G$144</f>
        <v>0.17958481407208504</v>
      </c>
      <c r="E142" s="207">
        <f>ROUND(G142/$H$139,0)</f>
        <v>25159832</v>
      </c>
      <c r="F142" s="156" t="s">
        <v>186</v>
      </c>
      <c r="G142" s="204">
        <f>$H142*$B$132*1000</f>
        <v>814596.71663097781</v>
      </c>
      <c r="H142" s="238">
        <f>IF(AND($B$132&lt;&gt;0,$C$132&lt;&gt;0),H136+H137,$H$139)</f>
        <v>9.0410290414092986E-3</v>
      </c>
      <c r="W142" s="240"/>
      <c r="X142" s="240"/>
      <c r="Y142" s="261">
        <f t="shared" si="62"/>
        <v>6864</v>
      </c>
      <c r="AB142" s="265"/>
      <c r="AC142" s="20" t="s">
        <v>249</v>
      </c>
      <c r="AD142" s="128">
        <v>640040</v>
      </c>
      <c r="AE142" s="138">
        <f t="shared" si="63"/>
        <v>1.5133299095422179E-3</v>
      </c>
      <c r="AF142" s="143">
        <v>6831.41</v>
      </c>
      <c r="AG142" s="136"/>
      <c r="AH142" s="136"/>
      <c r="AI142"/>
      <c r="AN142" s="235"/>
      <c r="AO142" s="235"/>
    </row>
    <row r="143" spans="1:41" ht="14.65" customHeight="1">
      <c r="A143" s="48"/>
      <c r="B143" s="26"/>
      <c r="C143" s="26"/>
      <c r="D143" s="290">
        <f>G143/$G$144</f>
        <v>0.82041518592791485</v>
      </c>
      <c r="E143" s="168">
        <f>ROUND(G143/$H$139,0)</f>
        <v>114940168</v>
      </c>
      <c r="F143" s="156" t="s">
        <v>286</v>
      </c>
      <c r="G143" s="239">
        <f>$H143*$C$132*1000</f>
        <v>3721403.283369022</v>
      </c>
      <c r="H143" s="238">
        <f>IF(AND($B$132&lt;&gt;0,$C$132&lt;&gt;0),H136+H138,$H$139)</f>
        <v>7.4428065667380444E-2</v>
      </c>
      <c r="W143" s="160"/>
      <c r="X143" s="160"/>
      <c r="Y143" s="261">
        <f t="shared" si="62"/>
        <v>1050</v>
      </c>
      <c r="AB143" s="265"/>
      <c r="AC143" s="20" t="s">
        <v>250</v>
      </c>
      <c r="AD143" s="128">
        <v>640070</v>
      </c>
      <c r="AE143" s="138">
        <f t="shared" si="63"/>
        <v>2.3147396449338557E-4</v>
      </c>
      <c r="AF143" s="143">
        <v>1044.9100000000001</v>
      </c>
      <c r="AG143"/>
      <c r="AH143"/>
      <c r="AI143"/>
      <c r="AN143" s="235"/>
      <c r="AO143" s="235"/>
    </row>
    <row r="144" spans="1:41" ht="14.65" customHeight="1">
      <c r="A144" s="48"/>
      <c r="B144" s="26"/>
      <c r="C144" s="26"/>
      <c r="D144" s="290">
        <f>G144/$G$144</f>
        <v>1</v>
      </c>
      <c r="E144" s="289">
        <f>SUM(E142:E143)</f>
        <v>140100000</v>
      </c>
      <c r="F144" s="156" t="s">
        <v>107</v>
      </c>
      <c r="G144" s="285">
        <f>SUM(G142:G143)</f>
        <v>4536000</v>
      </c>
      <c r="H144" s="238"/>
      <c r="Y144" s="262">
        <f t="shared" si="62"/>
        <v>11098</v>
      </c>
      <c r="AB144" s="265"/>
      <c r="AC144" s="20" t="s">
        <v>251</v>
      </c>
      <c r="AD144" s="128">
        <v>640080</v>
      </c>
      <c r="AE144" s="138">
        <f t="shared" si="63"/>
        <v>2.4466335723723111E-3</v>
      </c>
      <c r="AF144" s="161">
        <v>11044.49</v>
      </c>
      <c r="AN144" s="235"/>
      <c r="AO144" s="235"/>
    </row>
    <row r="145" spans="1:41" ht="14.65" customHeight="1">
      <c r="A145" s="112"/>
      <c r="B145" s="113"/>
      <c r="C145" s="113"/>
      <c r="D145" s="113"/>
      <c r="E145" s="113"/>
      <c r="F145" s="113"/>
      <c r="G145" s="113"/>
      <c r="H145" s="284"/>
      <c r="Y145" s="264">
        <f>SUM(Y137:Y144)</f>
        <v>4536001</v>
      </c>
      <c r="AB145" s="256" t="s">
        <v>12</v>
      </c>
      <c r="AC145" s="130" t="s">
        <v>30</v>
      </c>
      <c r="AD145" s="257" t="s">
        <v>107</v>
      </c>
      <c r="AE145" s="138">
        <f>SUM(AE137:AE144)</f>
        <v>0.99999999999999989</v>
      </c>
      <c r="AF145" s="259">
        <f>SUM(AF137:AF144)</f>
        <v>4514157.790000001</v>
      </c>
      <c r="AN145" s="235"/>
      <c r="AO145" s="235"/>
    </row>
    <row r="146" spans="1:41">
      <c r="AN146" s="235"/>
      <c r="AO146" s="235"/>
    </row>
    <row r="147" spans="1:41">
      <c r="A147" s="72"/>
      <c r="B147" s="72"/>
      <c r="C147" s="72"/>
      <c r="D147" s="72"/>
      <c r="E147" s="72"/>
      <c r="F147" s="72"/>
      <c r="G147" s="72"/>
      <c r="H147" s="72"/>
    </row>
    <row r="148" spans="1:41">
      <c r="A148" s="82" t="s">
        <v>71</v>
      </c>
      <c r="B148" s="93"/>
      <c r="C148" s="93"/>
      <c r="D148" s="93"/>
      <c r="E148" s="93"/>
      <c r="F148" s="93"/>
      <c r="G148" s="93"/>
      <c r="H148" s="148"/>
    </row>
    <row r="149" spans="1:41" ht="15">
      <c r="A149" s="82"/>
      <c r="B149" s="1011" t="s">
        <v>189</v>
      </c>
      <c r="C149" s="1011"/>
      <c r="D149" s="1011"/>
      <c r="E149" s="202"/>
      <c r="F149" s="93"/>
      <c r="G149" s="93"/>
      <c r="H149" s="148"/>
    </row>
    <row r="150" spans="1:41" ht="15">
      <c r="A150" s="48"/>
      <c r="B150" s="1004" t="s">
        <v>72</v>
      </c>
      <c r="C150" s="1004"/>
      <c r="D150" s="342">
        <v>52</v>
      </c>
      <c r="E150" s="49" t="s">
        <v>354</v>
      </c>
      <c r="F150" s="456">
        <f>'17 Std'!T5</f>
        <v>0.02</v>
      </c>
      <c r="G150" s="26"/>
      <c r="H150" s="77"/>
    </row>
    <row r="151" spans="1:41" ht="15">
      <c r="A151" s="48"/>
      <c r="B151" s="1004" t="s">
        <v>479</v>
      </c>
      <c r="C151" s="1004"/>
      <c r="D151" s="353">
        <v>42</v>
      </c>
      <c r="E151" s="200"/>
      <c r="F151" s="26"/>
      <c r="G151" s="26"/>
      <c r="H151" s="77"/>
    </row>
    <row r="152" spans="1:41" ht="15">
      <c r="A152" s="48"/>
      <c r="B152" s="1004" t="s">
        <v>74</v>
      </c>
      <c r="C152" s="1004"/>
      <c r="D152" s="353">
        <v>1.5</v>
      </c>
      <c r="E152" s="201"/>
      <c r="F152" s="26"/>
      <c r="G152" s="26"/>
      <c r="H152" s="111"/>
    </row>
    <row r="153" spans="1:41" ht="15">
      <c r="A153" s="112"/>
      <c r="B153" s="1005" t="s">
        <v>160</v>
      </c>
      <c r="C153" s="1005"/>
      <c r="D153" s="354">
        <v>0.4</v>
      </c>
      <c r="E153" s="180"/>
      <c r="F153" s="113"/>
      <c r="G153" s="113"/>
      <c r="H153" s="181"/>
    </row>
    <row r="154" spans="1:41">
      <c r="A154" s="82"/>
      <c r="B154" s="93"/>
      <c r="C154" s="93"/>
      <c r="D154" s="182"/>
      <c r="E154" s="93"/>
      <c r="F154" s="93"/>
      <c r="G154" s="93"/>
      <c r="H154" s="191"/>
    </row>
    <row r="156" spans="1:41">
      <c r="B156" s="1006"/>
      <c r="C156" s="1006"/>
      <c r="D156" s="1006"/>
      <c r="F156" s="1006"/>
      <c r="G156" s="1006"/>
      <c r="H156" s="1006"/>
    </row>
    <row r="157" spans="1:41">
      <c r="B157" s="114"/>
      <c r="C157" s="114"/>
      <c r="D157" s="115"/>
      <c r="E157" s="6"/>
      <c r="F157" s="114"/>
      <c r="G157" s="114"/>
      <c r="H157" s="115"/>
    </row>
    <row r="158" spans="1:41">
      <c r="C158" s="116"/>
      <c r="D158" s="117"/>
      <c r="G158" s="116"/>
      <c r="H158" s="117"/>
    </row>
    <row r="159" spans="1:41">
      <c r="C159" s="116"/>
      <c r="D159" s="108"/>
      <c r="G159" s="116"/>
      <c r="H159" s="108"/>
    </row>
    <row r="160" spans="1:41">
      <c r="C160" s="118"/>
      <c r="D160" s="108"/>
      <c r="G160" s="118"/>
      <c r="H160" s="108"/>
    </row>
    <row r="161" spans="3:8">
      <c r="C161" s="119"/>
      <c r="D161" s="108"/>
      <c r="G161" s="119"/>
      <c r="H161" s="108"/>
    </row>
    <row r="162" spans="3:8">
      <c r="C162" s="120"/>
      <c r="D162" s="108"/>
      <c r="G162" s="120"/>
      <c r="H162" s="108"/>
    </row>
    <row r="163" spans="3:8">
      <c r="C163" s="118"/>
      <c r="D163" s="108"/>
      <c r="G163" s="118"/>
      <c r="H163" s="108"/>
    </row>
    <row r="164" spans="3:8" ht="15">
      <c r="C164" s="121"/>
      <c r="D164" s="122"/>
      <c r="G164" s="121"/>
      <c r="H164" s="122"/>
    </row>
    <row r="165" spans="3:8" ht="15">
      <c r="D165" s="123"/>
      <c r="H165" s="123"/>
    </row>
  </sheetData>
  <mergeCells count="46">
    <mergeCell ref="S28:U28"/>
    <mergeCell ref="A1:J1"/>
    <mergeCell ref="W1:AA1"/>
    <mergeCell ref="AF1:AN1"/>
    <mergeCell ref="A2:J2"/>
    <mergeCell ref="B3:D3"/>
    <mergeCell ref="E3:G3"/>
    <mergeCell ref="H3:J3"/>
    <mergeCell ref="K3:M3"/>
    <mergeCell ref="N3:P3"/>
    <mergeCell ref="R3:U3"/>
    <mergeCell ref="AO3:AQ3"/>
    <mergeCell ref="AD22:AE22"/>
    <mergeCell ref="AD23:AE23"/>
    <mergeCell ref="AD24:AE24"/>
    <mergeCell ref="B27:H27"/>
    <mergeCell ref="C36:D36"/>
    <mergeCell ref="E36:F36"/>
    <mergeCell ref="G36:H36"/>
    <mergeCell ref="I36:J36"/>
    <mergeCell ref="K36:L36"/>
    <mergeCell ref="E117:F117"/>
    <mergeCell ref="B130:H130"/>
    <mergeCell ref="AF60:AP60"/>
    <mergeCell ref="AF64:AP64"/>
    <mergeCell ref="B66:D66"/>
    <mergeCell ref="F66:H66"/>
    <mergeCell ref="E80:G80"/>
    <mergeCell ref="AF80:AP80"/>
    <mergeCell ref="B60:D60"/>
    <mergeCell ref="F60:H60"/>
    <mergeCell ref="E81:F81"/>
    <mergeCell ref="E87:F87"/>
    <mergeCell ref="G87:H87"/>
    <mergeCell ref="B100:D100"/>
    <mergeCell ref="F100:H100"/>
    <mergeCell ref="B152:C152"/>
    <mergeCell ref="B153:C153"/>
    <mergeCell ref="B156:D156"/>
    <mergeCell ref="F156:H156"/>
    <mergeCell ref="AF131:AG131"/>
    <mergeCell ref="F132:G132"/>
    <mergeCell ref="F134:H134"/>
    <mergeCell ref="B149:D149"/>
    <mergeCell ref="B151:C151"/>
    <mergeCell ref="B150:C150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9" max="9" man="1"/>
    <brk id="91" max="9" man="1"/>
    <brk id="113" max="9" man="1"/>
    <brk id="128" max="9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"/>
  <sheetViews>
    <sheetView zoomScaleNormal="10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L33" sqref="L33"/>
    </sheetView>
  </sheetViews>
  <sheetFormatPr defaultRowHeight="15"/>
  <cols>
    <col min="1" max="1" width="30.28515625" bestFit="1" customWidth="1"/>
    <col min="2" max="3" width="9.28515625" bestFit="1" customWidth="1"/>
    <col min="4" max="4" width="9.7109375" bestFit="1" customWidth="1"/>
    <col min="5" max="6" width="9.28515625" bestFit="1" customWidth="1"/>
    <col min="7" max="7" width="9.7109375" bestFit="1" customWidth="1"/>
    <col min="8" max="9" width="9.28515625" bestFit="1" customWidth="1"/>
    <col min="10" max="10" width="9.7109375" bestFit="1" customWidth="1"/>
    <col min="11" max="12" width="9.28515625" bestFit="1" customWidth="1"/>
    <col min="13" max="13" width="9.7109375" bestFit="1" customWidth="1"/>
    <col min="14" max="15" width="9.28515625" bestFit="1" customWidth="1"/>
    <col min="16" max="16" width="9.7109375" bestFit="1" customWidth="1"/>
    <col min="17" max="18" width="9.28515625" bestFit="1" customWidth="1"/>
    <col min="19" max="19" width="9.7109375" bestFit="1" customWidth="1"/>
    <col min="20" max="21" width="9.28515625" bestFit="1" customWidth="1"/>
    <col min="22" max="22" width="9.7109375" bestFit="1" customWidth="1"/>
    <col min="23" max="24" width="9.28515625" bestFit="1" customWidth="1"/>
    <col min="25" max="25" width="9.7109375" bestFit="1" customWidth="1"/>
  </cols>
  <sheetData>
    <row r="1" spans="1:25" ht="17.25">
      <c r="B1" s="1001" t="s">
        <v>529</v>
      </c>
      <c r="C1" s="1002"/>
      <c r="D1" s="1003"/>
      <c r="E1" s="1001" t="s">
        <v>177</v>
      </c>
      <c r="F1" s="1002"/>
      <c r="G1" s="1003"/>
      <c r="H1" s="1001" t="s">
        <v>282</v>
      </c>
      <c r="I1" s="1002"/>
      <c r="J1" s="1003"/>
      <c r="K1" s="1001" t="s">
        <v>467</v>
      </c>
      <c r="L1" s="1002"/>
      <c r="M1" s="1003"/>
      <c r="N1" s="1001" t="s">
        <v>516</v>
      </c>
      <c r="O1" s="1002"/>
      <c r="P1" s="1003"/>
      <c r="Q1" s="1001" t="s">
        <v>502</v>
      </c>
      <c r="R1" s="1002"/>
      <c r="S1" s="1003"/>
      <c r="T1" s="1001" t="s">
        <v>498</v>
      </c>
      <c r="U1" s="1002"/>
      <c r="V1" s="1003"/>
      <c r="W1" s="1001" t="s">
        <v>499</v>
      </c>
      <c r="X1" s="1002"/>
      <c r="Y1" s="1003"/>
    </row>
    <row r="2" spans="1:25">
      <c r="B2" s="740" t="s">
        <v>535</v>
      </c>
      <c r="C2" s="491" t="s">
        <v>500</v>
      </c>
      <c r="D2" s="741" t="s">
        <v>536</v>
      </c>
      <c r="E2" s="740" t="s">
        <v>535</v>
      </c>
      <c r="F2" s="491" t="s">
        <v>500</v>
      </c>
      <c r="G2" s="741" t="s">
        <v>536</v>
      </c>
      <c r="H2" s="740" t="s">
        <v>535</v>
      </c>
      <c r="I2" s="491" t="s">
        <v>500</v>
      </c>
      <c r="J2" s="741" t="s">
        <v>536</v>
      </c>
      <c r="K2" s="740" t="s">
        <v>535</v>
      </c>
      <c r="L2" s="491" t="s">
        <v>500</v>
      </c>
      <c r="M2" s="741" t="s">
        <v>536</v>
      </c>
      <c r="N2" s="740" t="s">
        <v>535</v>
      </c>
      <c r="O2" s="491" t="s">
        <v>500</v>
      </c>
      <c r="P2" s="741" t="s">
        <v>536</v>
      </c>
      <c r="Q2" s="740" t="s">
        <v>535</v>
      </c>
      <c r="R2" s="491" t="s">
        <v>500</v>
      </c>
      <c r="S2" s="741" t="s">
        <v>536</v>
      </c>
      <c r="T2" s="740" t="s">
        <v>535</v>
      </c>
      <c r="U2" s="491" t="s">
        <v>500</v>
      </c>
      <c r="V2" s="741" t="s">
        <v>536</v>
      </c>
      <c r="W2" s="740" t="s">
        <v>535</v>
      </c>
      <c r="X2" s="491" t="s">
        <v>500</v>
      </c>
      <c r="Y2" s="741" t="s">
        <v>536</v>
      </c>
    </row>
    <row r="3" spans="1:25">
      <c r="B3" s="450"/>
      <c r="D3" s="451"/>
      <c r="E3" s="450"/>
      <c r="G3" s="451"/>
      <c r="H3" s="450"/>
      <c r="J3" s="451"/>
      <c r="K3" s="450"/>
      <c r="M3" s="451"/>
      <c r="N3" s="450"/>
      <c r="P3" s="451"/>
      <c r="Q3" s="450"/>
      <c r="S3" s="451"/>
      <c r="T3" s="450"/>
      <c r="V3" s="451"/>
      <c r="W3" s="450"/>
      <c r="Y3" s="451"/>
    </row>
    <row r="4" spans="1:25">
      <c r="A4" s="17" t="s">
        <v>4</v>
      </c>
      <c r="B4" s="323">
        <v>5.2442083795405811E-2</v>
      </c>
      <c r="C4" s="18">
        <v>5.2442083795405811E-2</v>
      </c>
      <c r="D4" s="742">
        <f>B4-C4</f>
        <v>0</v>
      </c>
      <c r="E4" s="323">
        <v>0.11900853197460831</v>
      </c>
      <c r="F4" s="18">
        <v>0.11900853197460831</v>
      </c>
      <c r="G4" s="742">
        <f>E4-F4</f>
        <v>0</v>
      </c>
      <c r="H4" s="323">
        <v>0.42313081526239732</v>
      </c>
      <c r="I4" s="18">
        <v>0.42313081526239732</v>
      </c>
      <c r="J4" s="742">
        <f>H4-I4</f>
        <v>0</v>
      </c>
      <c r="K4" s="323">
        <v>0.12711514152518133</v>
      </c>
      <c r="L4" s="18">
        <v>0.12711514152518133</v>
      </c>
      <c r="M4" s="742">
        <f>K4-L4</f>
        <v>0</v>
      </c>
      <c r="N4" s="323">
        <v>1.9292536303071999</v>
      </c>
      <c r="O4" s="18">
        <v>1.9292536303071999</v>
      </c>
      <c r="P4" s="742">
        <f>N4-O4</f>
        <v>0</v>
      </c>
      <c r="Q4" s="323">
        <v>0.21033033458093209</v>
      </c>
      <c r="R4" s="18">
        <v>0.21033033458093209</v>
      </c>
      <c r="S4" s="742">
        <f>Q4-R4</f>
        <v>0</v>
      </c>
      <c r="T4" s="323">
        <v>0.1131758365153345</v>
      </c>
      <c r="U4" s="18">
        <v>0.1131758365153345</v>
      </c>
      <c r="V4" s="742">
        <f>T4-U4</f>
        <v>0</v>
      </c>
      <c r="W4" s="323">
        <v>0.28172044344732383</v>
      </c>
      <c r="X4" s="18">
        <v>0.28172044344732383</v>
      </c>
      <c r="Y4" s="742">
        <f>W4-X4</f>
        <v>0</v>
      </c>
    </row>
    <row r="5" spans="1:25">
      <c r="A5" s="17" t="s">
        <v>5</v>
      </c>
      <c r="B5" s="324">
        <v>9.8763951131202107E-3</v>
      </c>
      <c r="C5" s="22">
        <v>9.8763951131202107E-3</v>
      </c>
      <c r="D5" s="750">
        <f t="shared" ref="D5:D9" si="0">B5-C5</f>
        <v>0</v>
      </c>
      <c r="E5" s="324">
        <v>5.5687673983977802E-2</v>
      </c>
      <c r="F5" s="22">
        <v>5.5687673983977802E-2</v>
      </c>
      <c r="G5" s="750">
        <f t="shared" ref="G5:G9" si="1">E5-F5</f>
        <v>0</v>
      </c>
      <c r="H5" s="324">
        <v>5.5687673983977802E-2</v>
      </c>
      <c r="I5" s="22">
        <v>5.5687673983977802E-2</v>
      </c>
      <c r="J5" s="750">
        <f t="shared" ref="J5:J9" si="2">H5-I5</f>
        <v>0</v>
      </c>
      <c r="K5" s="324">
        <v>9.8763951131202107E-3</v>
      </c>
      <c r="L5" s="22">
        <v>9.8763951131202107E-3</v>
      </c>
      <c r="M5" s="750">
        <f t="shared" ref="M5:M9" si="3">K5-L5</f>
        <v>0</v>
      </c>
      <c r="N5" s="324">
        <v>9.8763951131202107E-3</v>
      </c>
      <c r="O5" s="22">
        <v>9.8763951131202107E-3</v>
      </c>
      <c r="P5" s="750">
        <f t="shared" ref="P5:P9" si="4">N5-O5</f>
        <v>0</v>
      </c>
      <c r="Q5" s="324">
        <v>5.5687673983977802E-2</v>
      </c>
      <c r="R5" s="22">
        <v>5.5687673983977802E-2</v>
      </c>
      <c r="S5" s="750">
        <f t="shared" ref="S5:S9" si="5">Q5-R5</f>
        <v>0</v>
      </c>
      <c r="T5" s="324">
        <v>9.8763951131202107E-3</v>
      </c>
      <c r="U5" s="22">
        <v>9.8763951131202107E-3</v>
      </c>
      <c r="V5" s="750">
        <f t="shared" ref="V5:V9" si="6">T5-U5</f>
        <v>0</v>
      </c>
      <c r="W5" s="324">
        <v>9.8763951131202107E-3</v>
      </c>
      <c r="X5" s="22">
        <v>9.8763951131202107E-3</v>
      </c>
      <c r="Y5" s="750">
        <f t="shared" ref="Y5:Y9" si="7">W5-X5</f>
        <v>0</v>
      </c>
    </row>
    <row r="6" spans="1:25">
      <c r="A6" s="26" t="s">
        <v>8</v>
      </c>
      <c r="B6" s="326">
        <v>1.6799999999999999E-2</v>
      </c>
      <c r="C6" s="23">
        <v>1.6799999999999999E-2</v>
      </c>
      <c r="D6" s="750">
        <f t="shared" si="0"/>
        <v>0</v>
      </c>
      <c r="E6" s="326">
        <v>9.7999999999999997E-3</v>
      </c>
      <c r="F6" s="23">
        <v>9.7999999999999997E-3</v>
      </c>
      <c r="G6" s="750">
        <f t="shared" si="1"/>
        <v>0</v>
      </c>
      <c r="H6" s="326">
        <v>9.7999999999999997E-3</v>
      </c>
      <c r="I6" s="23">
        <v>9.7999999999999997E-3</v>
      </c>
      <c r="J6" s="750">
        <f t="shared" si="2"/>
        <v>0</v>
      </c>
      <c r="K6" s="326">
        <v>1.6799999999999999E-2</v>
      </c>
      <c r="L6" s="23">
        <v>1.6799999999999999E-2</v>
      </c>
      <c r="M6" s="750">
        <f t="shared" si="3"/>
        <v>0</v>
      </c>
      <c r="N6" s="326">
        <v>1.6799999999999999E-2</v>
      </c>
      <c r="O6" s="23">
        <v>1.6799999999999999E-2</v>
      </c>
      <c r="P6" s="750">
        <f t="shared" si="4"/>
        <v>0</v>
      </c>
      <c r="Q6" s="326">
        <v>9.7999999999999997E-3</v>
      </c>
      <c r="R6" s="23">
        <v>9.7999999999999997E-3</v>
      </c>
      <c r="S6" s="750">
        <f t="shared" si="5"/>
        <v>0</v>
      </c>
      <c r="T6" s="326">
        <v>1.6799999999999999E-2</v>
      </c>
      <c r="U6" s="23">
        <v>1.6799999999999999E-2</v>
      </c>
      <c r="V6" s="750">
        <f t="shared" si="6"/>
        <v>0</v>
      </c>
      <c r="W6" s="326">
        <v>1.6799999999999999E-2</v>
      </c>
      <c r="X6" s="23">
        <v>1.6799999999999999E-2</v>
      </c>
      <c r="Y6" s="750">
        <f t="shared" si="7"/>
        <v>0</v>
      </c>
    </row>
    <row r="7" spans="1:25">
      <c r="A7" s="17" t="s">
        <v>11</v>
      </c>
      <c r="B7" s="326">
        <v>2.7188689505165852E-2</v>
      </c>
      <c r="C7" s="23">
        <v>2.7188689505165852E-2</v>
      </c>
      <c r="D7" s="750">
        <f t="shared" si="0"/>
        <v>0</v>
      </c>
      <c r="E7" s="326">
        <v>2.7188689505165852E-2</v>
      </c>
      <c r="F7" s="23">
        <v>2.7188689505165852E-2</v>
      </c>
      <c r="G7" s="750">
        <f t="shared" si="1"/>
        <v>0</v>
      </c>
      <c r="H7" s="326">
        <v>2.7188689505165852E-2</v>
      </c>
      <c r="I7" s="23">
        <v>2.7188689505165852E-2</v>
      </c>
      <c r="J7" s="750">
        <f t="shared" si="2"/>
        <v>0</v>
      </c>
      <c r="K7" s="326">
        <v>2.7188689505165852E-2</v>
      </c>
      <c r="L7" s="23">
        <v>2.7188689505165852E-2</v>
      </c>
      <c r="M7" s="750">
        <f t="shared" si="3"/>
        <v>0</v>
      </c>
      <c r="N7" s="326">
        <v>2.7188689505165852E-2</v>
      </c>
      <c r="O7" s="23">
        <v>2.7188689505165852E-2</v>
      </c>
      <c r="P7" s="750">
        <f t="shared" si="4"/>
        <v>0</v>
      </c>
      <c r="Q7" s="326">
        <v>2.7188689505165852E-2</v>
      </c>
      <c r="R7" s="23">
        <v>2.7188689505165852E-2</v>
      </c>
      <c r="S7" s="750">
        <f t="shared" si="5"/>
        <v>0</v>
      </c>
      <c r="T7" s="326">
        <v>2.7188689505165852E-2</v>
      </c>
      <c r="U7" s="23">
        <v>2.7188689505165852E-2</v>
      </c>
      <c r="V7" s="750">
        <f t="shared" si="6"/>
        <v>0</v>
      </c>
      <c r="W7" s="326">
        <v>2.7188689505165852E-2</v>
      </c>
      <c r="X7" s="23">
        <v>2.7188689505165852E-2</v>
      </c>
      <c r="Y7" s="750">
        <f t="shared" si="7"/>
        <v>0</v>
      </c>
    </row>
    <row r="8" spans="1:25">
      <c r="A8" s="17" t="s">
        <v>14</v>
      </c>
      <c r="B8" s="326">
        <v>4.3501903208265358E-3</v>
      </c>
      <c r="C8" s="23">
        <v>4.3501903208265358E-3</v>
      </c>
      <c r="D8" s="750">
        <f t="shared" si="0"/>
        <v>0</v>
      </c>
      <c r="E8" s="326">
        <v>4.3501903208265358E-3</v>
      </c>
      <c r="F8" s="23">
        <v>4.3501903208265358E-3</v>
      </c>
      <c r="G8" s="750">
        <f t="shared" si="1"/>
        <v>0</v>
      </c>
      <c r="H8" s="326">
        <v>4.3501903208265358E-3</v>
      </c>
      <c r="I8" s="23">
        <v>4.3501903208265358E-3</v>
      </c>
      <c r="J8" s="750">
        <f t="shared" si="2"/>
        <v>0</v>
      </c>
      <c r="K8" s="326">
        <v>4.3501903208265358E-3</v>
      </c>
      <c r="L8" s="23">
        <v>4.3501903208265358E-3</v>
      </c>
      <c r="M8" s="750">
        <f t="shared" si="3"/>
        <v>0</v>
      </c>
      <c r="N8" s="326">
        <v>4.3501903208265358E-3</v>
      </c>
      <c r="O8" s="23">
        <v>4.3501903208265358E-3</v>
      </c>
      <c r="P8" s="750">
        <f t="shared" si="4"/>
        <v>0</v>
      </c>
      <c r="Q8" s="326">
        <v>4.3501903208265358E-3</v>
      </c>
      <c r="R8" s="23">
        <v>4.3501903208265358E-3</v>
      </c>
      <c r="S8" s="750">
        <f t="shared" si="5"/>
        <v>0</v>
      </c>
      <c r="T8" s="326">
        <v>4.3501903208265358E-3</v>
      </c>
      <c r="U8" s="23">
        <v>4.3501903208265358E-3</v>
      </c>
      <c r="V8" s="750">
        <f t="shared" si="6"/>
        <v>0</v>
      </c>
      <c r="W8" s="326">
        <v>4.3501903208265358E-3</v>
      </c>
      <c r="X8" s="23">
        <v>4.3501903208265358E-3</v>
      </c>
      <c r="Y8" s="750">
        <f t="shared" si="7"/>
        <v>0</v>
      </c>
    </row>
    <row r="9" spans="1:25" ht="17.25">
      <c r="A9" s="17" t="s">
        <v>16</v>
      </c>
      <c r="B9" s="336">
        <v>1.0875475802066341E-2</v>
      </c>
      <c r="C9" s="27">
        <v>1.0875475802066341E-2</v>
      </c>
      <c r="D9" s="751">
        <f t="shared" si="0"/>
        <v>0</v>
      </c>
      <c r="E9" s="336">
        <v>1.0875475802066341E-2</v>
      </c>
      <c r="F9" s="27">
        <v>1.0875475802066341E-2</v>
      </c>
      <c r="G9" s="751">
        <f t="shared" si="1"/>
        <v>0</v>
      </c>
      <c r="H9" s="336">
        <v>1.0875475802066341E-2</v>
      </c>
      <c r="I9" s="27">
        <v>1.0875475802066341E-2</v>
      </c>
      <c r="J9" s="751">
        <f t="shared" si="2"/>
        <v>0</v>
      </c>
      <c r="K9" s="336">
        <v>1.0875475802066341E-2</v>
      </c>
      <c r="L9" s="27">
        <v>1.0875475802066341E-2</v>
      </c>
      <c r="M9" s="751">
        <f t="shared" si="3"/>
        <v>0</v>
      </c>
      <c r="N9" s="336">
        <v>1.0875475802066341E-2</v>
      </c>
      <c r="O9" s="27">
        <v>1.0875475802066341E-2</v>
      </c>
      <c r="P9" s="751">
        <f t="shared" si="4"/>
        <v>0</v>
      </c>
      <c r="Q9" s="336">
        <v>1.0875475802066341E-2</v>
      </c>
      <c r="R9" s="27">
        <v>1.0875475802066341E-2</v>
      </c>
      <c r="S9" s="751">
        <f t="shared" si="5"/>
        <v>0</v>
      </c>
      <c r="T9" s="336">
        <v>1.0875475802066341E-2</v>
      </c>
      <c r="U9" s="27">
        <v>1.0875475802066341E-2</v>
      </c>
      <c r="V9" s="751">
        <f t="shared" si="6"/>
        <v>0</v>
      </c>
      <c r="W9" s="336">
        <v>1.0875475802066341E-2</v>
      </c>
      <c r="X9" s="27">
        <v>1.0875475802066341E-2</v>
      </c>
      <c r="Y9" s="751">
        <f t="shared" si="7"/>
        <v>0</v>
      </c>
    </row>
    <row r="10" spans="1:25">
      <c r="A10" s="192" t="s">
        <v>169</v>
      </c>
      <c r="B10" s="326">
        <f t="shared" ref="B10:Y10" si="8">SUM(B4:B9)</f>
        <v>0.12153283453658476</v>
      </c>
      <c r="C10" s="23">
        <f t="shared" si="8"/>
        <v>0.12153283453658476</v>
      </c>
      <c r="D10" s="315">
        <f t="shared" si="8"/>
        <v>0</v>
      </c>
      <c r="E10" s="326">
        <f t="shared" si="8"/>
        <v>0.22691056158664485</v>
      </c>
      <c r="F10" s="23">
        <f t="shared" si="8"/>
        <v>0.22691056158664485</v>
      </c>
      <c r="G10" s="315">
        <f t="shared" si="8"/>
        <v>0</v>
      </c>
      <c r="H10" s="326">
        <f t="shared" si="8"/>
        <v>0.53103284487443381</v>
      </c>
      <c r="I10" s="23">
        <f t="shared" si="8"/>
        <v>0.53103284487443381</v>
      </c>
      <c r="J10" s="315">
        <f t="shared" si="8"/>
        <v>0</v>
      </c>
      <c r="K10" s="326">
        <f t="shared" si="8"/>
        <v>0.19620589226636029</v>
      </c>
      <c r="L10" s="23">
        <f t="shared" si="8"/>
        <v>0.19620589226636029</v>
      </c>
      <c r="M10" s="315">
        <f t="shared" si="8"/>
        <v>0</v>
      </c>
      <c r="N10" s="326">
        <f t="shared" si="8"/>
        <v>1.9983443810483787</v>
      </c>
      <c r="O10" s="23">
        <f t="shared" si="8"/>
        <v>1.9983443810483787</v>
      </c>
      <c r="P10" s="315">
        <f t="shared" si="8"/>
        <v>0</v>
      </c>
      <c r="Q10" s="326">
        <f t="shared" si="8"/>
        <v>0.31823236419296858</v>
      </c>
      <c r="R10" s="23">
        <f t="shared" si="8"/>
        <v>0.31823236419296858</v>
      </c>
      <c r="S10" s="315">
        <f t="shared" si="8"/>
        <v>0</v>
      </c>
      <c r="T10" s="326">
        <f t="shared" si="8"/>
        <v>0.18226658725651346</v>
      </c>
      <c r="U10" s="23">
        <f t="shared" si="8"/>
        <v>0.18226658725651346</v>
      </c>
      <c r="V10" s="315">
        <f t="shared" si="8"/>
        <v>0</v>
      </c>
      <c r="W10" s="326">
        <f t="shared" si="8"/>
        <v>0.35081119418850276</v>
      </c>
      <c r="X10" s="23">
        <f t="shared" si="8"/>
        <v>0.35081119418850276</v>
      </c>
      <c r="Y10" s="315">
        <f t="shared" si="8"/>
        <v>0</v>
      </c>
    </row>
    <row r="11" spans="1:25">
      <c r="A11" s="17"/>
      <c r="B11" s="328"/>
      <c r="C11" s="30"/>
      <c r="D11" s="750"/>
      <c r="E11" s="328"/>
      <c r="F11" s="30"/>
      <c r="G11" s="750"/>
      <c r="H11" s="328"/>
      <c r="I11" s="30"/>
      <c r="J11" s="750"/>
      <c r="K11" s="328"/>
      <c r="L11" s="30"/>
      <c r="M11" s="750"/>
      <c r="N11" s="328"/>
      <c r="O11" s="30"/>
      <c r="P11" s="750"/>
      <c r="Q11" s="328"/>
      <c r="R11" s="30"/>
      <c r="S11" s="750"/>
      <c r="T11" s="328"/>
      <c r="U11" s="30"/>
      <c r="V11" s="750"/>
      <c r="W11" s="328"/>
      <c r="X11" s="30"/>
      <c r="Y11" s="750"/>
    </row>
    <row r="12" spans="1:25">
      <c r="A12" s="17" t="s">
        <v>18</v>
      </c>
      <c r="B12" s="326">
        <v>3.898950738225853E-2</v>
      </c>
      <c r="C12" s="23">
        <v>4.9677855017995452E-2</v>
      </c>
      <c r="D12" s="750">
        <f t="shared" ref="D12:D17" si="9">B12-C12</f>
        <v>-1.0688347635736922E-2</v>
      </c>
      <c r="E12" s="326">
        <v>3.8989507382258523E-2</v>
      </c>
      <c r="F12" s="23">
        <v>4.9677855017995445E-2</v>
      </c>
      <c r="G12" s="750">
        <f t="shared" ref="G12:G17" si="10">E12-F12</f>
        <v>-1.0688347635736922E-2</v>
      </c>
      <c r="H12" s="326">
        <v>3.8989507382258523E-2</v>
      </c>
      <c r="I12" s="23">
        <v>4.9677855017995445E-2</v>
      </c>
      <c r="J12" s="750">
        <f t="shared" ref="J12:J17" si="11">H12-I12</f>
        <v>-1.0688347635736922E-2</v>
      </c>
      <c r="K12" s="326">
        <v>3.898950738225853E-2</v>
      </c>
      <c r="L12" s="23">
        <v>4.9677855017995452E-2</v>
      </c>
      <c r="M12" s="750">
        <f t="shared" ref="M12:M17" si="12">K12-L12</f>
        <v>-1.0688347635736922E-2</v>
      </c>
      <c r="N12" s="326">
        <v>3.898950738225853E-2</v>
      </c>
      <c r="O12" s="23">
        <v>4.9677855017995452E-2</v>
      </c>
      <c r="P12" s="750">
        <f t="shared" ref="P12:P17" si="13">N12-O12</f>
        <v>-1.0688347635736922E-2</v>
      </c>
      <c r="Q12" s="326">
        <v>3.8989507382258523E-2</v>
      </c>
      <c r="R12" s="23">
        <v>4.9677855017995445E-2</v>
      </c>
      <c r="S12" s="750">
        <f t="shared" ref="S12:S17" si="14">Q12-R12</f>
        <v>-1.0688347635736922E-2</v>
      </c>
      <c r="T12" s="326">
        <v>3.898950738225853E-2</v>
      </c>
      <c r="U12" s="23">
        <v>4.9677855017995452E-2</v>
      </c>
      <c r="V12" s="750">
        <f t="shared" ref="V12:V17" si="15">T12-U12</f>
        <v>-1.0688347635736922E-2</v>
      </c>
      <c r="W12" s="326">
        <v>3.898950738225853E-2</v>
      </c>
      <c r="X12" s="23">
        <v>4.9677855017995452E-2</v>
      </c>
      <c r="Y12" s="750">
        <f t="shared" ref="Y12:Y17" si="16">W12-X12</f>
        <v>-1.0688347635736922E-2</v>
      </c>
    </row>
    <row r="13" spans="1:25">
      <c r="A13" s="17" t="s">
        <v>21</v>
      </c>
      <c r="B13" s="326">
        <v>2.0329845350734094E-2</v>
      </c>
      <c r="C13" s="23">
        <v>2.5902946143187066E-2</v>
      </c>
      <c r="D13" s="750">
        <f t="shared" si="9"/>
        <v>-5.5731007924529723E-3</v>
      </c>
      <c r="E13" s="326">
        <v>2.0329845350734097E-2</v>
      </c>
      <c r="F13" s="23">
        <v>2.5902946143187069E-2</v>
      </c>
      <c r="G13" s="750">
        <f t="shared" si="10"/>
        <v>-5.5731007924529723E-3</v>
      </c>
      <c r="H13" s="326">
        <v>2.0329845350734097E-2</v>
      </c>
      <c r="I13" s="23">
        <v>2.5902946143187069E-2</v>
      </c>
      <c r="J13" s="750">
        <f t="shared" si="11"/>
        <v>-5.5731007924529723E-3</v>
      </c>
      <c r="K13" s="326">
        <v>2.0329845350734094E-2</v>
      </c>
      <c r="L13" s="23">
        <v>2.5902946143187066E-2</v>
      </c>
      <c r="M13" s="750">
        <f t="shared" si="12"/>
        <v>-5.5731007924529723E-3</v>
      </c>
      <c r="N13" s="326">
        <v>2.0329845350734094E-2</v>
      </c>
      <c r="O13" s="23">
        <v>2.5902946143187066E-2</v>
      </c>
      <c r="P13" s="750">
        <f t="shared" si="13"/>
        <v>-5.5731007924529723E-3</v>
      </c>
      <c r="Q13" s="326">
        <v>2.0329845350734097E-2</v>
      </c>
      <c r="R13" s="23">
        <v>2.5902946143187069E-2</v>
      </c>
      <c r="S13" s="750">
        <f t="shared" si="14"/>
        <v>-5.5731007924529723E-3</v>
      </c>
      <c r="T13" s="326">
        <v>2.0329845350734094E-2</v>
      </c>
      <c r="U13" s="23">
        <v>2.5902946143187066E-2</v>
      </c>
      <c r="V13" s="750">
        <f t="shared" si="15"/>
        <v>-5.5731007924529723E-3</v>
      </c>
      <c r="W13" s="326">
        <v>2.0329845350734094E-2</v>
      </c>
      <c r="X13" s="23">
        <v>2.5902946143187066E-2</v>
      </c>
      <c r="Y13" s="750">
        <f t="shared" si="16"/>
        <v>-5.5731007924529723E-3</v>
      </c>
    </row>
    <row r="14" spans="1:25">
      <c r="A14" s="17" t="s">
        <v>23</v>
      </c>
      <c r="B14" s="326">
        <v>2.6450178180696175E-2</v>
      </c>
      <c r="C14" s="23">
        <v>3.3701069982194187E-2</v>
      </c>
      <c r="D14" s="750">
        <f t="shared" si="9"/>
        <v>-7.2508918014980127E-3</v>
      </c>
      <c r="E14" s="326">
        <v>2.6450178180696178E-2</v>
      </c>
      <c r="F14" s="23">
        <v>3.3701069982194187E-2</v>
      </c>
      <c r="G14" s="750">
        <f t="shared" si="10"/>
        <v>-7.2508918014980092E-3</v>
      </c>
      <c r="H14" s="326">
        <v>2.6450178180696178E-2</v>
      </c>
      <c r="I14" s="23">
        <v>3.3701069982194187E-2</v>
      </c>
      <c r="J14" s="750">
        <f t="shared" si="11"/>
        <v>-7.2508918014980092E-3</v>
      </c>
      <c r="K14" s="326">
        <v>2.6450178180696175E-2</v>
      </c>
      <c r="L14" s="23">
        <v>3.3701069982194187E-2</v>
      </c>
      <c r="M14" s="750">
        <f t="shared" si="12"/>
        <v>-7.2508918014980127E-3</v>
      </c>
      <c r="N14" s="326">
        <v>2.6450178180696175E-2</v>
      </c>
      <c r="O14" s="23">
        <v>3.3701069982194187E-2</v>
      </c>
      <c r="P14" s="750">
        <f t="shared" si="13"/>
        <v>-7.2508918014980127E-3</v>
      </c>
      <c r="Q14" s="326">
        <v>2.6450178180696178E-2</v>
      </c>
      <c r="R14" s="23">
        <v>3.3701069982194187E-2</v>
      </c>
      <c r="S14" s="750">
        <f t="shared" si="14"/>
        <v>-7.2508918014980092E-3</v>
      </c>
      <c r="T14" s="326">
        <v>2.6450178180696175E-2</v>
      </c>
      <c r="U14" s="23">
        <v>3.3701069982194187E-2</v>
      </c>
      <c r="V14" s="750">
        <f t="shared" si="15"/>
        <v>-7.2508918014980127E-3</v>
      </c>
      <c r="W14" s="326">
        <v>2.6450178180696175E-2</v>
      </c>
      <c r="X14" s="23">
        <v>3.3701069982194187E-2</v>
      </c>
      <c r="Y14" s="750">
        <f t="shared" si="16"/>
        <v>-7.2508918014980127E-3</v>
      </c>
    </row>
    <row r="15" spans="1:25">
      <c r="A15" s="26" t="s">
        <v>25</v>
      </c>
      <c r="B15" s="326">
        <v>6.8776508972267537E-3</v>
      </c>
      <c r="C15" s="23">
        <v>8.7630484988452644E-3</v>
      </c>
      <c r="D15" s="750">
        <f t="shared" si="9"/>
        <v>-1.8853976016185107E-3</v>
      </c>
      <c r="E15" s="326">
        <v>6.8776508972267537E-3</v>
      </c>
      <c r="F15" s="23">
        <v>8.7630484988452644E-3</v>
      </c>
      <c r="G15" s="750">
        <f t="shared" si="10"/>
        <v>-1.8853976016185107E-3</v>
      </c>
      <c r="H15" s="326">
        <v>6.8776508972267537E-3</v>
      </c>
      <c r="I15" s="23">
        <v>8.7630484988452644E-3</v>
      </c>
      <c r="J15" s="750">
        <f t="shared" si="11"/>
        <v>-1.8853976016185107E-3</v>
      </c>
      <c r="K15" s="326">
        <v>6.8776508972267537E-3</v>
      </c>
      <c r="L15" s="23">
        <v>8.7630484988452644E-3</v>
      </c>
      <c r="M15" s="750">
        <f t="shared" si="12"/>
        <v>-1.8853976016185107E-3</v>
      </c>
      <c r="N15" s="326">
        <v>6.8776508972267537E-3</v>
      </c>
      <c r="O15" s="23">
        <v>8.7630484988452644E-3</v>
      </c>
      <c r="P15" s="750">
        <f t="shared" si="13"/>
        <v>-1.8853976016185107E-3</v>
      </c>
      <c r="Q15" s="326">
        <v>6.8776508972267537E-3</v>
      </c>
      <c r="R15" s="23">
        <v>8.7630484988452644E-3</v>
      </c>
      <c r="S15" s="750">
        <f t="shared" si="14"/>
        <v>-1.8853976016185107E-3</v>
      </c>
      <c r="T15" s="326">
        <v>6.8776508972267537E-3</v>
      </c>
      <c r="U15" s="23">
        <v>8.7630484988452644E-3</v>
      </c>
      <c r="V15" s="750">
        <f t="shared" si="15"/>
        <v>-1.8853976016185107E-3</v>
      </c>
      <c r="W15" s="326">
        <v>6.8776508972267537E-3</v>
      </c>
      <c r="X15" s="23">
        <v>8.7630484988452644E-3</v>
      </c>
      <c r="Y15" s="750">
        <f t="shared" si="16"/>
        <v>-1.8853976016185107E-3</v>
      </c>
    </row>
    <row r="16" spans="1:25">
      <c r="A16" s="26" t="s">
        <v>29</v>
      </c>
      <c r="B16" s="326">
        <v>2.157298148917303E-2</v>
      </c>
      <c r="C16" s="23">
        <v>2.8907099754153318E-2</v>
      </c>
      <c r="D16" s="750">
        <f t="shared" si="9"/>
        <v>-7.3341182649802883E-3</v>
      </c>
      <c r="E16" s="326">
        <v>0.11680294064335903</v>
      </c>
      <c r="F16" s="23">
        <v>0.12232835212606982</v>
      </c>
      <c r="G16" s="750">
        <f t="shared" si="10"/>
        <v>-5.5254114827107959E-3</v>
      </c>
      <c r="H16" s="326">
        <v>0.11680294064335903</v>
      </c>
      <c r="I16" s="23">
        <v>0.12232835212606982</v>
      </c>
      <c r="J16" s="750">
        <f t="shared" si="11"/>
        <v>-5.5254114827107959E-3</v>
      </c>
      <c r="K16" s="326">
        <v>2.157298148917303E-2</v>
      </c>
      <c r="L16" s="23">
        <v>2.8907099754153318E-2</v>
      </c>
      <c r="M16" s="750">
        <f t="shared" si="12"/>
        <v>-7.3341182649802883E-3</v>
      </c>
      <c r="N16" s="326">
        <v>2.157298148917303E-2</v>
      </c>
      <c r="O16" s="23">
        <v>2.8907099754153318E-2</v>
      </c>
      <c r="P16" s="750">
        <f t="shared" si="13"/>
        <v>-7.3341182649802883E-3</v>
      </c>
      <c r="Q16" s="326">
        <v>0.11680294064335903</v>
      </c>
      <c r="R16" s="23">
        <v>0.12232835212606982</v>
      </c>
      <c r="S16" s="750">
        <f t="shared" si="14"/>
        <v>-5.5254114827107959E-3</v>
      </c>
      <c r="T16" s="326">
        <v>2.157298148917303E-2</v>
      </c>
      <c r="U16" s="23">
        <v>2.8907099754153318E-2</v>
      </c>
      <c r="V16" s="750">
        <f t="shared" si="15"/>
        <v>-7.3341182649802883E-3</v>
      </c>
      <c r="W16" s="326">
        <v>2.157298148917303E-2</v>
      </c>
      <c r="X16" s="23">
        <v>2.8907099754153318E-2</v>
      </c>
      <c r="Y16" s="750">
        <f t="shared" si="16"/>
        <v>-7.3341182649802883E-3</v>
      </c>
    </row>
    <row r="17" spans="1:25" ht="17.25">
      <c r="A17" s="26" t="s">
        <v>27</v>
      </c>
      <c r="B17" s="327">
        <v>1.2688055102410731E-2</v>
      </c>
      <c r="C17" s="31">
        <v>1.6166281755196306E-2</v>
      </c>
      <c r="D17" s="751">
        <f t="shared" si="9"/>
        <v>-3.4782266527855748E-3</v>
      </c>
      <c r="E17" s="327">
        <v>1.2688055102410731E-2</v>
      </c>
      <c r="F17" s="31">
        <v>1.6166281755196306E-2</v>
      </c>
      <c r="G17" s="751">
        <f t="shared" si="10"/>
        <v>-3.4782266527855748E-3</v>
      </c>
      <c r="H17" s="327">
        <v>1.2688055102410731E-2</v>
      </c>
      <c r="I17" s="31">
        <v>1.6166281755196306E-2</v>
      </c>
      <c r="J17" s="751">
        <f t="shared" si="11"/>
        <v>-3.4782266527855748E-3</v>
      </c>
      <c r="K17" s="327">
        <v>1.2688055102410731E-2</v>
      </c>
      <c r="L17" s="31">
        <v>1.6166281755196306E-2</v>
      </c>
      <c r="M17" s="751">
        <f t="shared" si="12"/>
        <v>-3.4782266527855748E-3</v>
      </c>
      <c r="N17" s="327">
        <v>1.2688055102410731E-2</v>
      </c>
      <c r="O17" s="31">
        <v>1.6166281755196306E-2</v>
      </c>
      <c r="P17" s="751">
        <f t="shared" si="13"/>
        <v>-3.4782266527855748E-3</v>
      </c>
      <c r="Q17" s="327">
        <v>1.2688055102410731E-2</v>
      </c>
      <c r="R17" s="31">
        <v>1.6166281755196306E-2</v>
      </c>
      <c r="S17" s="751">
        <f t="shared" si="14"/>
        <v>-3.4782266527855748E-3</v>
      </c>
      <c r="T17" s="327">
        <v>1.2688055102410731E-2</v>
      </c>
      <c r="U17" s="31">
        <v>1.6166281755196306E-2</v>
      </c>
      <c r="V17" s="751">
        <f t="shared" si="15"/>
        <v>-3.4782266527855748E-3</v>
      </c>
      <c r="W17" s="327">
        <v>1.2688055102410731E-2</v>
      </c>
      <c r="X17" s="31">
        <v>1.6166281755196306E-2</v>
      </c>
      <c r="Y17" s="751">
        <f t="shared" si="16"/>
        <v>-3.4782266527855748E-3</v>
      </c>
    </row>
    <row r="18" spans="1:25">
      <c r="A18" s="192" t="s">
        <v>170</v>
      </c>
      <c r="B18" s="326">
        <f t="shared" ref="B18:Y18" si="17">SUM(B12:B17)</f>
        <v>0.1269082184024993</v>
      </c>
      <c r="C18" s="23">
        <f t="shared" si="17"/>
        <v>0.16311830115157158</v>
      </c>
      <c r="D18" s="315">
        <f t="shared" si="17"/>
        <v>-3.6210082749072281E-2</v>
      </c>
      <c r="E18" s="326">
        <f t="shared" si="17"/>
        <v>0.2221381775566853</v>
      </c>
      <c r="F18" s="23">
        <f t="shared" si="17"/>
        <v>0.25653955352348812</v>
      </c>
      <c r="G18" s="315">
        <f t="shared" si="17"/>
        <v>-3.4401375966802789E-2</v>
      </c>
      <c r="H18" s="326">
        <f t="shared" si="17"/>
        <v>0.2221381775566853</v>
      </c>
      <c r="I18" s="23">
        <f t="shared" si="17"/>
        <v>0.25653955352348812</v>
      </c>
      <c r="J18" s="315">
        <f t="shared" si="17"/>
        <v>-3.4401375966802789E-2</v>
      </c>
      <c r="K18" s="326">
        <f t="shared" si="17"/>
        <v>0.1269082184024993</v>
      </c>
      <c r="L18" s="23">
        <f t="shared" si="17"/>
        <v>0.16311830115157158</v>
      </c>
      <c r="M18" s="315">
        <f t="shared" si="17"/>
        <v>-3.6210082749072281E-2</v>
      </c>
      <c r="N18" s="326">
        <f t="shared" si="17"/>
        <v>0.1269082184024993</v>
      </c>
      <c r="O18" s="23">
        <f t="shared" si="17"/>
        <v>0.16311830115157158</v>
      </c>
      <c r="P18" s="315">
        <f t="shared" si="17"/>
        <v>-3.6210082749072281E-2</v>
      </c>
      <c r="Q18" s="326">
        <f t="shared" si="17"/>
        <v>0.2221381775566853</v>
      </c>
      <c r="R18" s="23">
        <f t="shared" si="17"/>
        <v>0.25653955352348812</v>
      </c>
      <c r="S18" s="315">
        <f t="shared" si="17"/>
        <v>-3.4401375966802789E-2</v>
      </c>
      <c r="T18" s="326">
        <f t="shared" si="17"/>
        <v>0.1269082184024993</v>
      </c>
      <c r="U18" s="23">
        <f t="shared" si="17"/>
        <v>0.16311830115157158</v>
      </c>
      <c r="V18" s="315">
        <f t="shared" si="17"/>
        <v>-3.6210082749072281E-2</v>
      </c>
      <c r="W18" s="326">
        <f t="shared" si="17"/>
        <v>0.1269082184024993</v>
      </c>
      <c r="X18" s="23">
        <f t="shared" si="17"/>
        <v>0.16311830115157158</v>
      </c>
      <c r="Y18" s="315">
        <f t="shared" si="17"/>
        <v>-3.6210082749072281E-2</v>
      </c>
    </row>
    <row r="19" spans="1:25">
      <c r="A19" s="26"/>
      <c r="B19" s="326"/>
      <c r="C19" s="23"/>
      <c r="D19" s="750"/>
      <c r="E19" s="326"/>
      <c r="F19" s="23"/>
      <c r="G19" s="750"/>
      <c r="H19" s="326"/>
      <c r="I19" s="23"/>
      <c r="J19" s="750"/>
      <c r="K19" s="326"/>
      <c r="L19" s="23"/>
      <c r="M19" s="750"/>
      <c r="N19" s="326"/>
      <c r="O19" s="23"/>
      <c r="P19" s="750"/>
      <c r="Q19" s="326"/>
      <c r="R19" s="23"/>
      <c r="S19" s="750"/>
      <c r="T19" s="326"/>
      <c r="U19" s="23"/>
      <c r="V19" s="750"/>
      <c r="W19" s="326"/>
      <c r="X19" s="23"/>
      <c r="Y19" s="750"/>
    </row>
    <row r="20" spans="1:25">
      <c r="A20" s="192" t="s">
        <v>171</v>
      </c>
      <c r="B20" s="743">
        <f t="shared" ref="B20:Y20" si="18">B10+B18</f>
        <v>0.24844105293908406</v>
      </c>
      <c r="C20" s="744">
        <f t="shared" si="18"/>
        <v>0.28465113568815636</v>
      </c>
      <c r="D20" s="745">
        <f t="shared" si="18"/>
        <v>-3.6210082749072281E-2</v>
      </c>
      <c r="E20" s="743">
        <f t="shared" si="18"/>
        <v>0.44904873914333016</v>
      </c>
      <c r="F20" s="744">
        <f t="shared" si="18"/>
        <v>0.48345011511013297</v>
      </c>
      <c r="G20" s="745">
        <f t="shared" si="18"/>
        <v>-3.4401375966802789E-2</v>
      </c>
      <c r="H20" s="743">
        <f t="shared" si="18"/>
        <v>0.75317102243111911</v>
      </c>
      <c r="I20" s="744">
        <f t="shared" si="18"/>
        <v>0.78757239839792192</v>
      </c>
      <c r="J20" s="745">
        <f t="shared" si="18"/>
        <v>-3.4401375966802789E-2</v>
      </c>
      <c r="K20" s="743">
        <f t="shared" si="18"/>
        <v>0.32311411066885959</v>
      </c>
      <c r="L20" s="744">
        <f t="shared" si="18"/>
        <v>0.35932419341793187</v>
      </c>
      <c r="M20" s="745">
        <f t="shared" si="18"/>
        <v>-3.6210082749072281E-2</v>
      </c>
      <c r="N20" s="743">
        <f t="shared" si="18"/>
        <v>2.125252599450878</v>
      </c>
      <c r="O20" s="744">
        <f t="shared" si="18"/>
        <v>2.1614626821999505</v>
      </c>
      <c r="P20" s="745">
        <f t="shared" si="18"/>
        <v>-3.6210082749072281E-2</v>
      </c>
      <c r="Q20" s="743">
        <f t="shared" si="18"/>
        <v>0.54037054174965382</v>
      </c>
      <c r="R20" s="744">
        <f t="shared" si="18"/>
        <v>0.57477191771645675</v>
      </c>
      <c r="S20" s="745">
        <f t="shared" si="18"/>
        <v>-3.4401375966802789E-2</v>
      </c>
      <c r="T20" s="743">
        <f t="shared" si="18"/>
        <v>0.30917480565901279</v>
      </c>
      <c r="U20" s="744">
        <f t="shared" si="18"/>
        <v>0.34538488840808501</v>
      </c>
      <c r="V20" s="745">
        <f t="shared" si="18"/>
        <v>-3.6210082749072281E-2</v>
      </c>
      <c r="W20" s="743">
        <f t="shared" si="18"/>
        <v>0.47771941259100204</v>
      </c>
      <c r="X20" s="744">
        <f t="shared" si="18"/>
        <v>0.51392949534007437</v>
      </c>
      <c r="Y20" s="745">
        <f t="shared" si="18"/>
        <v>-3.6210082749072281E-2</v>
      </c>
    </row>
    <row r="21" spans="1:25">
      <c r="A21" s="735" t="s">
        <v>534</v>
      </c>
      <c r="B21" s="747">
        <v>-0.11199896914367824</v>
      </c>
      <c r="C21" s="748">
        <v>-0.14820909267740368</v>
      </c>
      <c r="D21" s="749">
        <f t="shared" ref="D21" si="19">B21-C21</f>
        <v>3.6210123533725436E-2</v>
      </c>
      <c r="E21" s="747">
        <v>-0.19604020716872184</v>
      </c>
      <c r="F21" s="748">
        <v>-0.23044158313552465</v>
      </c>
      <c r="G21" s="749">
        <f t="shared" ref="G21" si="20">E21-F21</f>
        <v>3.4401375966802816E-2</v>
      </c>
      <c r="H21" s="747">
        <v>-0.13204020716872178</v>
      </c>
      <c r="I21" s="748">
        <v>-0.1664415831355246</v>
      </c>
      <c r="J21" s="749">
        <f t="shared" ref="J21" si="21">H21-I21</f>
        <v>3.4401375966802816E-2</v>
      </c>
      <c r="K21" s="747">
        <v>-0.11199896914367824</v>
      </c>
      <c r="L21" s="748">
        <v>-0.14820905189275052</v>
      </c>
      <c r="M21" s="749">
        <f t="shared" ref="M21" si="22">K21-L21</f>
        <v>3.6210082749072281E-2</v>
      </c>
      <c r="N21" s="747">
        <v>-0.11199896914367802</v>
      </c>
      <c r="O21" s="748">
        <v>-0.14820905189275058</v>
      </c>
      <c r="P21" s="749">
        <f t="shared" ref="P21" si="23">N21-O21</f>
        <v>3.6210082749072559E-2</v>
      </c>
      <c r="Q21" s="747">
        <v>-0.19604020716872173</v>
      </c>
      <c r="R21" s="748">
        <v>-0.23044158313552465</v>
      </c>
      <c r="S21" s="749">
        <f t="shared" ref="S21" si="24">Q21-R21</f>
        <v>3.4401375966802927E-2</v>
      </c>
      <c r="T21" s="747">
        <v>-0.1119989691436783</v>
      </c>
      <c r="U21" s="748">
        <v>-0.14820905189275049</v>
      </c>
      <c r="V21" s="749">
        <f t="shared" ref="V21" si="25">T21-U21</f>
        <v>3.6210082749072198E-2</v>
      </c>
      <c r="W21" s="747">
        <v>-0.11199896914367818</v>
      </c>
      <c r="X21" s="748">
        <v>-0.14820905189275047</v>
      </c>
      <c r="Y21" s="749">
        <f t="shared" ref="Y21" si="26">W21-X21</f>
        <v>3.6210082749072281E-2</v>
      </c>
    </row>
    <row r="22" spans="1:25">
      <c r="A22" s="192" t="s">
        <v>533</v>
      </c>
      <c r="B22" s="34">
        <f t="shared" ref="B22:Y22" si="27">SUM(B20:B21)</f>
        <v>0.13644208379540582</v>
      </c>
      <c r="C22" s="35">
        <f t="shared" si="27"/>
        <v>0.13644204301075269</v>
      </c>
      <c r="D22" s="746">
        <f t="shared" si="27"/>
        <v>4.0784653154712913E-8</v>
      </c>
      <c r="E22" s="34">
        <f t="shared" si="27"/>
        <v>0.25300853197460832</v>
      </c>
      <c r="F22" s="35">
        <f t="shared" si="27"/>
        <v>0.25300853197460832</v>
      </c>
      <c r="G22" s="746">
        <f t="shared" si="27"/>
        <v>0</v>
      </c>
      <c r="H22" s="34">
        <f t="shared" si="27"/>
        <v>0.62113081526239733</v>
      </c>
      <c r="I22" s="35">
        <f t="shared" si="27"/>
        <v>0.62113081526239733</v>
      </c>
      <c r="J22" s="746">
        <f t="shared" si="27"/>
        <v>0</v>
      </c>
      <c r="K22" s="34">
        <f t="shared" si="27"/>
        <v>0.21111514152518135</v>
      </c>
      <c r="L22" s="35">
        <f t="shared" si="27"/>
        <v>0.21111514152518135</v>
      </c>
      <c r="M22" s="746">
        <f t="shared" si="27"/>
        <v>0</v>
      </c>
      <c r="N22" s="34">
        <f t="shared" si="27"/>
        <v>2.0132536303071999</v>
      </c>
      <c r="O22" s="35">
        <f t="shared" si="27"/>
        <v>2.0132536303071999</v>
      </c>
      <c r="P22" s="746">
        <f t="shared" si="27"/>
        <v>2.7755575615628914E-16</v>
      </c>
      <c r="Q22" s="34">
        <f t="shared" si="27"/>
        <v>0.3443303345809321</v>
      </c>
      <c r="R22" s="35">
        <f t="shared" si="27"/>
        <v>0.3443303345809321</v>
      </c>
      <c r="S22" s="746">
        <f t="shared" si="27"/>
        <v>1.3877787807814457E-16</v>
      </c>
      <c r="T22" s="34">
        <f t="shared" si="27"/>
        <v>0.19717583651533449</v>
      </c>
      <c r="U22" s="35">
        <f t="shared" si="27"/>
        <v>0.19717583651533452</v>
      </c>
      <c r="V22" s="746">
        <f t="shared" si="27"/>
        <v>-8.3266726846886741E-17</v>
      </c>
      <c r="W22" s="34">
        <f t="shared" si="27"/>
        <v>0.36572044344732385</v>
      </c>
      <c r="X22" s="35">
        <f t="shared" si="27"/>
        <v>0.36572044344732391</v>
      </c>
      <c r="Y22" s="746">
        <f t="shared" si="27"/>
        <v>0</v>
      </c>
    </row>
  </sheetData>
  <mergeCells count="8">
    <mergeCell ref="Q1:S1"/>
    <mergeCell ref="T1:V1"/>
    <mergeCell ref="W1:Y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X175"/>
  <sheetViews>
    <sheetView zoomScaleNormal="10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A7" sqref="A7"/>
    </sheetView>
  </sheetViews>
  <sheetFormatPr defaultColWidth="10.5703125" defaultRowHeight="12.75" outlineLevelCol="1"/>
  <cols>
    <col min="1" max="1" width="46.7109375" style="1" bestFit="1" customWidth="1"/>
    <col min="2" max="2" width="15.7109375" style="1" customWidth="1"/>
    <col min="3" max="3" width="12.7109375" style="1" bestFit="1" customWidth="1"/>
    <col min="4" max="5" width="14.28515625" style="1" bestFit="1" customWidth="1"/>
    <col min="6" max="6" width="14" style="1" bestFit="1" customWidth="1"/>
    <col min="7" max="7" width="11.7109375" style="1" bestFit="1" customWidth="1"/>
    <col min="8" max="8" width="12.28515625" style="1" bestFit="1" customWidth="1"/>
    <col min="9" max="9" width="11.7109375" style="1" bestFit="1" customWidth="1"/>
    <col min="10" max="10" width="12.28515625" style="1" bestFit="1" customWidth="1"/>
    <col min="11" max="11" width="11.7109375" style="1" bestFit="1" customWidth="1"/>
    <col min="12" max="12" width="12.28515625" style="1" customWidth="1"/>
    <col min="13" max="13" width="11.7109375" style="1" bestFit="1" customWidth="1"/>
    <col min="14" max="14" width="12.28515625" style="1" bestFit="1" customWidth="1"/>
    <col min="15" max="15" width="11.7109375" style="1" customWidth="1"/>
    <col min="16" max="16" width="12.28515625" style="1" bestFit="1" customWidth="1"/>
    <col min="17" max="17" width="11.7109375" style="1" bestFit="1" customWidth="1"/>
    <col min="18" max="18" width="12.28515625" style="1" bestFit="1" customWidth="1"/>
    <col min="19" max="19" width="8" style="1" bestFit="1" customWidth="1"/>
    <col min="20" max="20" width="8.5703125" style="1" bestFit="1" customWidth="1"/>
    <col min="21" max="21" width="8.7109375" style="1" bestFit="1" customWidth="1"/>
    <col min="22" max="22" width="8" style="1" bestFit="1" customWidth="1"/>
    <col min="23" max="23" width="8.5703125" style="1" bestFit="1" customWidth="1"/>
    <col min="24" max="24" width="8.7109375" style="1" bestFit="1" customWidth="1"/>
    <col min="25" max="25" width="8" style="1" bestFit="1" customWidth="1"/>
    <col min="26" max="26" width="5.5703125" style="1" customWidth="1"/>
    <col min="27" max="27" width="15.28515625" style="1" bestFit="1" customWidth="1"/>
    <col min="28" max="28" width="11.28515625" style="1" bestFit="1" customWidth="1"/>
    <col min="29" max="29" width="13.7109375" style="1" bestFit="1" customWidth="1"/>
    <col min="30" max="30" width="9" style="1" bestFit="1" customWidth="1"/>
    <col min="31" max="31" width="8" style="1" bestFit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7" style="1" customWidth="1" outlineLevel="1"/>
    <col min="39" max="40" width="9.28515625" style="1" customWidth="1" outlineLevel="1"/>
    <col min="41" max="42" width="11.5703125" style="1" customWidth="1" outlineLevel="1"/>
    <col min="43" max="43" width="11.7109375" style="1" bestFit="1" customWidth="1" outlineLevel="1"/>
    <col min="44" max="44" width="12.7109375" style="1" customWidth="1" outlineLevel="1"/>
    <col min="45" max="46" width="11.7109375" style="1" bestFit="1" customWidth="1" outlineLevel="1"/>
    <col min="47" max="48" width="10" style="1" customWidth="1" outlineLevel="1"/>
    <col min="49" max="49" width="12.7109375" style="1" bestFit="1" customWidth="1" outlineLevel="1"/>
    <col min="50" max="50" width="11.42578125" style="135" customWidth="1" outlineLevel="1"/>
    <col min="51" max="52" width="10.7109375" style="1" customWidth="1" outlineLevel="1"/>
    <col min="53" max="53" width="15.42578125" style="1" customWidth="1" outlineLevel="1"/>
    <col min="54" max="54" width="15.28515625" style="1" customWidth="1" outlineLevel="1"/>
    <col min="55" max="55" width="15.42578125" style="1" customWidth="1" outlineLevel="1"/>
    <col min="56" max="58" width="11.7109375" style="1" customWidth="1" outlineLevel="1"/>
    <col min="59" max="59" width="12.28515625" style="1" customWidth="1" outlineLevel="1"/>
    <col min="60" max="62" width="11.7109375" style="1" customWidth="1" outlineLevel="1"/>
    <col min="63" max="64" width="12.5703125" style="1" customWidth="1" outlineLevel="1"/>
    <col min="65" max="67" width="11.7109375" style="1" customWidth="1" outlineLevel="1"/>
    <col min="68" max="68" width="10.7109375" style="1" customWidth="1" outlineLevel="1"/>
    <col min="69" max="69" width="11.7109375" style="1" customWidth="1" outlineLevel="1"/>
    <col min="70" max="71" width="10.5703125" style="1" customWidth="1" outlineLevel="1"/>
    <col min="72" max="72" width="17.42578125" style="1" customWidth="1" outlineLevel="1"/>
    <col min="73" max="73" width="10.5703125" style="1" bestFit="1" customWidth="1" outlineLevel="1"/>
    <col min="74" max="74" width="15.7109375" style="1" customWidth="1" outlineLevel="1"/>
    <col min="75" max="76" width="10.5703125" style="1" customWidth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293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29" t="s">
        <v>216</v>
      </c>
      <c r="AG1" s="1029"/>
      <c r="AH1" s="1029"/>
      <c r="AI1" s="1029"/>
      <c r="AJ1" s="1029"/>
      <c r="AK1" s="245"/>
      <c r="AL1" s="246"/>
      <c r="AM1" s="128"/>
      <c r="AN1" s="128"/>
      <c r="AO1" s="1029" t="s">
        <v>225</v>
      </c>
      <c r="AP1" s="1029"/>
      <c r="AQ1" s="1029"/>
      <c r="AR1" s="1029"/>
      <c r="AS1" s="1029"/>
      <c r="AT1" s="1029"/>
      <c r="AU1" s="1029"/>
      <c r="AV1" s="1029"/>
      <c r="AW1" s="1029"/>
      <c r="AX1" s="1029"/>
      <c r="AY1" s="1029"/>
      <c r="AZ1" s="1029"/>
      <c r="BA1" s="1029"/>
      <c r="BB1" s="1029"/>
      <c r="BC1" s="1029"/>
      <c r="BD1" s="1029"/>
      <c r="BE1" s="1029"/>
      <c r="BF1" s="1029"/>
      <c r="BG1" s="1029"/>
      <c r="BH1" s="248" t="s">
        <v>194</v>
      </c>
      <c r="BI1" s="248" t="s">
        <v>177</v>
      </c>
      <c r="BJ1" s="248" t="s">
        <v>282</v>
      </c>
      <c r="BK1" s="248" t="s">
        <v>508</v>
      </c>
      <c r="BL1" s="248" t="s">
        <v>516</v>
      </c>
      <c r="BM1" s="248" t="s">
        <v>502</v>
      </c>
      <c r="BN1" s="248" t="s">
        <v>498</v>
      </c>
      <c r="BO1" s="248" t="s">
        <v>499</v>
      </c>
      <c r="BP1" s="387" t="s">
        <v>107</v>
      </c>
      <c r="BQ1" s="387" t="s">
        <v>194</v>
      </c>
      <c r="BR1" s="387" t="s">
        <v>177</v>
      </c>
      <c r="BS1" s="387" t="s">
        <v>282</v>
      </c>
      <c r="BT1" s="387" t="s">
        <v>508</v>
      </c>
      <c r="BU1" s="387" t="s">
        <v>516</v>
      </c>
      <c r="BV1" s="387" t="s">
        <v>502</v>
      </c>
      <c r="BW1" s="387" t="s">
        <v>498</v>
      </c>
      <c r="BX1" s="387" t="s">
        <v>499</v>
      </c>
    </row>
    <row r="2" spans="1:76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10" t="s">
        <v>190</v>
      </c>
      <c r="AG2" s="10" t="s">
        <v>55</v>
      </c>
      <c r="AH2" s="10" t="s">
        <v>3</v>
      </c>
      <c r="AI2" s="140" t="s">
        <v>1</v>
      </c>
      <c r="AJ2" s="140" t="s">
        <v>215</v>
      </c>
      <c r="AK2" s="249" t="s">
        <v>2</v>
      </c>
      <c r="AL2" s="9" t="s">
        <v>223</v>
      </c>
      <c r="AM2" s="129" t="s">
        <v>226</v>
      </c>
      <c r="AN2" s="129" t="s">
        <v>227</v>
      </c>
      <c r="AO2" s="10" t="s">
        <v>529</v>
      </c>
      <c r="AP2" s="10" t="s">
        <v>177</v>
      </c>
      <c r="AQ2" s="10" t="s">
        <v>282</v>
      </c>
      <c r="AR2" s="10" t="s">
        <v>508</v>
      </c>
      <c r="AS2" s="732" t="s">
        <v>516</v>
      </c>
      <c r="AT2" s="10" t="s">
        <v>502</v>
      </c>
      <c r="AU2" s="10" t="s">
        <v>498</v>
      </c>
      <c r="AV2" s="10" t="s">
        <v>499</v>
      </c>
      <c r="AW2" s="10" t="s">
        <v>3</v>
      </c>
      <c r="AX2" s="140" t="s">
        <v>530</v>
      </c>
      <c r="AY2" s="140" t="s">
        <v>229</v>
      </c>
      <c r="AZ2" s="140" t="s">
        <v>283</v>
      </c>
      <c r="BA2" s="10" t="s">
        <v>531</v>
      </c>
      <c r="BB2" s="10" t="s">
        <v>532</v>
      </c>
      <c r="BC2" s="10" t="s">
        <v>509</v>
      </c>
      <c r="BD2" s="10" t="s">
        <v>510</v>
      </c>
      <c r="BE2" s="10" t="s">
        <v>511</v>
      </c>
      <c r="BF2" s="140" t="s">
        <v>230</v>
      </c>
      <c r="BG2" s="140" t="s">
        <v>215</v>
      </c>
      <c r="BH2" s="249" t="s">
        <v>222</v>
      </c>
      <c r="BI2" s="249" t="s">
        <v>222</v>
      </c>
      <c r="BJ2" s="249" t="s">
        <v>222</v>
      </c>
      <c r="BK2" s="249" t="s">
        <v>222</v>
      </c>
      <c r="BL2" s="249" t="s">
        <v>222</v>
      </c>
      <c r="BM2" s="249" t="s">
        <v>222</v>
      </c>
      <c r="BN2" s="249" t="s">
        <v>222</v>
      </c>
      <c r="BO2" s="249" t="s">
        <v>222</v>
      </c>
      <c r="BP2" s="388" t="s">
        <v>327</v>
      </c>
      <c r="BQ2" s="388" t="s">
        <v>327</v>
      </c>
      <c r="BR2" s="388" t="s">
        <v>327</v>
      </c>
      <c r="BS2" s="388" t="s">
        <v>327</v>
      </c>
      <c r="BT2" s="388" t="s">
        <v>327</v>
      </c>
      <c r="BU2" s="388" t="s">
        <v>327</v>
      </c>
      <c r="BV2" s="388" t="s">
        <v>327</v>
      </c>
      <c r="BW2" s="388" t="s">
        <v>327</v>
      </c>
      <c r="BX2" s="388" t="s">
        <v>327</v>
      </c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31" t="s">
        <v>516</v>
      </c>
      <c r="O3" s="1032"/>
      <c r="P3" s="1033"/>
      <c r="Q3" s="1031" t="s">
        <v>502</v>
      </c>
      <c r="R3" s="1032"/>
      <c r="S3" s="1033"/>
      <c r="T3" s="1031" t="s">
        <v>498</v>
      </c>
      <c r="U3" s="1032"/>
      <c r="V3" s="1033"/>
      <c r="W3" s="1031" t="s">
        <v>499</v>
      </c>
      <c r="X3" s="1032"/>
      <c r="Y3" s="1033"/>
      <c r="Z3" s="363"/>
      <c r="AA3" s="1031" t="s">
        <v>309</v>
      </c>
      <c r="AB3" s="1032"/>
      <c r="AC3" s="1033"/>
      <c r="AD3" s="727"/>
      <c r="AF3" s="4"/>
      <c r="AG3" s="4"/>
      <c r="AH3" s="4"/>
      <c r="AI3" s="4"/>
      <c r="AJ3" s="5"/>
      <c r="AK3" s="265"/>
      <c r="AL3" s="3"/>
      <c r="AM3" s="125"/>
      <c r="AN3" s="126"/>
      <c r="AO3" s="733" t="s">
        <v>521</v>
      </c>
      <c r="AP3" s="733" t="s">
        <v>522</v>
      </c>
      <c r="AQ3" s="733" t="s">
        <v>523</v>
      </c>
      <c r="AR3" s="733" t="s">
        <v>524</v>
      </c>
      <c r="AS3" s="733" t="s">
        <v>525</v>
      </c>
      <c r="AT3" s="733" t="s">
        <v>526</v>
      </c>
      <c r="AU3" s="733" t="s">
        <v>527</v>
      </c>
      <c r="AV3" s="733" t="s">
        <v>528</v>
      </c>
      <c r="AW3" s="4"/>
      <c r="AX3" s="733" t="s">
        <v>521</v>
      </c>
      <c r="AY3" s="733" t="s">
        <v>522</v>
      </c>
      <c r="AZ3" s="733" t="s">
        <v>523</v>
      </c>
      <c r="BA3" s="733" t="s">
        <v>524</v>
      </c>
      <c r="BB3" s="733" t="s">
        <v>525</v>
      </c>
      <c r="BC3" s="733" t="s">
        <v>526</v>
      </c>
      <c r="BD3" s="733" t="s">
        <v>527</v>
      </c>
      <c r="BE3" s="733" t="s">
        <v>528</v>
      </c>
      <c r="BF3" s="242"/>
      <c r="BG3" s="5"/>
      <c r="BH3" s="1025"/>
      <c r="BI3" s="1025"/>
      <c r="BJ3" s="1025"/>
      <c r="BK3" s="159"/>
      <c r="BL3" s="159"/>
      <c r="BM3" s="159"/>
      <c r="BN3" s="159"/>
      <c r="BO3" s="159"/>
      <c r="BP3" s="389"/>
      <c r="BQ3" s="736" t="s">
        <v>521</v>
      </c>
      <c r="BR3" s="736" t="s">
        <v>522</v>
      </c>
      <c r="BS3" s="736" t="s">
        <v>523</v>
      </c>
      <c r="BT3" s="736" t="s">
        <v>524</v>
      </c>
      <c r="BU3" s="736" t="s">
        <v>525</v>
      </c>
      <c r="BV3" s="736" t="s">
        <v>526</v>
      </c>
      <c r="BW3" s="736" t="s">
        <v>527</v>
      </c>
      <c r="BX3" s="736" t="s">
        <v>528</v>
      </c>
    </row>
    <row r="4" spans="1:76" s="6" customFormat="1" ht="16.5">
      <c r="B4" s="664" t="s">
        <v>500</v>
      </c>
      <c r="C4" s="185" t="s">
        <v>501</v>
      </c>
      <c r="D4" s="665" t="s">
        <v>464</v>
      </c>
      <c r="E4" s="664" t="s">
        <v>500</v>
      </c>
      <c r="F4" s="185" t="s">
        <v>501</v>
      </c>
      <c r="G4" s="665" t="s">
        <v>464</v>
      </c>
      <c r="H4" s="664" t="s">
        <v>500</v>
      </c>
      <c r="I4" s="185" t="s">
        <v>501</v>
      </c>
      <c r="J4" s="665" t="s">
        <v>464</v>
      </c>
      <c r="K4" s="664" t="s">
        <v>500</v>
      </c>
      <c r="L4" s="185" t="s">
        <v>501</v>
      </c>
      <c r="M4" s="665" t="s">
        <v>464</v>
      </c>
      <c r="N4" s="664" t="s">
        <v>500</v>
      </c>
      <c r="O4" s="185" t="s">
        <v>501</v>
      </c>
      <c r="P4" s="665" t="s">
        <v>464</v>
      </c>
      <c r="Q4" s="664" t="s">
        <v>500</v>
      </c>
      <c r="R4" s="185" t="s">
        <v>501</v>
      </c>
      <c r="S4" s="665" t="s">
        <v>464</v>
      </c>
      <c r="T4" s="664" t="s">
        <v>500</v>
      </c>
      <c r="U4" s="185" t="s">
        <v>501</v>
      </c>
      <c r="V4" s="665" t="s">
        <v>464</v>
      </c>
      <c r="W4" s="664" t="s">
        <v>500</v>
      </c>
      <c r="X4" s="185" t="s">
        <v>501</v>
      </c>
      <c r="Y4" s="665" t="s">
        <v>464</v>
      </c>
      <c r="Z4" s="8"/>
      <c r="AA4" s="664" t="s">
        <v>500</v>
      </c>
      <c r="AB4" s="683" t="s">
        <v>514</v>
      </c>
      <c r="AC4" s="684" t="s">
        <v>515</v>
      </c>
      <c r="AF4" s="10"/>
      <c r="AG4" s="10"/>
      <c r="AH4" s="10"/>
      <c r="AI4" s="5"/>
      <c r="AJ4" s="5"/>
      <c r="AK4" s="256"/>
      <c r="AL4" s="9"/>
      <c r="AM4" s="125"/>
      <c r="AN4" s="126"/>
      <c r="AO4" s="243"/>
      <c r="AP4" s="243"/>
      <c r="AQ4" s="243"/>
      <c r="AR4" s="243"/>
      <c r="AS4" s="243"/>
      <c r="AT4" s="243"/>
      <c r="AU4" s="243"/>
      <c r="AV4" s="243"/>
      <c r="AW4" s="10"/>
      <c r="AX4" s="244"/>
      <c r="AY4" s="244"/>
      <c r="AZ4" s="244"/>
      <c r="BA4" s="244"/>
      <c r="BB4" s="244"/>
      <c r="BC4" s="244"/>
      <c r="BD4" s="244"/>
      <c r="BE4" s="244"/>
      <c r="BF4" s="244"/>
      <c r="BG4" s="5"/>
      <c r="BH4" s="5"/>
      <c r="BI4" s="5"/>
      <c r="BJ4" s="5"/>
      <c r="BK4" s="5"/>
      <c r="BL4" s="5"/>
      <c r="BM4" s="5"/>
      <c r="BN4" s="5"/>
      <c r="BO4" s="5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287</v>
      </c>
      <c r="D5" s="314"/>
      <c r="E5" s="321"/>
      <c r="F5" s="13" t="s">
        <v>287</v>
      </c>
      <c r="G5" s="322"/>
      <c r="H5" s="321"/>
      <c r="I5" s="13" t="s">
        <v>287</v>
      </c>
      <c r="J5" s="322"/>
      <c r="K5" s="321"/>
      <c r="L5" s="13" t="s">
        <v>287</v>
      </c>
      <c r="M5" s="322"/>
      <c r="N5" s="321"/>
      <c r="O5" s="13" t="s">
        <v>287</v>
      </c>
      <c r="P5" s="322"/>
      <c r="Q5" s="321"/>
      <c r="R5" s="13" t="s">
        <v>287</v>
      </c>
      <c r="S5" s="322"/>
      <c r="T5" s="321"/>
      <c r="U5" s="13" t="s">
        <v>287</v>
      </c>
      <c r="V5" s="322"/>
      <c r="W5" s="321"/>
      <c r="X5" s="13" t="s">
        <v>287</v>
      </c>
      <c r="Y5" s="322"/>
      <c r="Z5" s="309"/>
      <c r="AA5" s="321"/>
      <c r="AB5" s="11"/>
      <c r="AC5" s="322"/>
      <c r="AF5" s="15"/>
      <c r="AG5" s="15"/>
      <c r="AH5" s="15"/>
      <c r="AI5" s="16"/>
      <c r="AJ5" s="16"/>
      <c r="AK5" s="159"/>
      <c r="AL5" s="14"/>
      <c r="AM5" s="125"/>
      <c r="AN5" s="126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$D$66</f>
        <v>5.2442083795405811E-2</v>
      </c>
      <c r="C6" s="666">
        <v>5.2476065931663131E-2</v>
      </c>
      <c r="D6" s="667">
        <v>4.6284642573161047E-2</v>
      </c>
      <c r="E6" s="668">
        <f>$F$66</f>
        <v>0.11900853197460831</v>
      </c>
      <c r="F6" s="666">
        <v>0.11639619165611868</v>
      </c>
      <c r="G6" s="667">
        <v>0.14603302910492424</v>
      </c>
      <c r="H6" s="668">
        <f>$H$66</f>
        <v>0.42313081526239732</v>
      </c>
      <c r="I6" s="666">
        <v>0.41696457556317473</v>
      </c>
      <c r="J6" s="667">
        <v>0.5815406062835875</v>
      </c>
      <c r="K6" s="668">
        <f>$J$66</f>
        <v>0.12711514152518133</v>
      </c>
      <c r="L6" s="666">
        <v>0.12044520725388599</v>
      </c>
      <c r="M6" s="667">
        <v>0.27654982296173175</v>
      </c>
      <c r="N6" s="668">
        <f>$L$66</f>
        <v>1.9292536303071999</v>
      </c>
      <c r="O6" s="666">
        <v>1.8366354166666665</v>
      </c>
      <c r="P6" s="667">
        <v>0</v>
      </c>
      <c r="Q6" s="668">
        <f>$N$66</f>
        <v>0.21033033458093209</v>
      </c>
      <c r="R6" s="666">
        <v>0.19631708815028903</v>
      </c>
      <c r="S6" s="667">
        <v>0.21347580367139823</v>
      </c>
      <c r="T6" s="668">
        <f>$P$66</f>
        <v>0.1131758365153345</v>
      </c>
      <c r="U6" s="666">
        <v>0.26903052856586651</v>
      </c>
      <c r="V6" s="667">
        <v>0.14685585187605005</v>
      </c>
      <c r="W6" s="668">
        <f>$R$66</f>
        <v>0.28172044344732383</v>
      </c>
      <c r="X6" s="666">
        <v>0.41772518731827324</v>
      </c>
      <c r="Y6" s="667">
        <v>0.14685585187605005</v>
      </c>
      <c r="Z6" s="18"/>
      <c r="AA6" s="668">
        <f t="shared" ref="AA6:AA11" si="0">(B6*B$26+E6*E$26+H6*H$26+K6*K$26+N6*N$26+Q6*Q$26+T6*T$26+W6*W$26)/AA$26</f>
        <v>0.17383503023563554</v>
      </c>
      <c r="AB6" s="666">
        <f t="shared" ref="AB6:AB11" si="1">AA6</f>
        <v>0.17383503023563554</v>
      </c>
      <c r="AC6" s="667">
        <f t="shared" ref="AC6:AC11" si="2">AA6-AB6</f>
        <v>0</v>
      </c>
      <c r="AE6" s="59">
        <f t="shared" ref="AE6:AE11" si="3">AA6*$AA$26</f>
        <v>9590.4786181000127</v>
      </c>
      <c r="AF6" s="24"/>
      <c r="AG6" s="21"/>
      <c r="AH6" s="21"/>
      <c r="AI6" s="2"/>
      <c r="AJ6" s="2"/>
      <c r="AK6" s="159"/>
      <c r="AL6" s="20"/>
      <c r="AM6" s="125"/>
      <c r="AN6" s="126"/>
      <c r="AO6" s="21"/>
      <c r="AP6" s="21"/>
      <c r="AQ6" s="21"/>
      <c r="AR6" s="21"/>
      <c r="AS6" s="21"/>
      <c r="AT6" s="21"/>
      <c r="AU6" s="21"/>
      <c r="AV6" s="21"/>
      <c r="AW6" s="21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$D$114</f>
        <v>9.8763951131202107E-3</v>
      </c>
      <c r="C7" s="251">
        <v>1.3296851432682244E-2</v>
      </c>
      <c r="D7" s="673">
        <v>5.8460609145492698E-3</v>
      </c>
      <c r="E7" s="672">
        <f>$H$114</f>
        <v>5.5687673983977802E-2</v>
      </c>
      <c r="F7" s="251">
        <v>5.034760026604871E-2</v>
      </c>
      <c r="G7" s="674">
        <v>5.1013841075769222E-2</v>
      </c>
      <c r="H7" s="672">
        <f>$H$114</f>
        <v>5.5687673983977802E-2</v>
      </c>
      <c r="I7" s="251">
        <v>6.3041198224444067E-2</v>
      </c>
      <c r="J7" s="673">
        <v>5.1013841075769222E-2</v>
      </c>
      <c r="K7" s="672">
        <f>$D$114</f>
        <v>9.8763951131202107E-3</v>
      </c>
      <c r="L7" s="251">
        <v>4.3388439119170985E-3</v>
      </c>
      <c r="M7" s="673">
        <v>5.8460609145492698E-3</v>
      </c>
      <c r="N7" s="672">
        <f>$D$114</f>
        <v>9.8763951131202107E-3</v>
      </c>
      <c r="O7" s="251">
        <v>5.1273333333333327E-3</v>
      </c>
      <c r="P7" s="673">
        <v>0</v>
      </c>
      <c r="Q7" s="672">
        <f>$H$114</f>
        <v>5.5687673983977802E-2</v>
      </c>
      <c r="R7" s="251">
        <v>7.4619382225433531E-2</v>
      </c>
      <c r="S7" s="673">
        <v>5.1013841075769222E-2</v>
      </c>
      <c r="T7" s="672">
        <f>$D$114</f>
        <v>9.8763951131202107E-3</v>
      </c>
      <c r="U7" s="251">
        <v>8.4103379152493593E-3</v>
      </c>
      <c r="V7" s="673">
        <v>5.8460609145492698E-3</v>
      </c>
      <c r="W7" s="672">
        <f>$D$114</f>
        <v>9.8763951131202107E-3</v>
      </c>
      <c r="X7" s="251">
        <v>5.4841618206217854E-3</v>
      </c>
      <c r="Y7" s="673">
        <v>5.8460609145492698E-3</v>
      </c>
      <c r="Z7" s="23"/>
      <c r="AA7" s="672">
        <f t="shared" si="0"/>
        <v>3.8108830886351273E-2</v>
      </c>
      <c r="AB7" s="251">
        <f t="shared" si="1"/>
        <v>3.8108830886351273E-2</v>
      </c>
      <c r="AC7" s="673">
        <f t="shared" si="2"/>
        <v>0</v>
      </c>
      <c r="AE7" s="59">
        <f t="shared" si="3"/>
        <v>2102.4641999999999</v>
      </c>
      <c r="AF7" s="24">
        <f>ROUND($G$108*$H$108,0)</f>
        <v>2102464</v>
      </c>
      <c r="AG7" s="24">
        <v>0</v>
      </c>
      <c r="AH7" s="24">
        <f>SUM(AF7:AG7)</f>
        <v>2102464</v>
      </c>
      <c r="AI7" s="19">
        <f>G108</f>
        <v>27674100</v>
      </c>
      <c r="AJ7" s="25">
        <f>AH7/AI7</f>
        <v>7.597226287395073E-2</v>
      </c>
      <c r="AK7" s="159" t="s">
        <v>6</v>
      </c>
      <c r="AL7" s="20" t="s">
        <v>7</v>
      </c>
      <c r="AM7" s="125">
        <v>630010</v>
      </c>
      <c r="AN7" s="126">
        <v>1</v>
      </c>
      <c r="AO7" s="24">
        <f>ROUND($B$114*$C$114*$B$26*1000,0)</f>
        <v>91850</v>
      </c>
      <c r="AP7" s="24">
        <f>ROUND($F$114*$G$114*$E$26*1000,0)</f>
        <v>1336504</v>
      </c>
      <c r="AQ7" s="24">
        <f>ROUND($F$114*$G$114*$H$26*1000,0)</f>
        <v>556877</v>
      </c>
      <c r="AR7" s="24">
        <f>ROUND($B$114*$C$114*$K$26*1000,0)</f>
        <v>46123</v>
      </c>
      <c r="AS7" s="24">
        <f>ROUND($B$114*$C$114*$N$26*1000,0)</f>
        <v>0</v>
      </c>
      <c r="AT7" s="24">
        <f>ROUND($F$114*$G$114*$Q$26*1000,0)</f>
        <v>0</v>
      </c>
      <c r="AU7" s="24">
        <f>ROUND($B$114*$C$114*$T$26*1000,0)</f>
        <v>35555</v>
      </c>
      <c r="AV7" s="24">
        <f>ROUND($B$114*$C$114*$W$26*1000,0)</f>
        <v>35555</v>
      </c>
      <c r="AW7" s="24">
        <f t="shared" ref="AW7" si="4">SUM(AO7:AV7)</f>
        <v>2102464</v>
      </c>
      <c r="AX7" s="19">
        <f>$B$114*$B$26*1000</f>
        <v>1209000</v>
      </c>
      <c r="AY7" s="19">
        <f>$F$114*$E$26*1000</f>
        <v>17592000.000000004</v>
      </c>
      <c r="AZ7" s="19">
        <f>$F$114*$H$26*1000</f>
        <v>7330000.0000000009</v>
      </c>
      <c r="BA7" s="19">
        <f>$B$114*$K$26*1000</f>
        <v>607100</v>
      </c>
      <c r="BB7" s="19">
        <f>$B$114*$N$26*1000</f>
        <v>0</v>
      </c>
      <c r="BC7" s="19">
        <f>$F$114*$Q$26*1000</f>
        <v>0</v>
      </c>
      <c r="BD7" s="19">
        <f>$B$114*$T$26*1000</f>
        <v>468000</v>
      </c>
      <c r="BE7" s="19">
        <f>$B$114*$W$26*1000</f>
        <v>468000</v>
      </c>
      <c r="BF7" s="19">
        <f>SUM(AX7:BE7)</f>
        <v>27674100.000000004</v>
      </c>
      <c r="BG7" s="25">
        <f>AW7/BF7</f>
        <v>7.597226287395073E-2</v>
      </c>
      <c r="BH7" s="56">
        <f t="shared" ref="BH7:BO11" si="5">IF(AO$26&lt;&gt;0,ROUND(AX7/AO$26*1000,3),0)</f>
        <v>130</v>
      </c>
      <c r="BI7" s="56">
        <f t="shared" si="5"/>
        <v>733</v>
      </c>
      <c r="BJ7" s="56">
        <f t="shared" si="5"/>
        <v>733</v>
      </c>
      <c r="BK7" s="56">
        <f t="shared" si="5"/>
        <v>130</v>
      </c>
      <c r="BL7" s="56">
        <f t="shared" ref="BL7:BM11" si="6">IF(AS$26&lt;&gt;0,ROUND(BB7/AS$26*1000,3),BH7)</f>
        <v>130</v>
      </c>
      <c r="BM7" s="56">
        <f t="shared" si="6"/>
        <v>733</v>
      </c>
      <c r="BN7" s="56">
        <f t="shared" si="5"/>
        <v>130</v>
      </c>
      <c r="BO7" s="56">
        <f t="shared" si="5"/>
        <v>130</v>
      </c>
      <c r="BP7" s="241">
        <f>AC7*$AA$26</f>
        <v>0</v>
      </c>
      <c r="BQ7" s="241">
        <f t="shared" ref="BQ7:BX11" si="7">$AC7*AO$26/1000</f>
        <v>0</v>
      </c>
      <c r="BR7" s="241">
        <f t="shared" si="7"/>
        <v>0</v>
      </c>
      <c r="BS7" s="241">
        <f t="shared" si="7"/>
        <v>0</v>
      </c>
      <c r="BT7" s="241">
        <f t="shared" si="7"/>
        <v>0</v>
      </c>
      <c r="BU7" s="241">
        <f t="shared" si="7"/>
        <v>0</v>
      </c>
      <c r="BV7" s="241">
        <f t="shared" si="7"/>
        <v>0</v>
      </c>
      <c r="BW7" s="241">
        <f t="shared" si="7"/>
        <v>0</v>
      </c>
      <c r="BX7" s="241">
        <f t="shared" si="7"/>
        <v>0</v>
      </c>
    </row>
    <row r="8" spans="1:76" ht="15">
      <c r="A8" s="26" t="s">
        <v>8</v>
      </c>
      <c r="B8" s="675">
        <f>$D$119</f>
        <v>1.6799999999999999E-2</v>
      </c>
      <c r="C8" s="251">
        <v>2.3514843651910824E-2</v>
      </c>
      <c r="D8" s="673">
        <v>2.5057337979094076E-2</v>
      </c>
      <c r="E8" s="675">
        <f>$H$119</f>
        <v>9.7999999999999997E-3</v>
      </c>
      <c r="F8" s="251">
        <v>2.0991938360047251E-2</v>
      </c>
      <c r="G8" s="673">
        <v>1.4094752613240417E-2</v>
      </c>
      <c r="H8" s="675">
        <f>$H$119</f>
        <v>9.7999999999999997E-3</v>
      </c>
      <c r="I8" s="251">
        <v>1.5002511404550474E-2</v>
      </c>
      <c r="J8" s="673">
        <v>1.4094752613240417E-2</v>
      </c>
      <c r="K8" s="675">
        <f>$D$119</f>
        <v>1.6799999999999999E-2</v>
      </c>
      <c r="L8" s="251">
        <v>2.59391353626943E-2</v>
      </c>
      <c r="M8" s="673">
        <v>2.5057337979094076E-2</v>
      </c>
      <c r="N8" s="675">
        <f>$D$119</f>
        <v>1.6799999999999999E-2</v>
      </c>
      <c r="O8" s="251">
        <v>2.896025E-2</v>
      </c>
      <c r="P8" s="673">
        <v>0</v>
      </c>
      <c r="Q8" s="675">
        <f>$H$119</f>
        <v>9.7999999999999997E-3</v>
      </c>
      <c r="R8" s="251">
        <v>1.5185187861271677E-2</v>
      </c>
      <c r="S8" s="673">
        <v>1.4094752613240417E-2</v>
      </c>
      <c r="T8" s="675">
        <f>$D$119</f>
        <v>1.6799999999999999E-2</v>
      </c>
      <c r="U8" s="251">
        <v>1.141992526869412E-2</v>
      </c>
      <c r="V8" s="673">
        <v>2.5057337979094076E-2</v>
      </c>
      <c r="W8" s="675">
        <f>$D$119</f>
        <v>1.6799999999999999E-2</v>
      </c>
      <c r="X8" s="251">
        <v>1.2148610489823304E-2</v>
      </c>
      <c r="Y8" s="673">
        <v>2.5057337979094076E-2</v>
      </c>
      <c r="Z8" s="23"/>
      <c r="AA8" s="675">
        <f t="shared" si="0"/>
        <v>1.2486061265180351E-2</v>
      </c>
      <c r="AB8" s="251">
        <f t="shared" si="1"/>
        <v>1.2486061265180351E-2</v>
      </c>
      <c r="AC8" s="673">
        <f t="shared" si="2"/>
        <v>0</v>
      </c>
      <c r="AE8" s="59">
        <f t="shared" si="3"/>
        <v>688.85599999999999</v>
      </c>
      <c r="AF8" s="24">
        <f>ROUND($D$108*$C$108,0)</f>
        <v>688856</v>
      </c>
      <c r="AG8" s="24">
        <v>0</v>
      </c>
      <c r="AH8" s="24">
        <f>SUM(AF8:AG8)</f>
        <v>688856</v>
      </c>
      <c r="AI8" s="19">
        <f>C108*1000</f>
        <v>196815999.99999997</v>
      </c>
      <c r="AJ8" s="25">
        <f>AH8/AI8</f>
        <v>3.5000000000000005E-3</v>
      </c>
      <c r="AK8" s="159" t="s">
        <v>9</v>
      </c>
      <c r="AL8" s="20" t="s">
        <v>10</v>
      </c>
      <c r="AM8" s="125" t="s">
        <v>75</v>
      </c>
      <c r="AN8" s="126">
        <v>1</v>
      </c>
      <c r="AO8" s="24">
        <f>ROUND($B$119*$C$119*$B$26*1000,0)</f>
        <v>156240</v>
      </c>
      <c r="AP8" s="24">
        <f>ROUND($F$119*$G$119*$E$26*1000,0)</f>
        <v>235200</v>
      </c>
      <c r="AQ8" s="24">
        <f>ROUND($F$119*$G$119*$H$26*1000,0)</f>
        <v>98000</v>
      </c>
      <c r="AR8" s="24">
        <f>ROUND($B$119*$C$119*$K$26*1000,0)</f>
        <v>78456</v>
      </c>
      <c r="AS8" s="24">
        <f>ROUND($B$119*$C$119*$N$26*1000,0)</f>
        <v>0</v>
      </c>
      <c r="AT8" s="24">
        <f>ROUND($F$119*$G$119*$Q$26*1000,0)</f>
        <v>0</v>
      </c>
      <c r="AU8" s="24">
        <f>ROUND($B$119*$C$119*$T$26*1000,0)</f>
        <v>60480</v>
      </c>
      <c r="AV8" s="24">
        <f>ROUND($B$119*$C$119*$W$26*1000,0)</f>
        <v>60480</v>
      </c>
      <c r="AW8" s="24">
        <f>SUM(AO8:AV8)</f>
        <v>688856</v>
      </c>
      <c r="AX8" s="19">
        <f>$B$119*$B$26*1000*1000</f>
        <v>44639999.999999993</v>
      </c>
      <c r="AY8" s="19">
        <f>$F$119*$E$26*1000*1000</f>
        <v>67199999.999999985</v>
      </c>
      <c r="AZ8" s="19">
        <f>$F$119*$H$26*1000*1000</f>
        <v>27999999.999999996</v>
      </c>
      <c r="BA8" s="19">
        <f>$B$119*$K$26*1000*1000</f>
        <v>22415999.999999996</v>
      </c>
      <c r="BB8" s="19">
        <f>$B$119*$N$26*1000*1000</f>
        <v>0</v>
      </c>
      <c r="BC8" s="19">
        <f>$F$119*$Q$26*1000*1000</f>
        <v>0</v>
      </c>
      <c r="BD8" s="19">
        <f>$B$119*$T$26*1000*1000</f>
        <v>17279999.999999996</v>
      </c>
      <c r="BE8" s="19">
        <f>$B$119*$W$26*1000*1000</f>
        <v>17279999.999999996</v>
      </c>
      <c r="BF8" s="19">
        <f t="shared" ref="BF8:BF11" si="8">SUM(AX8:BE8)</f>
        <v>196815999.99999997</v>
      </c>
      <c r="BG8" s="25">
        <f>AW8/BF8</f>
        <v>3.5000000000000005E-3</v>
      </c>
      <c r="BH8" s="56">
        <f t="shared" si="5"/>
        <v>4800</v>
      </c>
      <c r="BI8" s="56">
        <f t="shared" si="5"/>
        <v>2800</v>
      </c>
      <c r="BJ8" s="56">
        <f t="shared" si="5"/>
        <v>2800</v>
      </c>
      <c r="BK8" s="56">
        <f t="shared" si="5"/>
        <v>4800</v>
      </c>
      <c r="BL8" s="56">
        <f t="shared" si="6"/>
        <v>4800</v>
      </c>
      <c r="BM8" s="56">
        <f t="shared" si="6"/>
        <v>2800</v>
      </c>
      <c r="BN8" s="56">
        <f t="shared" si="5"/>
        <v>4800</v>
      </c>
      <c r="BO8" s="56">
        <f t="shared" si="5"/>
        <v>4800</v>
      </c>
      <c r="BP8" s="241">
        <f>AC8*$AA$26</f>
        <v>0</v>
      </c>
      <c r="BQ8" s="241">
        <f t="shared" si="7"/>
        <v>0</v>
      </c>
      <c r="BR8" s="241">
        <f t="shared" si="7"/>
        <v>0</v>
      </c>
      <c r="BS8" s="241">
        <f t="shared" si="7"/>
        <v>0</v>
      </c>
      <c r="BT8" s="241">
        <f t="shared" si="7"/>
        <v>0</v>
      </c>
      <c r="BU8" s="241">
        <f t="shared" si="7"/>
        <v>0</v>
      </c>
      <c r="BV8" s="241">
        <f t="shared" si="7"/>
        <v>0</v>
      </c>
      <c r="BW8" s="241">
        <f t="shared" si="7"/>
        <v>0</v>
      </c>
      <c r="BX8" s="241">
        <f t="shared" si="7"/>
        <v>0</v>
      </c>
    </row>
    <row r="9" spans="1:76" ht="15">
      <c r="A9" s="17" t="s">
        <v>11</v>
      </c>
      <c r="B9" s="675">
        <f>$H$129</f>
        <v>2.7188689505165852E-2</v>
      </c>
      <c r="C9" s="251">
        <v>2.2502447768060915E-2</v>
      </c>
      <c r="D9" s="673">
        <v>4.9930653869625516E-2</v>
      </c>
      <c r="E9" s="675">
        <f>$H$129</f>
        <v>2.7188689505165852E-2</v>
      </c>
      <c r="F9" s="251">
        <v>3.4492915645016713E-2</v>
      </c>
      <c r="G9" s="673">
        <v>4.9930653869625516E-2</v>
      </c>
      <c r="H9" s="675">
        <f>$H$129</f>
        <v>2.7188689505165852E-2</v>
      </c>
      <c r="I9" s="251">
        <v>3.3203791771702532E-2</v>
      </c>
      <c r="J9" s="673">
        <v>4.9930653869625516E-2</v>
      </c>
      <c r="K9" s="675">
        <f>$H$129</f>
        <v>2.7188689505165852E-2</v>
      </c>
      <c r="L9" s="251">
        <v>2.5464135362694301E-2</v>
      </c>
      <c r="M9" s="673">
        <v>4.9930653869625516E-2</v>
      </c>
      <c r="N9" s="675">
        <f>$H$129</f>
        <v>2.7188689505165852E-2</v>
      </c>
      <c r="O9" s="251">
        <v>3.2007750000000001E-2</v>
      </c>
      <c r="P9" s="673">
        <v>0</v>
      </c>
      <c r="Q9" s="675">
        <f>$H$129</f>
        <v>2.7188689505165852E-2</v>
      </c>
      <c r="R9" s="251">
        <v>1.2887626445086706E-2</v>
      </c>
      <c r="S9" s="673">
        <v>4.9930653869625516E-2</v>
      </c>
      <c r="T9" s="675">
        <f>$H$129</f>
        <v>2.7188689505165852E-2</v>
      </c>
      <c r="U9" s="251">
        <v>2.7627116062966785E-2</v>
      </c>
      <c r="V9" s="673">
        <v>4.9930653869625516E-2</v>
      </c>
      <c r="W9" s="675">
        <f>$H$129</f>
        <v>2.7188689505165852E-2</v>
      </c>
      <c r="X9" s="251">
        <v>3.4060431111608135E-2</v>
      </c>
      <c r="Y9" s="673">
        <v>4.9930653869625516E-2</v>
      </c>
      <c r="Z9" s="23"/>
      <c r="AA9" s="675">
        <f t="shared" si="0"/>
        <v>2.7188689505165856E-2</v>
      </c>
      <c r="AB9" s="251">
        <f t="shared" si="1"/>
        <v>2.7188689505165856E-2</v>
      </c>
      <c r="AC9" s="673">
        <f t="shared" si="2"/>
        <v>0</v>
      </c>
      <c r="AE9" s="59">
        <f t="shared" si="3"/>
        <v>1500.0000000000002</v>
      </c>
      <c r="AF9" s="24">
        <f>ROUND($G$129,0)</f>
        <v>1500000</v>
      </c>
      <c r="AG9" s="24">
        <v>0</v>
      </c>
      <c r="AH9" s="24">
        <f>SUM(AF9:AG9)</f>
        <v>1500000</v>
      </c>
      <c r="AI9" s="19">
        <f>$B$28*1000</f>
        <v>55170000</v>
      </c>
      <c r="AJ9" s="25">
        <f>AH9/AI9</f>
        <v>2.7188689505165852E-2</v>
      </c>
      <c r="AK9" s="159" t="s">
        <v>12</v>
      </c>
      <c r="AL9" s="20" t="s">
        <v>13</v>
      </c>
      <c r="AM9" s="125" t="s">
        <v>76</v>
      </c>
      <c r="AN9" s="126">
        <v>1</v>
      </c>
      <c r="AO9" s="24">
        <f>$H$129*$B$26*1000</f>
        <v>252854.81239804241</v>
      </c>
      <c r="AP9" s="24">
        <f>$H$129*$E$26*1000</f>
        <v>652528.54812398052</v>
      </c>
      <c r="AQ9" s="24">
        <f>$H$129*$H$26*1000</f>
        <v>271886.89505165856</v>
      </c>
      <c r="AR9" s="24">
        <f>$H$129*$K$26*1000</f>
        <v>126971.17998912453</v>
      </c>
      <c r="AS9" s="24">
        <f>$H$129*$N$26*1000</f>
        <v>0</v>
      </c>
      <c r="AT9" s="24">
        <f>$H$129*$Q$26*1000</f>
        <v>0</v>
      </c>
      <c r="AU9" s="24">
        <f>$H$129*$T$26*1000</f>
        <v>97879.282218597073</v>
      </c>
      <c r="AV9" s="24">
        <f>$H$129*$W$26*1000</f>
        <v>97879.282218597073</v>
      </c>
      <c r="AW9" s="24">
        <f t="shared" ref="AW9:AW11" si="9">SUM(AO9:AV9)</f>
        <v>1500000.0000000005</v>
      </c>
      <c r="AX9" s="19">
        <f>$B$26*1000</f>
        <v>9300000</v>
      </c>
      <c r="AY9" s="19">
        <f>$E$26*1000</f>
        <v>24000000</v>
      </c>
      <c r="AZ9" s="19">
        <f>$H$26*1000</f>
        <v>10000000</v>
      </c>
      <c r="BA9" s="19">
        <f>$K$26*1000</f>
        <v>4670000</v>
      </c>
      <c r="BB9" s="19">
        <f>$N$26*1000</f>
        <v>0</v>
      </c>
      <c r="BC9" s="19">
        <f>$Q$26*1000</f>
        <v>0</v>
      </c>
      <c r="BD9" s="19">
        <f>$T$26*1000</f>
        <v>3600000</v>
      </c>
      <c r="BE9" s="19">
        <f>$W$26*1000</f>
        <v>3600000</v>
      </c>
      <c r="BF9" s="19">
        <f t="shared" si="8"/>
        <v>55170000</v>
      </c>
      <c r="BG9" s="25">
        <f>AW9/BF9</f>
        <v>2.7188689505165859E-2</v>
      </c>
      <c r="BH9" s="56">
        <f t="shared" si="5"/>
        <v>1000</v>
      </c>
      <c r="BI9" s="56">
        <f t="shared" si="5"/>
        <v>1000</v>
      </c>
      <c r="BJ9" s="56">
        <f t="shared" si="5"/>
        <v>1000</v>
      </c>
      <c r="BK9" s="56">
        <f t="shared" si="5"/>
        <v>1000</v>
      </c>
      <c r="BL9" s="56">
        <f t="shared" si="6"/>
        <v>1000</v>
      </c>
      <c r="BM9" s="56">
        <f t="shared" si="6"/>
        <v>1000</v>
      </c>
      <c r="BN9" s="56">
        <f t="shared" si="5"/>
        <v>1000</v>
      </c>
      <c r="BO9" s="56">
        <f t="shared" si="5"/>
        <v>1000</v>
      </c>
      <c r="BP9" s="241">
        <f>AC9*$AA$26</f>
        <v>0</v>
      </c>
      <c r="BQ9" s="241">
        <f t="shared" si="7"/>
        <v>0</v>
      </c>
      <c r="BR9" s="241">
        <f t="shared" si="7"/>
        <v>0</v>
      </c>
      <c r="BS9" s="241">
        <f t="shared" si="7"/>
        <v>0</v>
      </c>
      <c r="BT9" s="241">
        <f t="shared" si="7"/>
        <v>0</v>
      </c>
      <c r="BU9" s="241">
        <f t="shared" si="7"/>
        <v>0</v>
      </c>
      <c r="BV9" s="241">
        <f t="shared" si="7"/>
        <v>0</v>
      </c>
      <c r="BW9" s="241">
        <f t="shared" si="7"/>
        <v>0</v>
      </c>
      <c r="BX9" s="241">
        <f t="shared" si="7"/>
        <v>0</v>
      </c>
    </row>
    <row r="10" spans="1:76" ht="15">
      <c r="A10" s="17" t="s">
        <v>14</v>
      </c>
      <c r="B10" s="675">
        <f>$H$133</f>
        <v>4.3501903208265358E-3</v>
      </c>
      <c r="C10" s="251">
        <v>2.3760033966409846E-3</v>
      </c>
      <c r="D10" s="673">
        <v>6.6574202496532597E-3</v>
      </c>
      <c r="E10" s="675">
        <f>$H$133</f>
        <v>4.3501903208265358E-3</v>
      </c>
      <c r="F10" s="251">
        <v>1.0081948525944847E-2</v>
      </c>
      <c r="G10" s="673">
        <v>6.6574202496532597E-3</v>
      </c>
      <c r="H10" s="675">
        <f>$H$133</f>
        <v>4.3501903208265358E-3</v>
      </c>
      <c r="I10" s="251">
        <v>5.7492015435642403E-3</v>
      </c>
      <c r="J10" s="673">
        <v>6.6574202496532597E-3</v>
      </c>
      <c r="K10" s="675">
        <f>$H$133</f>
        <v>4.3501903208265358E-3</v>
      </c>
      <c r="L10" s="251">
        <v>7.4659488341968913E-3</v>
      </c>
      <c r="M10" s="673">
        <v>6.6574202496532597E-3</v>
      </c>
      <c r="N10" s="675">
        <f>$H$133</f>
        <v>4.3501903208265358E-3</v>
      </c>
      <c r="O10" s="251">
        <v>2.4083333333333334E-5</v>
      </c>
      <c r="P10" s="673">
        <v>0</v>
      </c>
      <c r="Q10" s="675">
        <f>$H$133</f>
        <v>4.3501903208265358E-3</v>
      </c>
      <c r="R10" s="251">
        <v>6.2434067919075143E-3</v>
      </c>
      <c r="S10" s="673">
        <v>6.6574202496532597E-3</v>
      </c>
      <c r="T10" s="675">
        <f>$H$133</f>
        <v>4.3501903208265358E-3</v>
      </c>
      <c r="U10" s="251">
        <v>2.8120483799164565E-3</v>
      </c>
      <c r="V10" s="673">
        <v>6.6574202496532597E-3</v>
      </c>
      <c r="W10" s="675">
        <f>$H$133</f>
        <v>4.3501903208265358E-3</v>
      </c>
      <c r="X10" s="251">
        <v>4.0891998434354733E-3</v>
      </c>
      <c r="Y10" s="673">
        <v>6.6574202496532597E-3</v>
      </c>
      <c r="Z10" s="23"/>
      <c r="AA10" s="675">
        <f t="shared" si="0"/>
        <v>4.3501903208265358E-3</v>
      </c>
      <c r="AB10" s="251">
        <f t="shared" si="1"/>
        <v>4.3501903208265358E-3</v>
      </c>
      <c r="AC10" s="673">
        <f t="shared" si="2"/>
        <v>0</v>
      </c>
      <c r="AE10" s="59">
        <f t="shared" si="3"/>
        <v>239.99999999999997</v>
      </c>
      <c r="AF10" s="24">
        <f>ROUND($G$133,0)</f>
        <v>240000</v>
      </c>
      <c r="AG10" s="24">
        <v>0</v>
      </c>
      <c r="AH10" s="24">
        <f>SUM(AF10:AG10)</f>
        <v>240000</v>
      </c>
      <c r="AI10" s="19">
        <f>$B$28*1000</f>
        <v>55170000</v>
      </c>
      <c r="AJ10" s="25">
        <f>AH10/AI10</f>
        <v>4.3501903208265358E-3</v>
      </c>
      <c r="AK10" s="159" t="s">
        <v>12</v>
      </c>
      <c r="AL10" s="20" t="s">
        <v>15</v>
      </c>
      <c r="AM10" s="125" t="s">
        <v>77</v>
      </c>
      <c r="AN10" s="126">
        <v>1</v>
      </c>
      <c r="AO10" s="24">
        <f>$H$133*$B$26*1000</f>
        <v>40456.769983686783</v>
      </c>
      <c r="AP10" s="24">
        <f>$H$133*$E$26*1000</f>
        <v>104404.56769983686</v>
      </c>
      <c r="AQ10" s="24">
        <f>$H$133*$H$26*1000</f>
        <v>43501.903208265358</v>
      </c>
      <c r="AR10" s="24">
        <f>$H$133*$K$26*1000</f>
        <v>20315.388798259923</v>
      </c>
      <c r="AS10" s="24">
        <f>$H$133*$N$26*1000</f>
        <v>0</v>
      </c>
      <c r="AT10" s="24">
        <f>$H$133*$Q$26*1000</f>
        <v>0</v>
      </c>
      <c r="AU10" s="24">
        <f>$H$133*$T$26*1000</f>
        <v>15660.685154975528</v>
      </c>
      <c r="AV10" s="24">
        <f>$H$133*$W$26*1000</f>
        <v>15660.685154975528</v>
      </c>
      <c r="AW10" s="24">
        <f t="shared" si="9"/>
        <v>240000.00000000003</v>
      </c>
      <c r="AX10" s="19">
        <f>$B$26*1000</f>
        <v>9300000</v>
      </c>
      <c r="AY10" s="19">
        <f>$E$26*1000</f>
        <v>24000000</v>
      </c>
      <c r="AZ10" s="19">
        <f>$H$26*1000</f>
        <v>10000000</v>
      </c>
      <c r="BA10" s="19">
        <f>$K$26*1000</f>
        <v>4670000</v>
      </c>
      <c r="BB10" s="19">
        <f>$N$26*1000</f>
        <v>0</v>
      </c>
      <c r="BC10" s="19">
        <f>$Q$26*1000</f>
        <v>0</v>
      </c>
      <c r="BD10" s="19">
        <f>$T$26*1000</f>
        <v>3600000</v>
      </c>
      <c r="BE10" s="19">
        <f>$W$26*1000</f>
        <v>3600000</v>
      </c>
      <c r="BF10" s="19">
        <f t="shared" si="8"/>
        <v>55170000</v>
      </c>
      <c r="BG10" s="25">
        <f>AW10/BF10</f>
        <v>4.3501903208265367E-3</v>
      </c>
      <c r="BH10" s="56">
        <f t="shared" si="5"/>
        <v>1000</v>
      </c>
      <c r="BI10" s="56">
        <f t="shared" si="5"/>
        <v>1000</v>
      </c>
      <c r="BJ10" s="56">
        <f t="shared" si="5"/>
        <v>1000</v>
      </c>
      <c r="BK10" s="56">
        <f t="shared" si="5"/>
        <v>1000</v>
      </c>
      <c r="BL10" s="56">
        <f t="shared" si="6"/>
        <v>1000</v>
      </c>
      <c r="BM10" s="56">
        <f t="shared" si="6"/>
        <v>1000</v>
      </c>
      <c r="BN10" s="56">
        <f t="shared" si="5"/>
        <v>1000</v>
      </c>
      <c r="BO10" s="56">
        <f t="shared" si="5"/>
        <v>1000</v>
      </c>
      <c r="BP10" s="241">
        <f>AC10*$AA$26</f>
        <v>0</v>
      </c>
      <c r="BQ10" s="241">
        <f t="shared" si="7"/>
        <v>0</v>
      </c>
      <c r="BR10" s="241">
        <f t="shared" si="7"/>
        <v>0</v>
      </c>
      <c r="BS10" s="241">
        <f t="shared" si="7"/>
        <v>0</v>
      </c>
      <c r="BT10" s="241">
        <f t="shared" si="7"/>
        <v>0</v>
      </c>
      <c r="BU10" s="241">
        <f t="shared" si="7"/>
        <v>0</v>
      </c>
      <c r="BV10" s="241">
        <f t="shared" si="7"/>
        <v>0</v>
      </c>
      <c r="BW10" s="241">
        <f t="shared" si="7"/>
        <v>0</v>
      </c>
      <c r="BX10" s="241">
        <f t="shared" si="7"/>
        <v>0</v>
      </c>
    </row>
    <row r="11" spans="1:76" ht="15">
      <c r="A11" s="17" t="s">
        <v>16</v>
      </c>
      <c r="B11" s="676">
        <f>$H$136</f>
        <v>1.0875475802066341E-2</v>
      </c>
      <c r="C11" s="677">
        <v>8.478246701043371E-3</v>
      </c>
      <c r="D11" s="678">
        <v>1.6643550624133148E-2</v>
      </c>
      <c r="E11" s="676">
        <f>$H$136</f>
        <v>1.0875475802066341E-2</v>
      </c>
      <c r="F11" s="677">
        <v>1.3888916347325055E-2</v>
      </c>
      <c r="G11" s="680">
        <v>1.6643550624133148E-2</v>
      </c>
      <c r="H11" s="676">
        <f>$H$136</f>
        <v>1.0875475802066341E-2</v>
      </c>
      <c r="I11" s="677">
        <v>1.7367486964257994E-2</v>
      </c>
      <c r="J11" s="680">
        <v>1.6643550624133148E-2</v>
      </c>
      <c r="K11" s="676">
        <f>$H$136</f>
        <v>1.0875475802066341E-2</v>
      </c>
      <c r="L11" s="677">
        <v>3.6245790155440415E-3</v>
      </c>
      <c r="M11" s="680">
        <v>1.6643550624133148E-2</v>
      </c>
      <c r="N11" s="676">
        <f>$H$136</f>
        <v>1.0875475802066341E-2</v>
      </c>
      <c r="O11" s="252">
        <v>1.3958E-2</v>
      </c>
      <c r="P11" s="680">
        <v>0</v>
      </c>
      <c r="Q11" s="676">
        <f>$H$136</f>
        <v>1.0875475802066341E-2</v>
      </c>
      <c r="R11" s="677">
        <v>1.3900072254335261E-2</v>
      </c>
      <c r="S11" s="680">
        <v>1.6643550624133148E-2</v>
      </c>
      <c r="T11" s="676">
        <f>$H$136</f>
        <v>1.0875475802066341E-2</v>
      </c>
      <c r="U11" s="677">
        <v>1.3435556304571951E-2</v>
      </c>
      <c r="V11" s="680">
        <v>1.6643550624133148E-2</v>
      </c>
      <c r="W11" s="676">
        <f>$H$136</f>
        <v>1.0875475802066341E-2</v>
      </c>
      <c r="X11" s="677">
        <v>1.8878704428539478E-2</v>
      </c>
      <c r="Y11" s="680">
        <v>1.6643550624133148E-2</v>
      </c>
      <c r="Z11" s="31"/>
      <c r="AA11" s="679">
        <f t="shared" si="0"/>
        <v>1.0875475802066343E-2</v>
      </c>
      <c r="AB11" s="677">
        <f t="shared" si="1"/>
        <v>1.0875475802066343E-2</v>
      </c>
      <c r="AC11" s="680">
        <f t="shared" si="2"/>
        <v>0</v>
      </c>
      <c r="AE11" s="730">
        <f t="shared" si="3"/>
        <v>600.00000000000011</v>
      </c>
      <c r="AF11" s="28">
        <f>ROUND($G$136,0)</f>
        <v>600000</v>
      </c>
      <c r="AG11" s="28">
        <v>0</v>
      </c>
      <c r="AH11" s="28">
        <f>SUM(AF11:AG11)</f>
        <v>600000</v>
      </c>
      <c r="AI11" s="19">
        <f>$B$28*1000</f>
        <v>55170000</v>
      </c>
      <c r="AJ11" s="25">
        <f>AH11/AI11</f>
        <v>1.0875475802066341E-2</v>
      </c>
      <c r="AK11" s="159" t="s">
        <v>12</v>
      </c>
      <c r="AL11" s="20" t="s">
        <v>17</v>
      </c>
      <c r="AM11" s="125" t="s">
        <v>78</v>
      </c>
      <c r="AN11" s="127" t="s">
        <v>78</v>
      </c>
      <c r="AO11" s="28">
        <f>$H$136*$B$26*1000</f>
        <v>101141.92495921698</v>
      </c>
      <c r="AP11" s="28">
        <f>$H$136*$E$26*1000</f>
        <v>261011.41924959217</v>
      </c>
      <c r="AQ11" s="28">
        <f>$H$136*$H$26*1000</f>
        <v>108754.75802066342</v>
      </c>
      <c r="AR11" s="28">
        <f>$H$136*$K$26*1000</f>
        <v>50788.471995649816</v>
      </c>
      <c r="AS11" s="28">
        <f>$H$136*$N$26*1000</f>
        <v>0</v>
      </c>
      <c r="AT11" s="28">
        <f>$H$136*$Q$26*1000</f>
        <v>0</v>
      </c>
      <c r="AU11" s="28">
        <f>$H$136*$T$26*1000</f>
        <v>39151.712887438829</v>
      </c>
      <c r="AV11" s="28">
        <f>$H$136*$W$26*1000</f>
        <v>39151.712887438829</v>
      </c>
      <c r="AW11" s="28">
        <f t="shared" si="9"/>
        <v>600000</v>
      </c>
      <c r="AX11" s="19">
        <f>$B$26*1000</f>
        <v>9300000</v>
      </c>
      <c r="AY11" s="19">
        <f>$E$26*1000</f>
        <v>24000000</v>
      </c>
      <c r="AZ11" s="19">
        <f>$H$26*1000</f>
        <v>10000000</v>
      </c>
      <c r="BA11" s="19">
        <f>$K$26*1000</f>
        <v>4670000</v>
      </c>
      <c r="BB11" s="19">
        <f>$N$26*1000</f>
        <v>0</v>
      </c>
      <c r="BC11" s="19">
        <f>$Q$26*1000</f>
        <v>0</v>
      </c>
      <c r="BD11" s="19">
        <f>$T$26*1000</f>
        <v>3600000</v>
      </c>
      <c r="BE11" s="19">
        <f>$W$26*1000</f>
        <v>3600000</v>
      </c>
      <c r="BF11" s="19">
        <f t="shared" si="8"/>
        <v>55170000</v>
      </c>
      <c r="BG11" s="25">
        <f>AW11/BF11</f>
        <v>1.0875475802066341E-2</v>
      </c>
      <c r="BH11" s="56">
        <f t="shared" si="5"/>
        <v>1000</v>
      </c>
      <c r="BI11" s="56">
        <f t="shared" si="5"/>
        <v>1000</v>
      </c>
      <c r="BJ11" s="56">
        <f t="shared" si="5"/>
        <v>1000</v>
      </c>
      <c r="BK11" s="56">
        <f t="shared" si="5"/>
        <v>1000</v>
      </c>
      <c r="BL11" s="56">
        <f t="shared" si="6"/>
        <v>1000</v>
      </c>
      <c r="BM11" s="56">
        <f t="shared" si="6"/>
        <v>1000</v>
      </c>
      <c r="BN11" s="56">
        <f t="shared" si="5"/>
        <v>1000</v>
      </c>
      <c r="BO11" s="56">
        <f t="shared" si="5"/>
        <v>1000</v>
      </c>
      <c r="BP11" s="384">
        <f>AC11*$AA$26</f>
        <v>0</v>
      </c>
      <c r="BQ11" s="384">
        <f t="shared" si="7"/>
        <v>0</v>
      </c>
      <c r="BR11" s="384">
        <f t="shared" si="7"/>
        <v>0</v>
      </c>
      <c r="BS11" s="384">
        <f t="shared" si="7"/>
        <v>0</v>
      </c>
      <c r="BT11" s="384">
        <f t="shared" si="7"/>
        <v>0</v>
      </c>
      <c r="BU11" s="384">
        <f t="shared" si="7"/>
        <v>0</v>
      </c>
      <c r="BV11" s="384">
        <f t="shared" si="7"/>
        <v>0</v>
      </c>
      <c r="BW11" s="384">
        <f t="shared" si="7"/>
        <v>0</v>
      </c>
      <c r="BX11" s="384">
        <f t="shared" si="7"/>
        <v>0</v>
      </c>
    </row>
    <row r="12" spans="1:76">
      <c r="A12" s="192" t="s">
        <v>169</v>
      </c>
      <c r="B12" s="675">
        <f t="shared" ref="B12:D12" si="10">SUM(B6:B11)</f>
        <v>0.12153283453658476</v>
      </c>
      <c r="C12" s="251">
        <f t="shared" si="10"/>
        <v>0.12264445888200147</v>
      </c>
      <c r="D12" s="673">
        <f t="shared" si="10"/>
        <v>0.1504196662102163</v>
      </c>
      <c r="E12" s="675">
        <f>SUM(E6:E11)</f>
        <v>0.22691056158664485</v>
      </c>
      <c r="F12" s="251">
        <f t="shared" ref="F12" si="11">SUM(F6:F11)</f>
        <v>0.24619951080050129</v>
      </c>
      <c r="G12" s="673">
        <f>SUM(G6:G11)</f>
        <v>0.28437324753734583</v>
      </c>
      <c r="H12" s="675">
        <f>SUM(H6:H11)</f>
        <v>0.53103284487443381</v>
      </c>
      <c r="I12" s="251">
        <f t="shared" ref="I12" si="12">SUM(I6:I11)</f>
        <v>0.55132876547169407</v>
      </c>
      <c r="J12" s="673">
        <f>SUM(J6:J11)</f>
        <v>0.719880824716009</v>
      </c>
      <c r="K12" s="675">
        <f>SUM(K6:K11)</f>
        <v>0.19620589226636029</v>
      </c>
      <c r="L12" s="251">
        <f t="shared" ref="L12" si="13">SUM(L6:L11)</f>
        <v>0.18727784974093262</v>
      </c>
      <c r="M12" s="673">
        <f>SUM(M6:M11)</f>
        <v>0.38068484659878704</v>
      </c>
      <c r="N12" s="675">
        <f>SUM(N6:N11)</f>
        <v>1.9983443810483787</v>
      </c>
      <c r="O12" s="251">
        <f t="shared" ref="O12" si="14">SUM(O6:O11)</f>
        <v>1.916712833333333</v>
      </c>
      <c r="P12" s="673">
        <f>SUM(P6:P11)</f>
        <v>0</v>
      </c>
      <c r="Q12" s="675">
        <f>SUM(Q6:Q11)</f>
        <v>0.31823236419296858</v>
      </c>
      <c r="R12" s="251">
        <f t="shared" ref="R12" si="15">SUM(R6:R11)</f>
        <v>0.31915276372832369</v>
      </c>
      <c r="S12" s="673">
        <f>SUM(S6:S11)</f>
        <v>0.35181602210381979</v>
      </c>
      <c r="T12" s="675">
        <f>SUM(T6:T11)</f>
        <v>0.18226658725651346</v>
      </c>
      <c r="U12" s="251">
        <f t="shared" ref="U12" si="16">SUM(U6:U11)</f>
        <v>0.33273551249726518</v>
      </c>
      <c r="V12" s="673">
        <f>SUM(V6:V11)</f>
        <v>0.25099087551310528</v>
      </c>
      <c r="W12" s="675">
        <f>SUM(W6:W11)</f>
        <v>0.35081119418850276</v>
      </c>
      <c r="X12" s="251">
        <f t="shared" ref="X12" si="17">SUM(X6:X11)</f>
        <v>0.49238629501230136</v>
      </c>
      <c r="Y12" s="673">
        <f>SUM(Y6:Y11)</f>
        <v>0.25099087551310528</v>
      </c>
      <c r="Z12" s="23"/>
      <c r="AA12" s="675">
        <f>SUM(AA6:AA11)</f>
        <v>0.26684427801522587</v>
      </c>
      <c r="AB12" s="251">
        <f>SUM(AB6:AB11)</f>
        <v>0.26684427801522587</v>
      </c>
      <c r="AC12" s="673">
        <f>SUM(AC6:AC11)</f>
        <v>0</v>
      </c>
      <c r="AE12" s="59">
        <f>SUM(AE7:AE11)</f>
        <v>5131.3202000000001</v>
      </c>
      <c r="AF12" s="29">
        <f>SUM(AF7:AF11)</f>
        <v>5131320</v>
      </c>
      <c r="AG12" s="29">
        <f>SUM(AG7:AG11)</f>
        <v>0</v>
      </c>
      <c r="AH12" s="29">
        <f>SUM(AH7:AH11)</f>
        <v>5131320</v>
      </c>
      <c r="AI12" s="19"/>
      <c r="AJ12" s="19"/>
      <c r="AK12" s="159"/>
      <c r="AL12" s="20"/>
      <c r="AM12" s="125"/>
      <c r="AN12" s="127"/>
      <c r="AO12" s="29">
        <f>SUM(AO7:AO11)</f>
        <v>642543.50734094612</v>
      </c>
      <c r="AP12" s="29">
        <f>SUM(AP7:AP11)</f>
        <v>2589648.5350734098</v>
      </c>
      <c r="AQ12" s="29">
        <f>SUM(AQ7:AQ11)</f>
        <v>1079020.5562805873</v>
      </c>
      <c r="AR12" s="29"/>
      <c r="AS12" s="29"/>
      <c r="AT12" s="29"/>
      <c r="AU12" s="29"/>
      <c r="AV12" s="29"/>
      <c r="AW12" s="29">
        <f>SUM(AW7:AW11)</f>
        <v>5131320</v>
      </c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02">
        <f>SUM(BP7:BP11)</f>
        <v>0</v>
      </c>
      <c r="BQ12" s="102">
        <f t="shared" ref="BQ12:BX12" si="18">SUM(BQ7:BQ11)</f>
        <v>0</v>
      </c>
      <c r="BR12" s="102">
        <f t="shared" si="18"/>
        <v>0</v>
      </c>
      <c r="BS12" s="102">
        <f t="shared" si="18"/>
        <v>0</v>
      </c>
      <c r="BT12" s="102">
        <f t="shared" si="18"/>
        <v>0</v>
      </c>
      <c r="BU12" s="102">
        <f t="shared" ref="BU12" si="19">SUM(BU7:BU11)</f>
        <v>0</v>
      </c>
      <c r="BV12" s="102">
        <f t="shared" si="18"/>
        <v>0</v>
      </c>
      <c r="BW12" s="102">
        <f t="shared" si="18"/>
        <v>0</v>
      </c>
      <c r="BX12" s="102">
        <f t="shared" si="18"/>
        <v>0</v>
      </c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675"/>
      <c r="O13" s="251"/>
      <c r="P13" s="673"/>
      <c r="Q13" s="675"/>
      <c r="R13" s="251"/>
      <c r="S13" s="673"/>
      <c r="T13" s="675"/>
      <c r="U13" s="251"/>
      <c r="V13" s="673"/>
      <c r="W13" s="675"/>
      <c r="X13" s="251"/>
      <c r="Y13" s="673"/>
      <c r="Z13" s="23"/>
      <c r="AA13" s="675"/>
      <c r="AB13" s="251"/>
      <c r="AC13" s="673"/>
      <c r="AE13" s="59"/>
      <c r="AF13" s="29"/>
      <c r="AG13" s="29"/>
      <c r="AH13" s="29"/>
      <c r="AI13" s="19"/>
      <c r="AJ13" s="19"/>
      <c r="AK13" s="159"/>
      <c r="AL13" s="20"/>
      <c r="AM13" s="125"/>
      <c r="AN13" s="127"/>
      <c r="AO13" s="29"/>
      <c r="AP13" s="29"/>
      <c r="AQ13" s="29"/>
      <c r="AR13" s="29"/>
      <c r="AS13" s="29"/>
      <c r="AT13" s="29"/>
      <c r="AU13" s="29"/>
      <c r="AV13" s="29"/>
      <c r="AW13" s="2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>
      <c r="A14" s="17" t="s">
        <v>18</v>
      </c>
      <c r="B14" s="675">
        <f>IF($B$142&lt;&gt;0,$F99/$B$142/1000,0)</f>
        <v>3.898950738225853E-2</v>
      </c>
      <c r="C14" s="251">
        <v>1.8989995517075791E-2</v>
      </c>
      <c r="D14" s="673">
        <v>4.257129598906486E-2</v>
      </c>
      <c r="E14" s="675">
        <f>IF($C$142&lt;&gt;0,$H99/$C$142/1000,0)</f>
        <v>3.8989507382258523E-2</v>
      </c>
      <c r="F14" s="251">
        <v>2.8644278156155029E-2</v>
      </c>
      <c r="G14" s="673">
        <v>4.2571295989064853E-2</v>
      </c>
      <c r="H14" s="675">
        <f>IF($C$142&lt;&gt;0,$H99/$C$142/1000,0)</f>
        <v>3.8989507382258523E-2</v>
      </c>
      <c r="I14" s="251">
        <v>5.5686214697902546E-2</v>
      </c>
      <c r="J14" s="673">
        <v>4.2571295989064853E-2</v>
      </c>
      <c r="K14" s="675">
        <f>IF($B$142&lt;&gt;0,$F99/$B$142/1000,0)</f>
        <v>3.898950738225853E-2</v>
      </c>
      <c r="L14" s="251">
        <v>1.4388196243523315E-2</v>
      </c>
      <c r="M14" s="673">
        <v>4.257129598906486E-2</v>
      </c>
      <c r="N14" s="675">
        <f>IF($B$142&lt;&gt;0,$F99/$B$142/1000,0)</f>
        <v>3.898950738225853E-2</v>
      </c>
      <c r="O14" s="251">
        <v>2.9732000000000001E-2</v>
      </c>
      <c r="P14" s="673">
        <v>0</v>
      </c>
      <c r="Q14" s="675">
        <f>IF($C$142&lt;&gt;0,$H99/$C$142/1000,0)</f>
        <v>3.8989507382258523E-2</v>
      </c>
      <c r="R14" s="251">
        <v>2.0196802745664742E-2</v>
      </c>
      <c r="S14" s="673">
        <v>4.2571295989064853E-2</v>
      </c>
      <c r="T14" s="675">
        <f>IF($B$142&lt;&gt;0,$F99/$B$142/1000,0)</f>
        <v>3.898950738225853E-2</v>
      </c>
      <c r="U14" s="251">
        <v>1.6157561125913773E-3</v>
      </c>
      <c r="V14" s="673">
        <v>4.257129598906486E-2</v>
      </c>
      <c r="W14" s="675">
        <f>IF($B$142&lt;&gt;0,$F99/$B$142/1000,0)</f>
        <v>3.898950738225853E-2</v>
      </c>
      <c r="X14" s="251">
        <v>1.4495358980093939E-3</v>
      </c>
      <c r="Y14" s="673">
        <v>4.257129598906486E-2</v>
      </c>
      <c r="Z14" s="23"/>
      <c r="AA14" s="675">
        <f t="shared" ref="AA14:AA19" si="20">(B14*B$26+E14*E$26+H14*H$26+K14*K$26+N14*N$26+Q14*Q$26+T14*T$26+W14*W$26)/AA$26</f>
        <v>3.8989507382258523E-2</v>
      </c>
      <c r="AB14" s="251">
        <f>AB22-AB12</f>
        <v>3.3405107848468452E-2</v>
      </c>
      <c r="AC14" s="673">
        <f t="shared" ref="AC14:AC19" si="21">AA14-AB14</f>
        <v>5.5843995337900715E-3</v>
      </c>
      <c r="AE14" s="59">
        <f t="shared" ref="AE14:AE19" si="22">AA14*$AA$26</f>
        <v>2151.0511222792029</v>
      </c>
      <c r="AF14" s="24">
        <f>ROUND($D$88,0)</f>
        <v>2151051</v>
      </c>
      <c r="AG14" s="24">
        <f>ROUND($D$87,0)</f>
        <v>29082</v>
      </c>
      <c r="AH14" s="24">
        <f t="shared" ref="AH14:AH19" si="23">SUM(AF14:AG14)</f>
        <v>2180133</v>
      </c>
      <c r="AI14" s="19">
        <f>$B$86</f>
        <v>64622.400000000009</v>
      </c>
      <c r="AJ14" s="25">
        <f t="shared" ref="AJ14:AJ19" si="24">AH14/AI14</f>
        <v>33.736490752432587</v>
      </c>
      <c r="AK14" s="159" t="s">
        <v>19</v>
      </c>
      <c r="AL14" s="20" t="s">
        <v>20</v>
      </c>
      <c r="AM14" s="125" t="s">
        <v>78</v>
      </c>
      <c r="AN14" s="127" t="s">
        <v>78</v>
      </c>
      <c r="AO14" s="24">
        <f>$F99/$B$142*B$26</f>
        <v>362602.41865500435</v>
      </c>
      <c r="AP14" s="24">
        <f>$H99/$C$142*E$26</f>
        <v>935748.17717420461</v>
      </c>
      <c r="AQ14" s="24">
        <f>$H99/$C$142*H$26</f>
        <v>389895.07382258523</v>
      </c>
      <c r="AR14" s="24">
        <f>$F99/$B$142*K$26</f>
        <v>182080.99947514734</v>
      </c>
      <c r="AS14" s="24">
        <f>$F99/$B$142*N$26</f>
        <v>0</v>
      </c>
      <c r="AT14" s="24">
        <f>$H99/$C$142*Q$26</f>
        <v>0</v>
      </c>
      <c r="AU14" s="24">
        <f>$F99/$B$142*T$26</f>
        <v>140362.22657613072</v>
      </c>
      <c r="AV14" s="24">
        <f>$F99/$B$142*W$26</f>
        <v>140362.22657613072</v>
      </c>
      <c r="AW14" s="24">
        <f t="shared" ref="AW14:AW19" si="25">SUM(AO14:AV14)</f>
        <v>2151051.122279203</v>
      </c>
      <c r="AX14" s="19">
        <f>$E99/$B$142*B$26</f>
        <v>10748.077385807506</v>
      </c>
      <c r="AY14" s="19">
        <f>$G99/$C$142*E$26</f>
        <v>27736.973898858079</v>
      </c>
      <c r="AZ14" s="19">
        <f>$G99/$C$142*H$26</f>
        <v>11557.072457857534</v>
      </c>
      <c r="BA14" s="19">
        <f>$E99/$B$142*K$26</f>
        <v>5397.152837819468</v>
      </c>
      <c r="BB14" s="19">
        <f>$E99/$B$142*N$26</f>
        <v>0</v>
      </c>
      <c r="BC14" s="19">
        <f>$G99/$C$142*Q$26</f>
        <v>0</v>
      </c>
      <c r="BD14" s="19">
        <f>$E99/$B$142*T$26</f>
        <v>4160.5460848287121</v>
      </c>
      <c r="BE14" s="19">
        <f>$E99/$B$142*W$26</f>
        <v>4160.5460848287121</v>
      </c>
      <c r="BF14" s="19">
        <f t="shared" ref="BF14:BF19" si="26">SUM(AX14:BE14)</f>
        <v>63760.368750000009</v>
      </c>
      <c r="BG14" s="25">
        <f t="shared" ref="BG14:BG19" si="27">AW14/BF14</f>
        <v>33.736491247616925</v>
      </c>
      <c r="BH14" s="56">
        <f t="shared" ref="BH14:BO19" si="28">IF(AO$26&lt;&gt;0,ROUND(AX14/AO$26*1000,3),0)</f>
        <v>1.1559999999999999</v>
      </c>
      <c r="BI14" s="56">
        <f t="shared" si="28"/>
        <v>1.1559999999999999</v>
      </c>
      <c r="BJ14" s="56">
        <f t="shared" si="28"/>
        <v>1.1559999999999999</v>
      </c>
      <c r="BK14" s="56">
        <f t="shared" si="28"/>
        <v>1.1559999999999999</v>
      </c>
      <c r="BL14" s="56">
        <f t="shared" ref="BL14:BM19" si="29">IF(AS$26&lt;&gt;0,ROUND(BB14/AS$26*1000,3),BH14)</f>
        <v>1.1559999999999999</v>
      </c>
      <c r="BM14" s="56">
        <f t="shared" si="29"/>
        <v>1.1559999999999999</v>
      </c>
      <c r="BN14" s="56">
        <f t="shared" si="28"/>
        <v>1.1559999999999999</v>
      </c>
      <c r="BO14" s="56">
        <f t="shared" si="28"/>
        <v>1.1559999999999999</v>
      </c>
      <c r="BP14" s="241">
        <f t="shared" ref="BP14:BP19" si="30">AC14*$AA$26</f>
        <v>308.09132227919827</v>
      </c>
      <c r="BQ14" s="241">
        <f t="shared" ref="BQ14:BX17" si="31">$AC14*AO$26/1000</f>
        <v>51.934915664247669</v>
      </c>
      <c r="BR14" s="241">
        <f t="shared" si="31"/>
        <v>134.02558881096172</v>
      </c>
      <c r="BS14" s="241">
        <f t="shared" si="31"/>
        <v>55.843995337900715</v>
      </c>
      <c r="BT14" s="241">
        <f t="shared" si="31"/>
        <v>26.079145822799635</v>
      </c>
      <c r="BU14" s="241">
        <f t="shared" si="31"/>
        <v>0</v>
      </c>
      <c r="BV14" s="241">
        <f t="shared" si="31"/>
        <v>0</v>
      </c>
      <c r="BW14" s="241">
        <f t="shared" si="31"/>
        <v>20.103838321644258</v>
      </c>
      <c r="BX14" s="241">
        <f t="shared" si="31"/>
        <v>20.103838321644258</v>
      </c>
    </row>
    <row r="15" spans="1:76">
      <c r="A15" s="17" t="s">
        <v>21</v>
      </c>
      <c r="B15" s="675">
        <f>IF($B$142&lt;&gt;0,$F100/$B$142/1000,0)</f>
        <v>2.0329845350734094E-2</v>
      </c>
      <c r="C15" s="251">
        <v>1.0091096686603076E-2</v>
      </c>
      <c r="D15" s="673">
        <v>1.6724099044660198E-2</v>
      </c>
      <c r="E15" s="675">
        <f>IF($C$142&lt;&gt;0,$H100/$C$142/1000,0)</f>
        <v>2.0329845350734097E-2</v>
      </c>
      <c r="F15" s="251">
        <v>1.5211939116331038E-2</v>
      </c>
      <c r="G15" s="673">
        <v>1.6724099044660195E-2</v>
      </c>
      <c r="H15" s="675">
        <f>IF($C$142&lt;&gt;0,$H100/$C$142/1000,0)</f>
        <v>2.0329845350734097E-2</v>
      </c>
      <c r="I15" s="251">
        <v>2.1872855318039008E-2</v>
      </c>
      <c r="J15" s="673">
        <v>1.6724099044660195E-2</v>
      </c>
      <c r="K15" s="675">
        <f>IF($B$142&lt;&gt;0,$F100/$B$142/1000,0)</f>
        <v>2.0329845350734094E-2</v>
      </c>
      <c r="L15" s="251">
        <v>5.1394268134715027E-3</v>
      </c>
      <c r="M15" s="673">
        <v>1.6724099044660198E-2</v>
      </c>
      <c r="N15" s="675">
        <f>IF($B$142&lt;&gt;0,$F100/$B$142/1000,0)</f>
        <v>2.0329845350734094E-2</v>
      </c>
      <c r="O15" s="251">
        <v>1.7891249999999997E-2</v>
      </c>
      <c r="P15" s="673">
        <v>0</v>
      </c>
      <c r="Q15" s="675">
        <f>IF($C$142&lt;&gt;0,$H100/$C$142/1000,0)</f>
        <v>2.0329845350734097E-2</v>
      </c>
      <c r="R15" s="251">
        <v>8.6290823699421964E-3</v>
      </c>
      <c r="S15" s="673">
        <v>1.6724099044660195E-2</v>
      </c>
      <c r="T15" s="675">
        <f>IF($B$142&lt;&gt;0,$F100/$B$142/1000,0)</f>
        <v>2.0329845350734094E-2</v>
      </c>
      <c r="U15" s="251">
        <v>9.2575296029271195E-4</v>
      </c>
      <c r="V15" s="673">
        <v>1.6724099044660198E-2</v>
      </c>
      <c r="W15" s="675">
        <f>IF($B$142&lt;&gt;0,$F100/$B$142/1000,0)</f>
        <v>2.0329845350734094E-2</v>
      </c>
      <c r="X15" s="251">
        <v>7.3897058823529428E-4</v>
      </c>
      <c r="Y15" s="673">
        <v>1.6724099044660198E-2</v>
      </c>
      <c r="Z15" s="23"/>
      <c r="AA15" s="675">
        <f t="shared" si="20"/>
        <v>2.0329845350734097E-2</v>
      </c>
      <c r="AB15" s="251">
        <f>AB22-AB12-AB14</f>
        <v>0</v>
      </c>
      <c r="AC15" s="673">
        <f t="shared" si="21"/>
        <v>2.0329845350734097E-2</v>
      </c>
      <c r="AE15" s="59">
        <f t="shared" si="22"/>
        <v>1121.5975680000001</v>
      </c>
      <c r="AF15" s="24">
        <f>ROUND($H$86,0)</f>
        <v>1121598</v>
      </c>
      <c r="AG15" s="24">
        <v>0</v>
      </c>
      <c r="AH15" s="24">
        <f t="shared" si="23"/>
        <v>1121598</v>
      </c>
      <c r="AI15" s="19">
        <f>$F$86</f>
        <v>31449.600000000002</v>
      </c>
      <c r="AJ15" s="25">
        <f t="shared" si="24"/>
        <v>35.663347069597066</v>
      </c>
      <c r="AK15" s="159" t="s">
        <v>19</v>
      </c>
      <c r="AL15" s="20" t="s">
        <v>22</v>
      </c>
      <c r="AM15" s="125" t="s">
        <v>78</v>
      </c>
      <c r="AN15" s="127" t="s">
        <v>78</v>
      </c>
      <c r="AO15" s="24">
        <f>$F100/$B$142*B$26</f>
        <v>189067.56176182706</v>
      </c>
      <c r="AP15" s="24">
        <f>$H100/$C$142*E$26</f>
        <v>487916.28841761831</v>
      </c>
      <c r="AQ15" s="24">
        <f>$H100/$C$142*H$26</f>
        <v>203298.45350734098</v>
      </c>
      <c r="AR15" s="24">
        <f>$F100/$B$142*K$26</f>
        <v>94940.377787928213</v>
      </c>
      <c r="AS15" s="24">
        <f>$F100/$B$142*N$26</f>
        <v>0</v>
      </c>
      <c r="AT15" s="24">
        <f>$H100/$C$142*Q$26</f>
        <v>0</v>
      </c>
      <c r="AU15" s="24">
        <f>$F100/$B$142*T$26</f>
        <v>73187.44326264273</v>
      </c>
      <c r="AV15" s="24">
        <f>$F100/$B$142*W$26</f>
        <v>73187.44326264273</v>
      </c>
      <c r="AW15" s="24">
        <f t="shared" si="25"/>
        <v>1121597.568</v>
      </c>
      <c r="AX15" s="19">
        <f>$E100/$B$142*B$26</f>
        <v>5301.455138662317</v>
      </c>
      <c r="AY15" s="19">
        <f>$G100/$C$142*E$26</f>
        <v>13681.174551386624</v>
      </c>
      <c r="AZ15" s="19">
        <f>$G100/$C$142*H$26</f>
        <v>5700.4893964110934</v>
      </c>
      <c r="BA15" s="19">
        <f>$E100/$B$142*K$26</f>
        <v>2662.1285481239806</v>
      </c>
      <c r="BB15" s="19">
        <f>$E100/$B$142*N$26</f>
        <v>0</v>
      </c>
      <c r="BC15" s="19">
        <f>$G100/$C$142*Q$26</f>
        <v>0</v>
      </c>
      <c r="BD15" s="19">
        <f>$E100/$B$142*T$26</f>
        <v>2052.1761827079936</v>
      </c>
      <c r="BE15" s="19">
        <f>$E100/$B$142*W$26</f>
        <v>2052.1761827079936</v>
      </c>
      <c r="BF15" s="19">
        <f t="shared" si="26"/>
        <v>31449.599999999999</v>
      </c>
      <c r="BG15" s="25">
        <f t="shared" si="27"/>
        <v>35.663333333333334</v>
      </c>
      <c r="BH15" s="56">
        <f t="shared" si="28"/>
        <v>0.56999999999999995</v>
      </c>
      <c r="BI15" s="56">
        <f t="shared" si="28"/>
        <v>0.56999999999999995</v>
      </c>
      <c r="BJ15" s="56">
        <f t="shared" si="28"/>
        <v>0.56999999999999995</v>
      </c>
      <c r="BK15" s="56">
        <f t="shared" si="28"/>
        <v>0.56999999999999995</v>
      </c>
      <c r="BL15" s="56">
        <f t="shared" si="29"/>
        <v>0.56999999999999995</v>
      </c>
      <c r="BM15" s="56">
        <f t="shared" si="29"/>
        <v>0.56999999999999995</v>
      </c>
      <c r="BN15" s="56">
        <f t="shared" si="28"/>
        <v>0.56999999999999995</v>
      </c>
      <c r="BO15" s="56">
        <f t="shared" si="28"/>
        <v>0.56999999999999995</v>
      </c>
      <c r="BP15" s="241">
        <f t="shared" si="30"/>
        <v>1121.5975680000001</v>
      </c>
      <c r="BQ15" s="241">
        <f t="shared" si="31"/>
        <v>189.06756176182708</v>
      </c>
      <c r="BR15" s="241">
        <f t="shared" si="31"/>
        <v>487.91628841761832</v>
      </c>
      <c r="BS15" s="241">
        <f t="shared" si="31"/>
        <v>203.29845350734098</v>
      </c>
      <c r="BT15" s="241">
        <f t="shared" si="31"/>
        <v>94.940377787928227</v>
      </c>
      <c r="BU15" s="241">
        <f t="shared" si="31"/>
        <v>0</v>
      </c>
      <c r="BV15" s="241">
        <f t="shared" si="31"/>
        <v>0</v>
      </c>
      <c r="BW15" s="241">
        <f t="shared" si="31"/>
        <v>73.187443262642745</v>
      </c>
      <c r="BX15" s="241">
        <f t="shared" si="31"/>
        <v>73.187443262642745</v>
      </c>
    </row>
    <row r="16" spans="1:76">
      <c r="A16" s="17" t="s">
        <v>23</v>
      </c>
      <c r="B16" s="675">
        <f>IF($B$142&lt;&gt;0,$F101/$B$142/1000,0)</f>
        <v>2.6450178180696175E-2</v>
      </c>
      <c r="C16" s="251">
        <v>1.4602185189101542E-2</v>
      </c>
      <c r="D16" s="673">
        <v>2.3642297708391668E-2</v>
      </c>
      <c r="E16" s="675">
        <f>IF($C$142&lt;&gt;0,$H101/$C$142/1000,0)</f>
        <v>2.6450178180696178E-2</v>
      </c>
      <c r="F16" s="251">
        <v>1.9376156882755145E-2</v>
      </c>
      <c r="G16" s="674">
        <v>2.3642297708391664E-2</v>
      </c>
      <c r="H16" s="675">
        <f>IF($C$142&lt;&gt;0,$H101/$C$142/1000,0)</f>
        <v>2.6450178180696178E-2</v>
      </c>
      <c r="I16" s="251">
        <v>3.3118009221354272E-2</v>
      </c>
      <c r="J16" s="673">
        <v>2.3642297708391664E-2</v>
      </c>
      <c r="K16" s="675">
        <f>IF($B$142&lt;&gt;0,$F101/$B$142/1000,0)</f>
        <v>2.6450178180696175E-2</v>
      </c>
      <c r="L16" s="251">
        <v>6.7939766839378241E-3</v>
      </c>
      <c r="M16" s="673">
        <v>2.3642297708391668E-2</v>
      </c>
      <c r="N16" s="675">
        <f>IF($B$142&lt;&gt;0,$F101/$B$142/1000,0)</f>
        <v>2.6450178180696175E-2</v>
      </c>
      <c r="O16" s="251">
        <v>1.79385E-2</v>
      </c>
      <c r="P16" s="673">
        <v>0</v>
      </c>
      <c r="Q16" s="675">
        <f>IF($C$142&lt;&gt;0,$H101/$C$142/1000,0)</f>
        <v>2.6450178180696178E-2</v>
      </c>
      <c r="R16" s="251">
        <v>1.129985549132948E-2</v>
      </c>
      <c r="S16" s="673">
        <v>2.3642297708391664E-2</v>
      </c>
      <c r="T16" s="675">
        <f>IF($B$142&lt;&gt;0,$F101/$B$142/1000,0)</f>
        <v>2.6450178180696175E-2</v>
      </c>
      <c r="U16" s="251">
        <v>1.2972165862686681E-3</v>
      </c>
      <c r="V16" s="673">
        <v>2.3642297708391668E-2</v>
      </c>
      <c r="W16" s="675">
        <f>IF($B$142&lt;&gt;0,$F101/$B$142/1000,0)</f>
        <v>2.6450178180696175E-2</v>
      </c>
      <c r="X16" s="251">
        <v>9.3689890404831139E-4</v>
      </c>
      <c r="Y16" s="673">
        <v>2.3642297708391668E-2</v>
      </c>
      <c r="Z16" s="23"/>
      <c r="AA16" s="672">
        <f t="shared" si="20"/>
        <v>2.6450178180696178E-2</v>
      </c>
      <c r="AB16" s="251">
        <f>AB22-AB12-AB14-AB15</f>
        <v>0</v>
      </c>
      <c r="AC16" s="673">
        <f t="shared" si="21"/>
        <v>2.6450178180696178E-2</v>
      </c>
      <c r="AE16" s="59">
        <f t="shared" si="22"/>
        <v>1459.2563302290082</v>
      </c>
      <c r="AF16" s="24">
        <f>ROUND($D$96,0)</f>
        <v>1459256</v>
      </c>
      <c r="AG16" s="24">
        <f>ROUND($D$95,0)</f>
        <v>13212</v>
      </c>
      <c r="AH16" s="24">
        <f t="shared" si="23"/>
        <v>1472468</v>
      </c>
      <c r="AI16" s="19">
        <f>$B$94</f>
        <v>96072</v>
      </c>
      <c r="AJ16" s="25">
        <f t="shared" si="24"/>
        <v>15.326713298359564</v>
      </c>
      <c r="AK16" s="159" t="s">
        <v>19</v>
      </c>
      <c r="AL16" s="20" t="s">
        <v>24</v>
      </c>
      <c r="AM16" s="125" t="s">
        <v>78</v>
      </c>
      <c r="AN16" s="127" t="s">
        <v>78</v>
      </c>
      <c r="AO16" s="24">
        <f>$F101/$B$142*B$26</f>
        <v>245986.65708047443</v>
      </c>
      <c r="AP16" s="24">
        <f>$H101/$C$142*E$26</f>
        <v>634804.27633670822</v>
      </c>
      <c r="AQ16" s="24">
        <f>$H101/$C$142*H$26</f>
        <v>264501.78180696175</v>
      </c>
      <c r="AR16" s="24">
        <f>$F101/$B$142*K$26</f>
        <v>123522.33210385113</v>
      </c>
      <c r="AS16" s="24">
        <f>$F101/$B$142*N$26</f>
        <v>0</v>
      </c>
      <c r="AT16" s="24">
        <f>$H101/$C$142*Q$26</f>
        <v>0</v>
      </c>
      <c r="AU16" s="24">
        <f>$F101/$B$142*T$26</f>
        <v>95220.641450506228</v>
      </c>
      <c r="AV16" s="24">
        <f>$F101/$B$142*W$26</f>
        <v>95220.641450506228</v>
      </c>
      <c r="AW16" s="24">
        <f t="shared" si="25"/>
        <v>1459256.3302290081</v>
      </c>
      <c r="AX16" s="19">
        <f>$E101/$B$142*B$26</f>
        <v>16049.532524469818</v>
      </c>
      <c r="AY16" s="19">
        <f>$G101/$C$142*E$26</f>
        <v>41418.148450244698</v>
      </c>
      <c r="AZ16" s="19">
        <f>$G101/$C$142*H$26</f>
        <v>17257.561854268624</v>
      </c>
      <c r="BA16" s="19">
        <f>$E101/$B$142*K$26</f>
        <v>8059.2813859434464</v>
      </c>
      <c r="BB16" s="19">
        <f>$E101/$B$142*N$26</f>
        <v>0</v>
      </c>
      <c r="BC16" s="19">
        <f>$G101/$C$142*Q$26</f>
        <v>0</v>
      </c>
      <c r="BD16" s="19">
        <f>$E101/$B$142*T$26</f>
        <v>6212.7222675367038</v>
      </c>
      <c r="BE16" s="19">
        <f>$E101/$B$142*W$26</f>
        <v>6212.7222675367038</v>
      </c>
      <c r="BF16" s="19">
        <f t="shared" si="26"/>
        <v>95209.96875</v>
      </c>
      <c r="BG16" s="25">
        <f t="shared" si="27"/>
        <v>15.326717878257975</v>
      </c>
      <c r="BH16" s="56">
        <f t="shared" si="28"/>
        <v>1.726</v>
      </c>
      <c r="BI16" s="56">
        <f t="shared" si="28"/>
        <v>1.726</v>
      </c>
      <c r="BJ16" s="56">
        <f t="shared" si="28"/>
        <v>1.726</v>
      </c>
      <c r="BK16" s="56">
        <f t="shared" si="28"/>
        <v>1.726</v>
      </c>
      <c r="BL16" s="56">
        <f t="shared" si="29"/>
        <v>1.726</v>
      </c>
      <c r="BM16" s="56">
        <f t="shared" si="29"/>
        <v>1.726</v>
      </c>
      <c r="BN16" s="56">
        <f t="shared" si="28"/>
        <v>1.726</v>
      </c>
      <c r="BO16" s="56">
        <f t="shared" si="28"/>
        <v>1.726</v>
      </c>
      <c r="BP16" s="241">
        <f t="shared" si="30"/>
        <v>1459.2563302290082</v>
      </c>
      <c r="BQ16" s="241">
        <f t="shared" si="31"/>
        <v>245.98665708047446</v>
      </c>
      <c r="BR16" s="241">
        <f t="shared" si="31"/>
        <v>634.8042763367082</v>
      </c>
      <c r="BS16" s="241">
        <f t="shared" si="31"/>
        <v>264.50178180696179</v>
      </c>
      <c r="BT16" s="241">
        <f t="shared" si="31"/>
        <v>123.52233210385116</v>
      </c>
      <c r="BU16" s="241">
        <f t="shared" si="31"/>
        <v>0</v>
      </c>
      <c r="BV16" s="241">
        <f t="shared" si="31"/>
        <v>0</v>
      </c>
      <c r="BW16" s="241">
        <f t="shared" si="31"/>
        <v>95.220641450506236</v>
      </c>
      <c r="BX16" s="241">
        <f t="shared" si="31"/>
        <v>95.220641450506236</v>
      </c>
    </row>
    <row r="17" spans="1:76">
      <c r="A17" s="26" t="s">
        <v>25</v>
      </c>
      <c r="B17" s="675">
        <f>$D$146</f>
        <v>6.8776508972267537E-3</v>
      </c>
      <c r="C17" s="251">
        <v>3.9713732948157164E-3</v>
      </c>
      <c r="D17" s="673">
        <v>5.2565880721220527E-3</v>
      </c>
      <c r="E17" s="675">
        <f>$E$146</f>
        <v>6.8776508972267537E-3</v>
      </c>
      <c r="F17" s="251">
        <v>6.4783865234622926E-3</v>
      </c>
      <c r="G17" s="673">
        <v>5.2565880721220527E-3</v>
      </c>
      <c r="H17" s="675">
        <f>$E$146</f>
        <v>6.8776508972267537E-3</v>
      </c>
      <c r="I17" s="251">
        <v>5.0193276496421227E-3</v>
      </c>
      <c r="J17" s="673">
        <v>5.2565880721220527E-3</v>
      </c>
      <c r="K17" s="675">
        <f>$D$146</f>
        <v>6.8776508972267537E-3</v>
      </c>
      <c r="L17" s="251">
        <v>4.7005019430051819E-3</v>
      </c>
      <c r="M17" s="673">
        <v>5.2565880721220527E-3</v>
      </c>
      <c r="N17" s="675">
        <f>$D$146</f>
        <v>6.8776508972267537E-3</v>
      </c>
      <c r="O17" s="251">
        <v>5.8318333333333338E-3</v>
      </c>
      <c r="P17" s="673">
        <v>0</v>
      </c>
      <c r="Q17" s="675">
        <f>$E$146</f>
        <v>6.8776508972267537E-3</v>
      </c>
      <c r="R17" s="251">
        <v>5.9811054913294793E-3</v>
      </c>
      <c r="S17" s="673">
        <v>5.2565880721220527E-3</v>
      </c>
      <c r="T17" s="675">
        <f>$D$146</f>
        <v>6.8776508972267537E-3</v>
      </c>
      <c r="U17" s="251">
        <v>4.3047836259150424E-3</v>
      </c>
      <c r="V17" s="673">
        <v>5.2565880721220527E-3</v>
      </c>
      <c r="W17" s="675">
        <f>$D$146</f>
        <v>6.8776508972267537E-3</v>
      </c>
      <c r="X17" s="251">
        <v>5.007255088347126E-3</v>
      </c>
      <c r="Y17" s="673">
        <v>5.2565880721220527E-3</v>
      </c>
      <c r="Z17" s="23"/>
      <c r="AA17" s="675">
        <f t="shared" si="20"/>
        <v>6.8776508972267546E-3</v>
      </c>
      <c r="AB17" s="251">
        <f>AB22-AB12-AB14-AB15-AB16</f>
        <v>0</v>
      </c>
      <c r="AC17" s="673">
        <f t="shared" si="21"/>
        <v>6.8776508972267546E-3</v>
      </c>
      <c r="AE17" s="59">
        <f t="shared" si="22"/>
        <v>379.44000000000005</v>
      </c>
      <c r="AF17" s="24">
        <f>ROUND($C$146,0)</f>
        <v>379440</v>
      </c>
      <c r="AG17" s="24">
        <v>0</v>
      </c>
      <c r="AH17" s="24">
        <f t="shared" si="23"/>
        <v>379440</v>
      </c>
      <c r="AI17" s="19">
        <f>$B$28*1000</f>
        <v>55170000</v>
      </c>
      <c r="AJ17" s="25">
        <f t="shared" si="24"/>
        <v>6.8776508972267537E-3</v>
      </c>
      <c r="AK17" s="159" t="s">
        <v>12</v>
      </c>
      <c r="AL17" s="20" t="s">
        <v>26</v>
      </c>
      <c r="AM17" s="125" t="s">
        <v>99</v>
      </c>
      <c r="AN17" s="127">
        <v>1</v>
      </c>
      <c r="AO17" s="24">
        <f>$D$146*$B$26*1000</f>
        <v>63962.153344208811</v>
      </c>
      <c r="AP17" s="24">
        <f>$E$146*$E$26*1000</f>
        <v>165063.62153344211</v>
      </c>
      <c r="AQ17" s="24">
        <f>$E$146*$H$26*1000</f>
        <v>68776.508972267533</v>
      </c>
      <c r="AR17" s="24">
        <f>$D$146*$K$26*1000</f>
        <v>32118.62969004894</v>
      </c>
      <c r="AS17" s="24">
        <f>$D$146*$N$26*1000</f>
        <v>0</v>
      </c>
      <c r="AT17" s="24">
        <f>$E$146*$N$26*1000</f>
        <v>0</v>
      </c>
      <c r="AU17" s="24">
        <f>$D$146*$T$26*1000</f>
        <v>24759.543230016312</v>
      </c>
      <c r="AV17" s="24">
        <f>$D$146*$W$26*1000</f>
        <v>24759.543230016312</v>
      </c>
      <c r="AW17" s="24">
        <f t="shared" si="25"/>
        <v>379440</v>
      </c>
      <c r="AX17" s="19">
        <f t="shared" ref="AX17:BE17" si="32">ROUND(AO17/$AJ17,0)</f>
        <v>9300000</v>
      </c>
      <c r="AY17" s="19">
        <f t="shared" si="32"/>
        <v>24000000</v>
      </c>
      <c r="AZ17" s="19">
        <f t="shared" si="32"/>
        <v>10000000</v>
      </c>
      <c r="BA17" s="19">
        <f t="shared" si="32"/>
        <v>4670000</v>
      </c>
      <c r="BB17" s="19">
        <f t="shared" si="32"/>
        <v>0</v>
      </c>
      <c r="BC17" s="19">
        <f t="shared" si="32"/>
        <v>0</v>
      </c>
      <c r="BD17" s="19">
        <f t="shared" si="32"/>
        <v>3600000</v>
      </c>
      <c r="BE17" s="19">
        <f t="shared" si="32"/>
        <v>3600000</v>
      </c>
      <c r="BF17" s="19">
        <f t="shared" si="26"/>
        <v>55170000</v>
      </c>
      <c r="BG17" s="25">
        <f t="shared" si="27"/>
        <v>6.8776508972267537E-3</v>
      </c>
      <c r="BH17" s="56">
        <f t="shared" si="28"/>
        <v>1000</v>
      </c>
      <c r="BI17" s="56">
        <f t="shared" si="28"/>
        <v>1000</v>
      </c>
      <c r="BJ17" s="56">
        <f t="shared" si="28"/>
        <v>1000</v>
      </c>
      <c r="BK17" s="56">
        <f t="shared" si="28"/>
        <v>1000</v>
      </c>
      <c r="BL17" s="56">
        <f t="shared" si="29"/>
        <v>1000</v>
      </c>
      <c r="BM17" s="56">
        <f t="shared" si="29"/>
        <v>1000</v>
      </c>
      <c r="BN17" s="56">
        <f t="shared" si="28"/>
        <v>1000</v>
      </c>
      <c r="BO17" s="56">
        <f t="shared" si="28"/>
        <v>1000</v>
      </c>
      <c r="BP17" s="241">
        <f t="shared" si="30"/>
        <v>379.44000000000005</v>
      </c>
      <c r="BQ17" s="241">
        <f t="shared" si="31"/>
        <v>63.962153344208815</v>
      </c>
      <c r="BR17" s="241">
        <f t="shared" si="31"/>
        <v>165.0636215334421</v>
      </c>
      <c r="BS17" s="241">
        <f t="shared" si="31"/>
        <v>68.77650897226755</v>
      </c>
      <c r="BT17" s="241">
        <f t="shared" si="31"/>
        <v>32.118629690048941</v>
      </c>
      <c r="BU17" s="241">
        <f t="shared" si="31"/>
        <v>0</v>
      </c>
      <c r="BV17" s="241">
        <f t="shared" si="31"/>
        <v>0</v>
      </c>
      <c r="BW17" s="241">
        <f t="shared" si="31"/>
        <v>24.759543230016316</v>
      </c>
      <c r="BX17" s="241">
        <f t="shared" si="31"/>
        <v>24.759543230016316</v>
      </c>
    </row>
    <row r="18" spans="1:76" ht="15">
      <c r="A18" s="26" t="s">
        <v>29</v>
      </c>
      <c r="B18" s="675">
        <f>$D$148</f>
        <v>2.157298148917303E-2</v>
      </c>
      <c r="C18" s="251">
        <v>3.7538559266781679E-2</v>
      </c>
      <c r="D18" s="673">
        <v>1.8278409197883781E-2</v>
      </c>
      <c r="E18" s="675">
        <f>$E$148</f>
        <v>0.11680294064335903</v>
      </c>
      <c r="F18" s="251">
        <v>8.3846121982298238E-2</v>
      </c>
      <c r="G18" s="673">
        <v>8.2640943134535363E-2</v>
      </c>
      <c r="H18" s="675">
        <f>$E$148</f>
        <v>0.11680294064335903</v>
      </c>
      <c r="I18" s="251">
        <v>0.11292118586836521</v>
      </c>
      <c r="J18" s="673">
        <v>8.2640943134535363E-2</v>
      </c>
      <c r="K18" s="675">
        <f>$D$148</f>
        <v>2.157298148917303E-2</v>
      </c>
      <c r="L18" s="251">
        <v>4.4091321243523315E-2</v>
      </c>
      <c r="M18" s="673">
        <v>1.8278409197883781E-2</v>
      </c>
      <c r="N18" s="675">
        <f>$D$148</f>
        <v>2.157298148917303E-2</v>
      </c>
      <c r="O18" s="251">
        <v>7.6417416666666668E-2</v>
      </c>
      <c r="P18" s="673">
        <v>0</v>
      </c>
      <c r="Q18" s="675">
        <f>$E$148</f>
        <v>0.11680294064335903</v>
      </c>
      <c r="R18" s="251">
        <v>0.14234028179190752</v>
      </c>
      <c r="S18" s="673">
        <v>8.2640943134535363E-2</v>
      </c>
      <c r="T18" s="675">
        <f>$D$148</f>
        <v>2.157298148917303E-2</v>
      </c>
      <c r="U18" s="251">
        <v>5.0070513012496001E-2</v>
      </c>
      <c r="V18" s="673">
        <v>1.8278409197883781E-2</v>
      </c>
      <c r="W18" s="675">
        <f>$D$148</f>
        <v>2.157298148917303E-2</v>
      </c>
      <c r="X18" s="251">
        <v>4.8014873630060385E-2</v>
      </c>
      <c r="Y18" s="673">
        <v>1.8278409197883781E-2</v>
      </c>
      <c r="Z18" s="31"/>
      <c r="AA18" s="675">
        <f t="shared" si="20"/>
        <v>8.0261011419249587E-2</v>
      </c>
      <c r="AB18" s="251">
        <f>AB22-AB12-AB14-AB15-AB16-AB17-AB19</f>
        <v>0</v>
      </c>
      <c r="AC18" s="673">
        <f>AA18-AB18</f>
        <v>8.0261011419249587E-2</v>
      </c>
      <c r="AE18" s="59">
        <f t="shared" si="22"/>
        <v>4428</v>
      </c>
      <c r="AF18" s="24">
        <f>ROUND($C$148,0)</f>
        <v>4428000</v>
      </c>
      <c r="AG18" s="24">
        <v>0</v>
      </c>
      <c r="AH18" s="24">
        <f>SUM(AF18:AG18)</f>
        <v>4428000</v>
      </c>
      <c r="AI18" s="19">
        <f>$B$28*1000</f>
        <v>55170000</v>
      </c>
      <c r="AJ18" s="25">
        <f>AH18/AI18</f>
        <v>8.0261011419249587E-2</v>
      </c>
      <c r="AK18" s="159" t="s">
        <v>12</v>
      </c>
      <c r="AL18" s="20" t="s">
        <v>30</v>
      </c>
      <c r="AM18" s="125" t="s">
        <v>78</v>
      </c>
      <c r="AN18" s="127" t="s">
        <v>78</v>
      </c>
      <c r="AO18" s="24">
        <f>$D$148*$B$26*1000</f>
        <v>200628.72784930916</v>
      </c>
      <c r="AP18" s="24">
        <f>$E$148*$E$26*1000</f>
        <v>2803270.5754406163</v>
      </c>
      <c r="AQ18" s="24">
        <f>$E$148*$H$26*1000</f>
        <v>1168029.4064335902</v>
      </c>
      <c r="AR18" s="24">
        <f>$D$148*$K$26*1000</f>
        <v>100745.82355443804</v>
      </c>
      <c r="AS18" s="24">
        <f>$D$148*$N$26*1000</f>
        <v>0</v>
      </c>
      <c r="AT18" s="24">
        <f>$E$148*$N$26*1000</f>
        <v>0</v>
      </c>
      <c r="AU18" s="24">
        <f>$D$148*$T$26*1000</f>
        <v>77662.733361022896</v>
      </c>
      <c r="AV18" s="24">
        <f>$D$148*$W$26*1000</f>
        <v>77662.733361022896</v>
      </c>
      <c r="AW18" s="24">
        <f>SUM(AO18:AV18)</f>
        <v>4427999.9999999991</v>
      </c>
      <c r="AX18" s="19">
        <f>AO18/$AJ18</f>
        <v>2499703.4587728968</v>
      </c>
      <c r="AY18" s="19">
        <f t="shared" ref="AY18:BE18" si="33">AP18/$AJ18</f>
        <v>34926928.104575165</v>
      </c>
      <c r="AZ18" s="19">
        <f t="shared" si="33"/>
        <v>14552886.710239651</v>
      </c>
      <c r="BA18" s="19">
        <f t="shared" si="33"/>
        <v>1255227.4357494009</v>
      </c>
      <c r="BB18" s="19">
        <f t="shared" si="33"/>
        <v>0</v>
      </c>
      <c r="BC18" s="19">
        <f t="shared" si="33"/>
        <v>0</v>
      </c>
      <c r="BD18" s="19">
        <f t="shared" si="33"/>
        <v>967627.14533144387</v>
      </c>
      <c r="BE18" s="19">
        <f t="shared" si="33"/>
        <v>967627.14533144387</v>
      </c>
      <c r="BF18" s="19">
        <f>SUM(AX18:BE18)</f>
        <v>55170000</v>
      </c>
      <c r="BG18" s="25">
        <f>AW18/BF18</f>
        <v>8.0261011419249573E-2</v>
      </c>
      <c r="BH18" s="56">
        <f t="shared" si="28"/>
        <v>268.78500000000003</v>
      </c>
      <c r="BI18" s="56">
        <f t="shared" si="28"/>
        <v>1455.289</v>
      </c>
      <c r="BJ18" s="56">
        <f t="shared" si="28"/>
        <v>1455.289</v>
      </c>
      <c r="BK18" s="56">
        <f t="shared" si="28"/>
        <v>268.78500000000003</v>
      </c>
      <c r="BL18" s="56">
        <f t="shared" si="29"/>
        <v>268.78500000000003</v>
      </c>
      <c r="BM18" s="56">
        <f t="shared" si="29"/>
        <v>1455.289</v>
      </c>
      <c r="BN18" s="56">
        <f t="shared" si="28"/>
        <v>268.78500000000003</v>
      </c>
      <c r="BO18" s="56">
        <f t="shared" si="28"/>
        <v>268.78500000000003</v>
      </c>
      <c r="BP18" s="241">
        <f t="shared" si="30"/>
        <v>4428</v>
      </c>
      <c r="BQ18" s="241">
        <f>BQ22-BQ19-BQ14-BQ15-BQ16-BQ17</f>
        <v>372.64021273302978</v>
      </c>
      <c r="BR18" s="241">
        <f t="shared" ref="BR18:BX18" si="34">BR22-BR19-BR14-BR15-BR16-BR17</f>
        <v>2978.6418744927364</v>
      </c>
      <c r="BS18" s="241">
        <f t="shared" si="34"/>
        <v>601.10078103863952</v>
      </c>
      <c r="BT18" s="241">
        <f t="shared" si="34"/>
        <v>187.12148316809126</v>
      </c>
      <c r="BU18" s="241">
        <f t="shared" si="34"/>
        <v>0</v>
      </c>
      <c r="BV18" s="241">
        <f t="shared" si="34"/>
        <v>0</v>
      </c>
      <c r="BW18" s="241">
        <f t="shared" si="34"/>
        <v>144.24782428375369</v>
      </c>
      <c r="BX18" s="241">
        <f t="shared" si="34"/>
        <v>144.24782428375323</v>
      </c>
    </row>
    <row r="19" spans="1:76" ht="15">
      <c r="A19" s="26" t="s">
        <v>27</v>
      </c>
      <c r="B19" s="679">
        <f>$D$147</f>
        <v>1.2688055102410731E-2</v>
      </c>
      <c r="C19" s="252">
        <v>7.99891515116769E-3</v>
      </c>
      <c r="D19" s="680">
        <v>5.5478502080443829E-3</v>
      </c>
      <c r="E19" s="679">
        <f>$E$147</f>
        <v>1.2688055102410731E-2</v>
      </c>
      <c r="F19" s="252">
        <v>1.3458145262658771E-2</v>
      </c>
      <c r="G19" s="680">
        <v>5.5478502080443829E-3</v>
      </c>
      <c r="H19" s="679">
        <f>$E$147</f>
        <v>1.2688055102410731E-2</v>
      </c>
      <c r="I19" s="252">
        <v>8.2880219320399899E-3</v>
      </c>
      <c r="J19" s="680">
        <v>5.5478502080443829E-3</v>
      </c>
      <c r="K19" s="679">
        <f>$D$147</f>
        <v>1.2688055102410731E-2</v>
      </c>
      <c r="L19" s="252">
        <v>9.153481217616579E-3</v>
      </c>
      <c r="M19" s="680">
        <v>5.5478502080443829E-3</v>
      </c>
      <c r="N19" s="679">
        <f>$D$147</f>
        <v>1.2688055102410731E-2</v>
      </c>
      <c r="O19" s="252">
        <v>1.2137500000000001E-2</v>
      </c>
      <c r="P19" s="680">
        <v>0</v>
      </c>
      <c r="Q19" s="679">
        <f>$E$147</f>
        <v>1.2688055102410731E-2</v>
      </c>
      <c r="R19" s="252">
        <v>1.1672597543352601E-2</v>
      </c>
      <c r="S19" s="680">
        <v>5.5478502080443829E-3</v>
      </c>
      <c r="T19" s="679">
        <f>$D$147</f>
        <v>1.2688055102410731E-2</v>
      </c>
      <c r="U19" s="252">
        <v>6.3893489868735434E-3</v>
      </c>
      <c r="V19" s="680">
        <v>5.5478502080443829E-3</v>
      </c>
      <c r="W19" s="679">
        <f>$D$147</f>
        <v>1.2688055102410731E-2</v>
      </c>
      <c r="X19" s="252">
        <v>6.6758555133079852E-3</v>
      </c>
      <c r="Y19" s="680">
        <v>5.5478502080443829E-3</v>
      </c>
      <c r="Z19" s="31"/>
      <c r="AA19" s="679">
        <f t="shared" si="20"/>
        <v>1.2688055102410728E-2</v>
      </c>
      <c r="AB19" s="252">
        <f>AB22-AB12-AB14-AB15-AB16-AB17</f>
        <v>0</v>
      </c>
      <c r="AC19" s="680">
        <f t="shared" si="21"/>
        <v>1.2688055102410728E-2</v>
      </c>
      <c r="AE19" s="730">
        <f t="shared" si="22"/>
        <v>699.99999999999989</v>
      </c>
      <c r="AF19" s="28">
        <f>ROUND($C$147,0)</f>
        <v>700000</v>
      </c>
      <c r="AG19" s="28">
        <v>0</v>
      </c>
      <c r="AH19" s="28">
        <f t="shared" si="23"/>
        <v>700000</v>
      </c>
      <c r="AI19" s="19">
        <f>$B$28*1000</f>
        <v>55170000</v>
      </c>
      <c r="AJ19" s="25">
        <f t="shared" si="24"/>
        <v>1.2688055102410731E-2</v>
      </c>
      <c r="AK19" s="159" t="s">
        <v>12</v>
      </c>
      <c r="AL19" s="20" t="s">
        <v>28</v>
      </c>
      <c r="AM19" s="125" t="s">
        <v>78</v>
      </c>
      <c r="AN19" s="127" t="s">
        <v>78</v>
      </c>
      <c r="AO19" s="28">
        <f>$D$147*$B$26*1000</f>
        <v>117998.9124524198</v>
      </c>
      <c r="AP19" s="28">
        <f>$E$147*$E$26*1000</f>
        <v>304513.32245785755</v>
      </c>
      <c r="AQ19" s="28">
        <f>$E$147*$H$26*1000</f>
        <v>126880.55102410731</v>
      </c>
      <c r="AR19" s="28">
        <f>$D$147*$K$26*1000</f>
        <v>59253.217328258113</v>
      </c>
      <c r="AS19" s="28">
        <f>$D$147*$N$26*1000</f>
        <v>0</v>
      </c>
      <c r="AT19" s="28">
        <f>$E$147*$N$26*1000</f>
        <v>0</v>
      </c>
      <c r="AU19" s="28">
        <f>$D$147*$T$26*1000</f>
        <v>45676.998368678629</v>
      </c>
      <c r="AV19" s="28">
        <f>$D$147*$W$26*1000</f>
        <v>45676.998368678629</v>
      </c>
      <c r="AW19" s="28">
        <f t="shared" si="25"/>
        <v>700000</v>
      </c>
      <c r="AX19" s="19">
        <f t="shared" ref="AX19:BE19" si="35">ROUND(AO19/$AJ19,0)</f>
        <v>9300000</v>
      </c>
      <c r="AY19" s="19">
        <f t="shared" si="35"/>
        <v>24000000</v>
      </c>
      <c r="AZ19" s="19">
        <f t="shared" si="35"/>
        <v>10000000</v>
      </c>
      <c r="BA19" s="19">
        <f t="shared" si="35"/>
        <v>4670000</v>
      </c>
      <c r="BB19" s="19">
        <f t="shared" si="35"/>
        <v>0</v>
      </c>
      <c r="BC19" s="19">
        <f t="shared" si="35"/>
        <v>0</v>
      </c>
      <c r="BD19" s="19">
        <f t="shared" si="35"/>
        <v>3600000</v>
      </c>
      <c r="BE19" s="19">
        <f t="shared" si="35"/>
        <v>3600000</v>
      </c>
      <c r="BF19" s="19">
        <f t="shared" si="26"/>
        <v>55170000</v>
      </c>
      <c r="BG19" s="25">
        <f t="shared" si="27"/>
        <v>1.2688055102410731E-2</v>
      </c>
      <c r="BH19" s="56">
        <f t="shared" si="28"/>
        <v>1000</v>
      </c>
      <c r="BI19" s="56">
        <f t="shared" si="28"/>
        <v>1000</v>
      </c>
      <c r="BJ19" s="56">
        <f t="shared" si="28"/>
        <v>1000</v>
      </c>
      <c r="BK19" s="56">
        <f t="shared" si="28"/>
        <v>1000</v>
      </c>
      <c r="BL19" s="56">
        <f t="shared" si="29"/>
        <v>1000</v>
      </c>
      <c r="BM19" s="56">
        <f t="shared" si="29"/>
        <v>1000</v>
      </c>
      <c r="BN19" s="56">
        <f t="shared" si="28"/>
        <v>1000</v>
      </c>
      <c r="BO19" s="56">
        <f t="shared" si="28"/>
        <v>1000</v>
      </c>
      <c r="BP19" s="384">
        <f t="shared" si="30"/>
        <v>699.99999999999989</v>
      </c>
      <c r="BQ19" s="384">
        <f t="shared" ref="BQ19:BX19" si="36">$AC19*AO$26/1000</f>
        <v>117.99891245241977</v>
      </c>
      <c r="BR19" s="384">
        <f t="shared" si="36"/>
        <v>304.5133224578575</v>
      </c>
      <c r="BS19" s="384">
        <f t="shared" si="36"/>
        <v>126.88055102410728</v>
      </c>
      <c r="BT19" s="384">
        <f t="shared" si="36"/>
        <v>59.253217328258096</v>
      </c>
      <c r="BU19" s="384">
        <f t="shared" si="36"/>
        <v>0</v>
      </c>
      <c r="BV19" s="384">
        <f t="shared" si="36"/>
        <v>0</v>
      </c>
      <c r="BW19" s="384">
        <f t="shared" si="36"/>
        <v>45.676998368678625</v>
      </c>
      <c r="BX19" s="384">
        <f t="shared" si="36"/>
        <v>45.676998368678625</v>
      </c>
    </row>
    <row r="20" spans="1:76">
      <c r="A20" s="192" t="s">
        <v>170</v>
      </c>
      <c r="B20" s="675">
        <f t="shared" ref="B20:Y20" si="37">SUM(B14:B19)</f>
        <v>0.1269082184024993</v>
      </c>
      <c r="C20" s="251">
        <f t="shared" si="37"/>
        <v>9.319212510554549E-2</v>
      </c>
      <c r="D20" s="673">
        <f t="shared" si="37"/>
        <v>0.11202054022016694</v>
      </c>
      <c r="E20" s="675">
        <f t="shared" si="37"/>
        <v>0.2221381775566853</v>
      </c>
      <c r="F20" s="251">
        <f t="shared" si="37"/>
        <v>0.16701502792366052</v>
      </c>
      <c r="G20" s="673">
        <f t="shared" si="37"/>
        <v>0.1763830741568185</v>
      </c>
      <c r="H20" s="675">
        <f t="shared" si="37"/>
        <v>0.2221381775566853</v>
      </c>
      <c r="I20" s="251">
        <f t="shared" si="37"/>
        <v>0.23690561468734314</v>
      </c>
      <c r="J20" s="673">
        <f t="shared" si="37"/>
        <v>0.1763830741568185</v>
      </c>
      <c r="K20" s="675">
        <f t="shared" si="37"/>
        <v>0.1269082184024993</v>
      </c>
      <c r="L20" s="251">
        <f t="shared" si="37"/>
        <v>8.4266904145077731E-2</v>
      </c>
      <c r="M20" s="673">
        <f t="shared" si="37"/>
        <v>0.11202054022016694</v>
      </c>
      <c r="N20" s="675">
        <f t="shared" si="37"/>
        <v>0.1269082184024993</v>
      </c>
      <c r="O20" s="251">
        <f t="shared" si="37"/>
        <v>0.15994849999999999</v>
      </c>
      <c r="P20" s="673">
        <f t="shared" si="37"/>
        <v>0</v>
      </c>
      <c r="Q20" s="675">
        <f t="shared" si="37"/>
        <v>0.2221381775566853</v>
      </c>
      <c r="R20" s="251">
        <f t="shared" si="37"/>
        <v>0.20011972543352602</v>
      </c>
      <c r="S20" s="673">
        <f t="shared" si="37"/>
        <v>0.1763830741568185</v>
      </c>
      <c r="T20" s="675">
        <f t="shared" si="37"/>
        <v>0.1269082184024993</v>
      </c>
      <c r="U20" s="251">
        <f t="shared" si="37"/>
        <v>6.4603371284437341E-2</v>
      </c>
      <c r="V20" s="673">
        <f t="shared" si="37"/>
        <v>0.11202054022016694</v>
      </c>
      <c r="W20" s="675">
        <f t="shared" si="37"/>
        <v>0.1269082184024993</v>
      </c>
      <c r="X20" s="251">
        <f t="shared" si="37"/>
        <v>6.2823389622008494E-2</v>
      </c>
      <c r="Y20" s="673">
        <f t="shared" si="37"/>
        <v>0.11202054022016694</v>
      </c>
      <c r="Z20" s="23"/>
      <c r="AA20" s="675">
        <f>SUM(AA14:AA19)</f>
        <v>0.18559624833257587</v>
      </c>
      <c r="AB20" s="251">
        <f>SUM(AB14:AB19)</f>
        <v>3.3405107848468452E-2</v>
      </c>
      <c r="AC20" s="673">
        <f>SUM(AC14:AC19)</f>
        <v>0.15219114048410742</v>
      </c>
      <c r="AE20" s="59">
        <f>SUM(AE14:AE19)</f>
        <v>10239.345020508212</v>
      </c>
      <c r="AF20" s="32">
        <f>SUM(AF14:AF19)</f>
        <v>10239345</v>
      </c>
      <c r="AG20" s="32">
        <f>SUM(AG14:AG19)</f>
        <v>42294</v>
      </c>
      <c r="AH20" s="32">
        <f>SUM(AH14:AH19)</f>
        <v>10281639</v>
      </c>
      <c r="AI20" s="19"/>
      <c r="AJ20" s="19"/>
      <c r="AK20" s="265"/>
      <c r="AL20" s="21"/>
      <c r="AM20" s="125"/>
      <c r="AN20" s="127"/>
      <c r="AO20" s="32">
        <f t="shared" ref="AO20:AW20" si="38">SUM(AO14:AO19)</f>
        <v>1180246.4311432436</v>
      </c>
      <c r="AP20" s="32">
        <f t="shared" si="38"/>
        <v>5331316.2613604479</v>
      </c>
      <c r="AQ20" s="32">
        <f t="shared" si="38"/>
        <v>2221381.7755668531</v>
      </c>
      <c r="AR20" s="32">
        <f t="shared" si="38"/>
        <v>592661.37993967172</v>
      </c>
      <c r="AS20" s="32">
        <f t="shared" si="38"/>
        <v>0</v>
      </c>
      <c r="AT20" s="32">
        <f t="shared" si="38"/>
        <v>0</v>
      </c>
      <c r="AU20" s="32">
        <f t="shared" si="38"/>
        <v>456869.58624899748</v>
      </c>
      <c r="AV20" s="32">
        <f t="shared" si="38"/>
        <v>456869.58624899748</v>
      </c>
      <c r="AW20" s="32">
        <f t="shared" si="38"/>
        <v>10239345.020508211</v>
      </c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385">
        <f t="shared" ref="BP20:BX20" si="39">SUM(BP14:BP19)</f>
        <v>8396.3852205082057</v>
      </c>
      <c r="BQ20" s="385">
        <f t="shared" si="39"/>
        <v>1041.5904130362076</v>
      </c>
      <c r="BR20" s="385">
        <f t="shared" si="39"/>
        <v>4704.9649720493244</v>
      </c>
      <c r="BS20" s="385">
        <f t="shared" si="39"/>
        <v>1320.4020716872178</v>
      </c>
      <c r="BT20" s="385">
        <f t="shared" si="39"/>
        <v>523.03518590097724</v>
      </c>
      <c r="BU20" s="385">
        <f t="shared" si="39"/>
        <v>0</v>
      </c>
      <c r="BV20" s="385">
        <f t="shared" si="39"/>
        <v>0</v>
      </c>
      <c r="BW20" s="385">
        <f t="shared" si="39"/>
        <v>403.19628891724187</v>
      </c>
      <c r="BX20" s="385">
        <f t="shared" si="39"/>
        <v>403.19628891724142</v>
      </c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675"/>
      <c r="O21" s="251"/>
      <c r="P21" s="673"/>
      <c r="Q21" s="675"/>
      <c r="R21" s="251"/>
      <c r="S21" s="673"/>
      <c r="T21" s="675"/>
      <c r="U21" s="251"/>
      <c r="V21" s="673"/>
      <c r="W21" s="675"/>
      <c r="X21" s="251"/>
      <c r="Y21" s="673"/>
      <c r="Z21" s="23"/>
      <c r="AA21" s="675"/>
      <c r="AB21" s="251"/>
      <c r="AC21" s="673"/>
      <c r="AE21" s="59">
        <f>AE12+AE20</f>
        <v>15370.665220508212</v>
      </c>
      <c r="AF21" s="247">
        <f>AF12+AF20</f>
        <v>15370665</v>
      </c>
      <c r="AG21" s="247">
        <f>AG12+AG20</f>
        <v>42294</v>
      </c>
      <c r="AH21" s="247">
        <f>AH12+AH20</f>
        <v>15412959</v>
      </c>
      <c r="AI21" s="19"/>
      <c r="AJ21" s="19"/>
      <c r="AK21" s="265"/>
      <c r="AL21" s="2"/>
      <c r="AM21" s="125"/>
      <c r="AN21" s="127"/>
      <c r="AO21" s="33">
        <f t="shared" ref="AO21:AW21" si="40">AO12+AO20</f>
        <v>1822789.9384841896</v>
      </c>
      <c r="AP21" s="33">
        <f t="shared" si="40"/>
        <v>7920964.7964338576</v>
      </c>
      <c r="AQ21" s="33">
        <f t="shared" si="40"/>
        <v>3300402.3318474405</v>
      </c>
      <c r="AR21" s="33">
        <f t="shared" si="40"/>
        <v>592661.37993967172</v>
      </c>
      <c r="AS21" s="33">
        <f t="shared" si="40"/>
        <v>0</v>
      </c>
      <c r="AT21" s="33">
        <f t="shared" si="40"/>
        <v>0</v>
      </c>
      <c r="AU21" s="33">
        <f t="shared" si="40"/>
        <v>456869.58624899748</v>
      </c>
      <c r="AV21" s="33">
        <f t="shared" si="40"/>
        <v>456869.58624899748</v>
      </c>
      <c r="AW21" s="33">
        <f t="shared" si="40"/>
        <v>15370665.020508211</v>
      </c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386">
        <f t="shared" ref="BP21:BX21" si="41">BP12+BP20</f>
        <v>8396.3852205082057</v>
      </c>
      <c r="BQ21" s="386">
        <f t="shared" si="41"/>
        <v>1041.5904130362076</v>
      </c>
      <c r="BR21" s="386">
        <f t="shared" si="41"/>
        <v>4704.9649720493244</v>
      </c>
      <c r="BS21" s="386">
        <f t="shared" si="41"/>
        <v>1320.4020716872178</v>
      </c>
      <c r="BT21" s="386">
        <f t="shared" si="41"/>
        <v>523.03518590097724</v>
      </c>
      <c r="BU21" s="386">
        <f t="shared" si="41"/>
        <v>0</v>
      </c>
      <c r="BV21" s="386">
        <f t="shared" si="41"/>
        <v>0</v>
      </c>
      <c r="BW21" s="386">
        <f t="shared" si="41"/>
        <v>403.19628891724187</v>
      </c>
      <c r="BX21" s="386">
        <f t="shared" si="41"/>
        <v>403.19628891724142</v>
      </c>
    </row>
    <row r="22" spans="1:76">
      <c r="A22" s="192" t="s">
        <v>171</v>
      </c>
      <c r="B22" s="737">
        <f t="shared" ref="B22:Y22" si="42">B12+B20</f>
        <v>0.24844105293908406</v>
      </c>
      <c r="C22" s="738">
        <f t="shared" si="42"/>
        <v>0.21583658398754696</v>
      </c>
      <c r="D22" s="739">
        <f t="shared" si="42"/>
        <v>0.26244020643038324</v>
      </c>
      <c r="E22" s="737">
        <f t="shared" si="42"/>
        <v>0.44904873914333016</v>
      </c>
      <c r="F22" s="738">
        <f t="shared" si="42"/>
        <v>0.41321453872416181</v>
      </c>
      <c r="G22" s="739">
        <f t="shared" si="42"/>
        <v>0.46075632169416436</v>
      </c>
      <c r="H22" s="737">
        <f t="shared" si="42"/>
        <v>0.75317102243111911</v>
      </c>
      <c r="I22" s="738">
        <f t="shared" si="42"/>
        <v>0.78823438015903724</v>
      </c>
      <c r="J22" s="739">
        <f t="shared" si="42"/>
        <v>0.89626389887282754</v>
      </c>
      <c r="K22" s="737">
        <f t="shared" si="42"/>
        <v>0.32311411066885959</v>
      </c>
      <c r="L22" s="738">
        <f t="shared" si="42"/>
        <v>0.27154475388601035</v>
      </c>
      <c r="M22" s="739">
        <f t="shared" si="42"/>
        <v>0.49270538681895398</v>
      </c>
      <c r="N22" s="737">
        <f t="shared" si="42"/>
        <v>2.125252599450878</v>
      </c>
      <c r="O22" s="738">
        <f t="shared" si="42"/>
        <v>2.076661333333333</v>
      </c>
      <c r="P22" s="739">
        <f t="shared" si="42"/>
        <v>0</v>
      </c>
      <c r="Q22" s="737">
        <f t="shared" si="42"/>
        <v>0.54037054174965382</v>
      </c>
      <c r="R22" s="738">
        <f t="shared" si="42"/>
        <v>0.51927248916184965</v>
      </c>
      <c r="S22" s="739">
        <f t="shared" si="42"/>
        <v>0.52819909626063832</v>
      </c>
      <c r="T22" s="737">
        <f t="shared" si="42"/>
        <v>0.30917480565901279</v>
      </c>
      <c r="U22" s="738">
        <f t="shared" si="42"/>
        <v>0.39733888378170251</v>
      </c>
      <c r="V22" s="739">
        <f t="shared" si="42"/>
        <v>0.36301141573327222</v>
      </c>
      <c r="W22" s="737">
        <f t="shared" si="42"/>
        <v>0.47771941259100204</v>
      </c>
      <c r="X22" s="738">
        <f t="shared" si="42"/>
        <v>0.55520968463430986</v>
      </c>
      <c r="Y22" s="739">
        <f t="shared" si="42"/>
        <v>0.36301141573327222</v>
      </c>
      <c r="Z22" s="18"/>
      <c r="AA22" s="737">
        <f>AA12+AA20</f>
        <v>0.45244052634780174</v>
      </c>
      <c r="AB22" s="738">
        <f>AB6+((0.084*(B26+K26+N26+T26+W26))+(0.134*(E26+Q26))+(0.198*H26))/B28</f>
        <v>0.30024938586369432</v>
      </c>
      <c r="AC22" s="739">
        <f>AC12+AC20</f>
        <v>0.15219114048410742</v>
      </c>
      <c r="AE22" s="59">
        <f>AE6+AE21</f>
        <v>24961.143838608223</v>
      </c>
      <c r="AF22" s="37"/>
      <c r="AG22" s="37"/>
      <c r="AH22" s="37"/>
      <c r="AI22" s="19"/>
      <c r="AJ22" s="19"/>
      <c r="AK22" s="265"/>
      <c r="AL22" s="36"/>
      <c r="AM22" s="1026" t="s">
        <v>31</v>
      </c>
      <c r="AN22" s="1026"/>
      <c r="AO22" s="38">
        <f>ROUND(AO21/AO26,5)</f>
        <v>0.19600000000000001</v>
      </c>
      <c r="AP22" s="38">
        <f>ROUND(AP21/AP26,5)</f>
        <v>0.33004</v>
      </c>
      <c r="AQ22" s="38">
        <f t="shared" ref="AQ22:AV22" si="43">IF(AQ26&lt;&gt;0,ROUND(AQ21/AQ26,5),0)</f>
        <v>0.33004</v>
      </c>
      <c r="AR22" s="38">
        <f t="shared" si="43"/>
        <v>0.12691</v>
      </c>
      <c r="AS22" s="38">
        <f t="shared" si="43"/>
        <v>0</v>
      </c>
      <c r="AT22" s="38">
        <f t="shared" si="43"/>
        <v>0</v>
      </c>
      <c r="AU22" s="38">
        <f t="shared" si="43"/>
        <v>0.12691</v>
      </c>
      <c r="AV22" s="38">
        <f t="shared" si="43"/>
        <v>0.12691</v>
      </c>
      <c r="AW22" s="38">
        <f>ROUND(AW21/AW26,5)</f>
        <v>0.27861000000000002</v>
      </c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">
        <f>SUM(BQ22:BX22)</f>
        <v>8396.3852205082112</v>
      </c>
      <c r="BQ22" s="1">
        <f>(B22-B24)*B26</f>
        <v>1041.5904130362076</v>
      </c>
      <c r="BR22" s="1">
        <f>(E22-E24)*E26</f>
        <v>4704.9649720493244</v>
      </c>
      <c r="BS22" s="1">
        <f>(H22-H24)*H26</f>
        <v>1320.4020716872178</v>
      </c>
      <c r="BT22" s="1">
        <f>(K22-K24)*K26</f>
        <v>523.03518590097735</v>
      </c>
      <c r="BU22" s="1">
        <f>(N22-N24)*N26</f>
        <v>0</v>
      </c>
      <c r="BV22" s="1">
        <f>(Q22-Q24)*Q26</f>
        <v>0</v>
      </c>
      <c r="BW22" s="1">
        <f>(T22-T24)*T26</f>
        <v>403.19628891724187</v>
      </c>
      <c r="BX22" s="1">
        <f>(W22-W24)*W26</f>
        <v>403.19628891724147</v>
      </c>
    </row>
    <row r="23" spans="1:76">
      <c r="A23" s="735" t="s">
        <v>534</v>
      </c>
      <c r="B23" s="734">
        <f>B24-B22</f>
        <v>-0.11199896914367824</v>
      </c>
      <c r="C23" s="26"/>
      <c r="D23" s="318"/>
      <c r="E23" s="734">
        <f>E24-E22</f>
        <v>-0.19604020716872184</v>
      </c>
      <c r="F23" s="26"/>
      <c r="G23" s="330"/>
      <c r="H23" s="734">
        <f>H24-H22</f>
        <v>-0.13204020716872178</v>
      </c>
      <c r="I23" s="26"/>
      <c r="J23" s="318"/>
      <c r="K23" s="734">
        <f>K24-K22</f>
        <v>-0.11199896914367824</v>
      </c>
      <c r="L23" s="26"/>
      <c r="M23" s="318"/>
      <c r="N23" s="734">
        <f>N24-N22</f>
        <v>-0.11199896914367802</v>
      </c>
      <c r="O23" s="26"/>
      <c r="P23" s="318"/>
      <c r="Q23" s="734">
        <f>Q24-Q22</f>
        <v>-0.19604020716872173</v>
      </c>
      <c r="R23" s="26"/>
      <c r="S23" s="318"/>
      <c r="T23" s="734">
        <f>T24-T22</f>
        <v>-0.1119989691436783</v>
      </c>
      <c r="U23" s="26"/>
      <c r="V23" s="318"/>
      <c r="W23" s="734">
        <f>W24-W22</f>
        <v>-0.11199896914367818</v>
      </c>
      <c r="X23" s="26"/>
      <c r="Y23" s="318"/>
      <c r="Z23" s="17"/>
      <c r="AA23" s="734">
        <f>AA24-AA22</f>
        <v>-0.15219114048410748</v>
      </c>
      <c r="AB23" s="26"/>
      <c r="AC23" s="318"/>
      <c r="AF23" s="37"/>
      <c r="AG23" s="37"/>
      <c r="AH23" s="37"/>
      <c r="AI23" s="19"/>
      <c r="AJ23" s="19"/>
      <c r="AK23" s="265"/>
      <c r="AL23" s="36"/>
      <c r="AM23" s="1026" t="s">
        <v>32</v>
      </c>
      <c r="AN23" s="1026"/>
      <c r="AO23" s="38">
        <f>ROUND(AO22+B6,5)</f>
        <v>0.24843999999999999</v>
      </c>
      <c r="AP23" s="38">
        <f>ROUND(AP22+E6,5)</f>
        <v>0.44905</v>
      </c>
      <c r="AQ23" s="38">
        <f t="shared" ref="AQ23:AV23" si="44">IF(AQ26&lt;&gt;0,ROUND(AQ22+H6,5),0)</f>
        <v>0.75317000000000001</v>
      </c>
      <c r="AR23" s="38">
        <f t="shared" si="44"/>
        <v>0.54386999999999996</v>
      </c>
      <c r="AS23" s="38">
        <f t="shared" si="44"/>
        <v>0</v>
      </c>
      <c r="AT23" s="38">
        <f t="shared" si="44"/>
        <v>0</v>
      </c>
      <c r="AU23" s="38">
        <f t="shared" si="44"/>
        <v>0.24736</v>
      </c>
      <c r="AV23" s="38">
        <f t="shared" si="44"/>
        <v>0.40345999999999999</v>
      </c>
      <c r="AW23" s="38">
        <f>ROUND(AW22+(AA6*AA26)/B28,5)</f>
        <v>0.45245000000000002</v>
      </c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76">
      <c r="A24" s="192" t="s">
        <v>533</v>
      </c>
      <c r="B24" s="669">
        <f>IF(B7+B8+B9+B10+B11+B20&lt;0.084,B22,B6+0.084)</f>
        <v>0.13644208379540582</v>
      </c>
      <c r="C24" s="670"/>
      <c r="D24" s="671"/>
      <c r="E24" s="669">
        <f>IF(E7+E8+E9+E10+E11+E20&lt;0.134,E22,E6+0.134)</f>
        <v>0.25300853197460832</v>
      </c>
      <c r="F24" s="670"/>
      <c r="G24" s="671"/>
      <c r="H24" s="669">
        <f>IF(H7+H8+H9+H10+H11+H20&lt;0.198,H22,H6+0.198)</f>
        <v>0.62113081526239733</v>
      </c>
      <c r="I24" s="670"/>
      <c r="J24" s="671"/>
      <c r="K24" s="669">
        <f>IF(K7+K8+K9+K10+K11+K20&lt;0.084,K22,K6+0.084)</f>
        <v>0.21111514152518135</v>
      </c>
      <c r="L24" s="670"/>
      <c r="M24" s="671"/>
      <c r="N24" s="669">
        <f>IF(N7+N8+N9+N10+N11+N20&lt;0.084,N22,N6+0.084)</f>
        <v>2.0132536303071999</v>
      </c>
      <c r="O24" s="670"/>
      <c r="P24" s="671"/>
      <c r="Q24" s="669">
        <f>IF(Q7+Q8+Q9+Q10+Q11+Q20&lt;0.134,Q22,Q6+0.134)</f>
        <v>0.3443303345809321</v>
      </c>
      <c r="R24" s="670"/>
      <c r="S24" s="671"/>
      <c r="T24" s="669">
        <f>IF(T7+T8+T9+T10+T11+T20&lt;0.084,T22,T6+0.084)</f>
        <v>0.19717583651533449</v>
      </c>
      <c r="U24" s="670"/>
      <c r="V24" s="671"/>
      <c r="W24" s="669">
        <f>IF(W7+W8+W9+W10+W11+W20&lt;0.084,W22,W6+0.084)</f>
        <v>0.36572044344732385</v>
      </c>
      <c r="X24" s="670"/>
      <c r="Y24" s="671"/>
      <c r="Z24" s="18"/>
      <c r="AA24" s="669">
        <f>(B24*B$26+E24*E$26+H24*H$26+K24*K$26+N24*N$26+Q24*Q$26+T24*T$26+W24*W$26)/AA$26</f>
        <v>0.30024938586369426</v>
      </c>
      <c r="AB24" s="26"/>
      <c r="AC24" s="318"/>
      <c r="AF24" s="37"/>
      <c r="AG24" s="37"/>
      <c r="AH24" s="37"/>
      <c r="AI24" s="19"/>
      <c r="AJ24" s="19"/>
      <c r="AK24" s="265"/>
      <c r="AL24" s="36"/>
      <c r="AM24" s="244"/>
      <c r="AN24" s="244"/>
      <c r="AO24" s="37"/>
      <c r="AP24" s="37"/>
      <c r="AQ24" s="37"/>
      <c r="AR24" s="37"/>
      <c r="AS24" s="37"/>
      <c r="AT24" s="37"/>
      <c r="AU24" s="37"/>
      <c r="AV24" s="37"/>
      <c r="AW24" s="37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76">
      <c r="A25" s="735"/>
      <c r="B25" s="734"/>
      <c r="C25" s="26"/>
      <c r="D25" s="318"/>
      <c r="E25" s="734"/>
      <c r="F25" s="26"/>
      <c r="G25" s="330"/>
      <c r="H25" s="734"/>
      <c r="I25" s="26"/>
      <c r="J25" s="318"/>
      <c r="K25" s="734"/>
      <c r="L25" s="26"/>
      <c r="M25" s="318"/>
      <c r="N25" s="734"/>
      <c r="O25" s="26"/>
      <c r="P25" s="318"/>
      <c r="Q25" s="734"/>
      <c r="R25" s="26"/>
      <c r="S25" s="318"/>
      <c r="T25" s="734"/>
      <c r="U25" s="26"/>
      <c r="V25" s="318"/>
      <c r="W25" s="734"/>
      <c r="X25" s="26"/>
      <c r="Y25" s="318"/>
      <c r="Z25" s="17"/>
      <c r="AA25" s="675"/>
      <c r="AB25" s="26"/>
      <c r="AC25" s="318"/>
      <c r="AF25" s="37"/>
      <c r="AG25" s="37"/>
      <c r="AH25" s="37"/>
      <c r="AI25" s="19"/>
      <c r="AJ25" s="19"/>
      <c r="AK25" s="265"/>
      <c r="AL25" s="36"/>
      <c r="AM25" s="244"/>
      <c r="AN25" s="244"/>
      <c r="AO25" s="37"/>
      <c r="AP25" s="37"/>
      <c r="AQ25" s="37"/>
      <c r="AR25" s="37"/>
      <c r="AS25" s="37"/>
      <c r="AT25" s="37"/>
      <c r="AU25" s="37"/>
      <c r="AV25" s="37"/>
      <c r="AW25" s="37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</row>
    <row r="26" spans="1:76">
      <c r="A26" s="192" t="s">
        <v>264</v>
      </c>
      <c r="B26" s="331">
        <f>$B$31+$B$32</f>
        <v>9300</v>
      </c>
      <c r="C26" s="26">
        <v>44618.197999999997</v>
      </c>
      <c r="D26" s="77">
        <v>22100</v>
      </c>
      <c r="E26" s="331">
        <f>$B$33</f>
        <v>24000</v>
      </c>
      <c r="F26" s="26">
        <v>6373.2690000000002</v>
      </c>
      <c r="G26" s="77">
        <v>35000</v>
      </c>
      <c r="H26" s="331">
        <f>$B$34</f>
        <v>10000</v>
      </c>
      <c r="I26" s="26">
        <v>12690.11</v>
      </c>
      <c r="J26" s="77">
        <v>15000</v>
      </c>
      <c r="K26" s="331">
        <f>$B$35</f>
        <v>4670</v>
      </c>
      <c r="L26" s="26">
        <v>617.6</v>
      </c>
      <c r="M26" s="77">
        <v>0</v>
      </c>
      <c r="N26" s="331">
        <f>$B$36</f>
        <v>0</v>
      </c>
      <c r="O26" s="26">
        <v>120</v>
      </c>
      <c r="P26" s="77">
        <v>0</v>
      </c>
      <c r="Q26" s="331">
        <f>$B$37</f>
        <v>0</v>
      </c>
      <c r="R26" s="26">
        <v>553.6</v>
      </c>
      <c r="S26" s="77">
        <v>0</v>
      </c>
      <c r="T26" s="331">
        <f>$B$38</f>
        <v>3600</v>
      </c>
      <c r="U26" s="26">
        <v>3939.982</v>
      </c>
      <c r="V26" s="77">
        <v>0</v>
      </c>
      <c r="W26" s="331">
        <f>$B$39</f>
        <v>3600</v>
      </c>
      <c r="X26" s="26">
        <v>715.36</v>
      </c>
      <c r="Y26" s="77">
        <v>0</v>
      </c>
      <c r="Z26" s="26"/>
      <c r="AA26" s="331">
        <f>B28</f>
        <v>55170</v>
      </c>
      <c r="AB26" s="26"/>
      <c r="AC26" s="77"/>
      <c r="AF26" s="41"/>
      <c r="AG26" s="41"/>
      <c r="AH26" s="41"/>
      <c r="AI26" s="19"/>
      <c r="AJ26" s="19"/>
      <c r="AK26" s="265"/>
      <c r="AL26" s="5"/>
      <c r="AM26" s="1026" t="s">
        <v>33</v>
      </c>
      <c r="AN26" s="1026"/>
      <c r="AO26" s="41">
        <f>ROUND(B26*1000,0)</f>
        <v>9300000</v>
      </c>
      <c r="AP26" s="41">
        <f>ROUND(E26*1000,0)</f>
        <v>24000000</v>
      </c>
      <c r="AQ26" s="41">
        <f>ROUND(H26*1000,0)</f>
        <v>10000000</v>
      </c>
      <c r="AR26" s="41">
        <f>ROUND(K26*1000,0)</f>
        <v>4670000</v>
      </c>
      <c r="AS26" s="41">
        <f>ROUND(N26*1000,0)</f>
        <v>0</v>
      </c>
      <c r="AT26" s="41">
        <f>ROUND(Q26*1000,0)</f>
        <v>0</v>
      </c>
      <c r="AU26" s="41">
        <f>ROUND(T26*1000,0)</f>
        <v>3600000</v>
      </c>
      <c r="AV26" s="41">
        <f>ROUND(W26*1000,0)</f>
        <v>3600000</v>
      </c>
      <c r="AW26" s="41">
        <f>SUM(AO26:AV26)</f>
        <v>55170000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76" ht="13.5" thickBot="1">
      <c r="E27" s="99"/>
      <c r="F27" s="72"/>
      <c r="G27" s="75"/>
      <c r="H27" s="99"/>
      <c r="I27" s="72"/>
      <c r="J27" s="75"/>
      <c r="K27" s="99"/>
      <c r="L27" s="72"/>
      <c r="M27" s="75"/>
      <c r="N27" s="99"/>
      <c r="O27" s="72"/>
      <c r="P27" s="75"/>
      <c r="Q27" s="99"/>
      <c r="R27" s="72"/>
      <c r="S27" s="75"/>
      <c r="T27" s="99"/>
      <c r="U27" s="72"/>
      <c r="V27" s="75"/>
      <c r="W27" s="99"/>
      <c r="X27" s="72"/>
      <c r="Y27" s="75"/>
      <c r="AA27" s="99"/>
      <c r="AB27" s="72"/>
      <c r="AC27" s="75"/>
    </row>
    <row r="28" spans="1:76" ht="13.5" thickBot="1">
      <c r="A28" s="192" t="s">
        <v>265</v>
      </c>
      <c r="B28" s="193">
        <f>B26+E26+H26+K26+N26+Q26+T26+W26</f>
        <v>55170</v>
      </c>
      <c r="C28" s="687">
        <f>C26+F26+I26+L26+R26+U26+X26</f>
        <v>69508.118999999992</v>
      </c>
      <c r="D28" s="688">
        <f>D26+G26+J26+M26+V26</f>
        <v>72100</v>
      </c>
    </row>
    <row r="29" spans="1:76" ht="15">
      <c r="AA29" s="17"/>
      <c r="AB29" s="199" t="s">
        <v>107</v>
      </c>
      <c r="AC29" s="199" t="s">
        <v>310</v>
      </c>
      <c r="AD29" s="199" t="s">
        <v>311</v>
      </c>
    </row>
    <row r="30" spans="1:76">
      <c r="A30" s="190" t="s">
        <v>176</v>
      </c>
      <c r="B30" s="46" t="s">
        <v>168</v>
      </c>
      <c r="C30" s="46" t="s">
        <v>36</v>
      </c>
      <c r="AA30" s="371" t="s">
        <v>513</v>
      </c>
      <c r="AB30" s="1027" t="s">
        <v>312</v>
      </c>
      <c r="AC30" s="1027"/>
      <c r="AD30" s="1027"/>
    </row>
    <row r="31" spans="1:76" ht="15">
      <c r="A31" s="48" t="s">
        <v>188</v>
      </c>
      <c r="B31" s="342">
        <v>0</v>
      </c>
      <c r="C31" s="183">
        <f t="shared" ref="C31:C40" si="45">+B31/$B$41</f>
        <v>0</v>
      </c>
      <c r="D31" s="47"/>
      <c r="F31" s="47"/>
      <c r="AA31" s="17" t="s">
        <v>315</v>
      </c>
      <c r="AB31" s="366">
        <f>SUM(AC31:AD31)</f>
        <v>16564.758618100015</v>
      </c>
      <c r="AC31" s="366">
        <f>AB12*$AA$26</f>
        <v>14721.798818100011</v>
      </c>
      <c r="AD31" s="366">
        <f>AB20*$AA$26</f>
        <v>1842.9598000000044</v>
      </c>
    </row>
    <row r="32" spans="1:76" ht="15">
      <c r="A32" s="48" t="s">
        <v>187</v>
      </c>
      <c r="B32" s="342">
        <f>2000+14400/2+ROUND(100*1.013,-1)</f>
        <v>9300</v>
      </c>
      <c r="C32" s="183">
        <f t="shared" si="45"/>
        <v>0.16856987493202827</v>
      </c>
      <c r="D32" s="50"/>
      <c r="F32" s="709"/>
      <c r="AA32" s="17" t="s">
        <v>316</v>
      </c>
      <c r="AB32" s="367">
        <f>SUM(AC32:AD32)</f>
        <v>8396.3852205082057</v>
      </c>
      <c r="AC32" s="367">
        <f>AC12*AA26</f>
        <v>0</v>
      </c>
      <c r="AD32" s="367">
        <f>AC20*AA26</f>
        <v>8396.3852205082057</v>
      </c>
      <c r="BJ32" s="39"/>
      <c r="BK32" s="39"/>
      <c r="BL32" s="39"/>
      <c r="BM32" s="39"/>
      <c r="BN32" s="39"/>
      <c r="BO32" s="39"/>
    </row>
    <row r="33" spans="1:67" ht="16.5">
      <c r="A33" s="48" t="s">
        <v>280</v>
      </c>
      <c r="B33" s="342">
        <v>24000</v>
      </c>
      <c r="C33" s="183">
        <f t="shared" si="45"/>
        <v>0.43501903208265363</v>
      </c>
      <c r="D33" s="50"/>
      <c r="F33" s="709"/>
      <c r="AA33" s="17" t="s">
        <v>314</v>
      </c>
      <c r="AB33" s="213">
        <f>SUM(AC33:AD33)</f>
        <v>0</v>
      </c>
      <c r="AC33" s="213">
        <f>IF(C107&lt;&gt;0,0,(((((D106/1.06564)-0.33)*0.974)-D107)*(240000-C106))/1000)</f>
        <v>0</v>
      </c>
      <c r="AD33" s="213">
        <v>0</v>
      </c>
      <c r="BJ33" s="39"/>
      <c r="BK33" s="39"/>
      <c r="BL33" s="39"/>
      <c r="BM33" s="39"/>
      <c r="BN33" s="39"/>
      <c r="BO33" s="39"/>
    </row>
    <row r="34" spans="1:67" ht="15">
      <c r="A34" s="48" t="s">
        <v>281</v>
      </c>
      <c r="B34" s="342">
        <v>10000</v>
      </c>
      <c r="C34" s="183">
        <f t="shared" si="45"/>
        <v>0.18125793003443902</v>
      </c>
      <c r="D34" s="50"/>
      <c r="F34" s="51"/>
      <c r="AA34" s="192" t="s">
        <v>3</v>
      </c>
      <c r="AB34" s="368">
        <f>SUM(AB31:AB33)</f>
        <v>24961.143838608223</v>
      </c>
      <c r="AC34" s="368">
        <f>SUM(AC31:AC33)</f>
        <v>14721.798818100011</v>
      </c>
      <c r="AD34" s="368">
        <f>SUM(AD31:AD33)</f>
        <v>10239.34502050821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342">
        <v>4670</v>
      </c>
      <c r="C35" s="183">
        <f t="shared" si="45"/>
        <v>8.4647453326083019E-2</v>
      </c>
      <c r="D35" s="50"/>
      <c r="F35" s="51"/>
      <c r="AA35" s="192" t="s">
        <v>317</v>
      </c>
      <c r="AB35" s="443">
        <f>SUM(AC35:AD35)</f>
        <v>-4428</v>
      </c>
      <c r="AC35" s="443">
        <v>0</v>
      </c>
      <c r="AD35" s="443">
        <f>-AA18*AA26</f>
        <v>-4428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342">
        <v>0</v>
      </c>
      <c r="C36" s="183">
        <f t="shared" si="45"/>
        <v>0</v>
      </c>
      <c r="D36" s="50"/>
      <c r="F36" s="51"/>
      <c r="AA36" s="192" t="s">
        <v>313</v>
      </c>
      <c r="AB36" s="370">
        <f>SUM(AB34:AB35)</f>
        <v>20533.143838608223</v>
      </c>
      <c r="AC36" s="370">
        <f>SUM(AC34:AC35)</f>
        <v>14721.798818100011</v>
      </c>
      <c r="AD36" s="370">
        <f>SUM(AD34:AD35)</f>
        <v>5811.3450205082099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342">
        <v>0</v>
      </c>
      <c r="C37" s="183">
        <f t="shared" si="45"/>
        <v>0</v>
      </c>
      <c r="D37" s="50"/>
      <c r="F37" s="51"/>
      <c r="AA37" s="192"/>
      <c r="AB37" s="370"/>
      <c r="AC37" s="370"/>
      <c r="AD37" s="370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342">
        <f>14400/4</f>
        <v>3600</v>
      </c>
      <c r="C38" s="183">
        <f t="shared" si="45"/>
        <v>6.5252854812398037E-2</v>
      </c>
      <c r="D38" s="50"/>
      <c r="F38" s="51"/>
      <c r="AA38" s="371" t="s">
        <v>512</v>
      </c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342">
        <f>14400/4</f>
        <v>3600</v>
      </c>
      <c r="C39" s="183">
        <f t="shared" si="45"/>
        <v>6.5252854812398037E-2</v>
      </c>
      <c r="D39" s="50"/>
      <c r="F39" s="51"/>
      <c r="AA39" s="17" t="s">
        <v>315</v>
      </c>
      <c r="AB39" s="366">
        <f>SUM(AC39:AD39)</f>
        <v>1380.3965515083346</v>
      </c>
      <c r="AC39" s="366">
        <f t="shared" ref="AC39:AD41" si="46">AC31/12</f>
        <v>1226.8165681750008</v>
      </c>
      <c r="AD39" s="366">
        <f t="shared" si="46"/>
        <v>153.5799833333337</v>
      </c>
      <c r="BJ39" s="39"/>
      <c r="BK39" s="39"/>
      <c r="BL39" s="39"/>
      <c r="BM39" s="39"/>
      <c r="BN39" s="39"/>
      <c r="BO39" s="39"/>
    </row>
    <row r="40" spans="1:67" ht="15">
      <c r="A40" s="48"/>
      <c r="B40" s="342">
        <v>0</v>
      </c>
      <c r="C40" s="184">
        <f t="shared" si="45"/>
        <v>0</v>
      </c>
      <c r="D40" s="50"/>
      <c r="F40" s="51"/>
      <c r="AA40" s="17" t="s">
        <v>316</v>
      </c>
      <c r="AB40" s="367">
        <f>SUM(AC40:AD40)</f>
        <v>699.69876837568381</v>
      </c>
      <c r="AC40" s="367">
        <f t="shared" si="46"/>
        <v>0</v>
      </c>
      <c r="AD40" s="367">
        <f t="shared" si="46"/>
        <v>699.69876837568381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>
        <f>SUM(B31:B40)</f>
        <v>55170</v>
      </c>
      <c r="C41" s="183">
        <f>SUM(C31:C40)</f>
        <v>1</v>
      </c>
      <c r="D41" s="50"/>
      <c r="F41" s="51"/>
      <c r="AA41" s="17" t="s">
        <v>314</v>
      </c>
      <c r="AB41" s="213">
        <f>SUM(AC41:AD41)</f>
        <v>0</v>
      </c>
      <c r="AC41" s="213">
        <f t="shared" si="46"/>
        <v>0</v>
      </c>
      <c r="AD41" s="213">
        <f t="shared" si="46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192" t="s">
        <v>3</v>
      </c>
      <c r="AB42" s="368">
        <f>SUM(AB39:AB41)</f>
        <v>2080.0953198840184</v>
      </c>
      <c r="AC42" s="368">
        <f>SUM(AC39:AC41)</f>
        <v>1226.8165681750008</v>
      </c>
      <c r="AD42" s="368">
        <f>SUM(AD39:AD41)</f>
        <v>853.27875170901757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P43" s="72"/>
      <c r="AA43" s="192" t="s">
        <v>317</v>
      </c>
      <c r="AB43" s="369">
        <f>SUM(AC43:AD43)</f>
        <v>-369</v>
      </c>
      <c r="AC43" s="369">
        <f>AC35/12</f>
        <v>0</v>
      </c>
      <c r="AD43" s="369">
        <f>AD35/12</f>
        <v>-369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3"/>
      <c r="C44" s="82"/>
      <c r="D44" s="93"/>
      <c r="E44" s="82"/>
      <c r="F44" s="93"/>
      <c r="G44" s="82"/>
      <c r="H44" s="93"/>
      <c r="I44" s="82"/>
      <c r="J44" s="93"/>
      <c r="K44" s="82"/>
      <c r="L44" s="93"/>
      <c r="M44" s="82"/>
      <c r="N44" s="93"/>
      <c r="O44" s="82"/>
      <c r="P44" s="93"/>
      <c r="Q44" s="82"/>
      <c r="R44" s="148"/>
      <c r="AA44" s="192" t="s">
        <v>313</v>
      </c>
      <c r="AB44" s="370">
        <f>SUM(AB42:AB43)</f>
        <v>1711.0953198840184</v>
      </c>
      <c r="AC44" s="370">
        <f>SUM(AC42:AC43)</f>
        <v>1226.8165681750008</v>
      </c>
      <c r="AD44" s="370">
        <f>SUM(AD42:AD43)</f>
        <v>484.27875170901757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4" t="s">
        <v>516</v>
      </c>
      <c r="L45" s="1010"/>
      <c r="M45" s="1034" t="s">
        <v>502</v>
      </c>
      <c r="N45" s="1010"/>
      <c r="O45" s="1034" t="s">
        <v>498</v>
      </c>
      <c r="P45" s="1010"/>
      <c r="Q45" s="1034" t="s">
        <v>499</v>
      </c>
      <c r="R45" s="101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719" t="s">
        <v>38</v>
      </c>
      <c r="L46" s="171"/>
      <c r="M46" s="719" t="s">
        <v>38</v>
      </c>
      <c r="N46" s="171"/>
      <c r="O46" s="719" t="s">
        <v>38</v>
      </c>
      <c r="P46" s="171"/>
      <c r="Q46" s="53" t="s">
        <v>38</v>
      </c>
      <c r="R46" s="171"/>
      <c r="AK46" s="13"/>
      <c r="AL46" s="46"/>
      <c r="BH46" s="11"/>
    </row>
    <row r="47" spans="1:67" ht="15">
      <c r="A47" s="176" t="s">
        <v>173</v>
      </c>
      <c r="B47" s="712">
        <f>16.84*2</f>
        <v>33.68</v>
      </c>
      <c r="C47" s="710">
        <v>0.6</v>
      </c>
      <c r="D47" s="186"/>
      <c r="E47" s="710">
        <v>0.6</v>
      </c>
      <c r="F47" s="186"/>
      <c r="G47" s="710">
        <v>0.6</v>
      </c>
      <c r="H47" s="186"/>
      <c r="I47" s="720">
        <v>0.6</v>
      </c>
      <c r="J47" s="186"/>
      <c r="K47" s="720">
        <v>0.6</v>
      </c>
      <c r="L47" s="186"/>
      <c r="M47" s="720">
        <v>0.6</v>
      </c>
      <c r="N47" s="186"/>
      <c r="O47" s="720">
        <v>0.6</v>
      </c>
      <c r="P47" s="186"/>
      <c r="Q47" s="710">
        <v>0.6</v>
      </c>
      <c r="R47" s="186"/>
      <c r="AK47" s="13"/>
      <c r="AL47" s="250"/>
      <c r="BH47" s="251"/>
      <c r="BI47" s="251"/>
    </row>
    <row r="48" spans="1:67" ht="16.5">
      <c r="A48" s="176" t="s">
        <v>178</v>
      </c>
      <c r="B48" s="713">
        <f>13.81*2</f>
        <v>27.62</v>
      </c>
      <c r="C48" s="710">
        <v>0.4</v>
      </c>
      <c r="D48" s="186"/>
      <c r="E48" s="710">
        <v>0.4</v>
      </c>
      <c r="F48" s="186"/>
      <c r="G48" s="710">
        <v>0.4</v>
      </c>
      <c r="H48" s="186"/>
      <c r="I48" s="720">
        <v>0.4</v>
      </c>
      <c r="J48" s="186"/>
      <c r="K48" s="720">
        <v>0.4</v>
      </c>
      <c r="L48" s="186"/>
      <c r="M48" s="720">
        <v>0.4</v>
      </c>
      <c r="N48" s="186"/>
      <c r="O48" s="720">
        <v>0.4</v>
      </c>
      <c r="P48" s="186"/>
      <c r="Q48" s="710">
        <v>0.4</v>
      </c>
      <c r="R48" s="186"/>
      <c r="AK48" s="13"/>
      <c r="AL48" s="250"/>
      <c r="BH48" s="252"/>
      <c r="BI48" s="252"/>
    </row>
    <row r="49" spans="1:76">
      <c r="A49" s="141" t="s">
        <v>174</v>
      </c>
      <c r="B49" s="714">
        <f>+B47*C47+B48*C48</f>
        <v>31.256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721">
        <f>SUM(K47:K48)</f>
        <v>1</v>
      </c>
      <c r="L49" s="187"/>
      <c r="M49" s="721">
        <f>SUM(M47:M48)</f>
        <v>1</v>
      </c>
      <c r="N49" s="187"/>
      <c r="O49" s="721">
        <f>SUM(O47:O48)</f>
        <v>1</v>
      </c>
      <c r="P49" s="187"/>
      <c r="Q49" s="55">
        <f>SUM(Q47:Q48)</f>
        <v>1</v>
      </c>
      <c r="R49" s="187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722"/>
      <c r="L50" s="187"/>
      <c r="M50" s="722"/>
      <c r="N50" s="187"/>
      <c r="O50" s="722"/>
      <c r="P50" s="187"/>
      <c r="Q50" s="60"/>
      <c r="R50" s="187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723" t="s">
        <v>496</v>
      </c>
      <c r="L51" s="188" t="s">
        <v>179</v>
      </c>
      <c r="M51" s="723" t="s">
        <v>496</v>
      </c>
      <c r="N51" s="188" t="s">
        <v>179</v>
      </c>
      <c r="O51" s="723" t="s">
        <v>496</v>
      </c>
      <c r="P51" s="188" t="s">
        <v>179</v>
      </c>
      <c r="Q51" s="185" t="s">
        <v>496</v>
      </c>
      <c r="R51" s="188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189">
        <f>$B$49/2000</f>
        <v>1.5628E-2</v>
      </c>
      <c r="C52" s="711">
        <v>2.1675263697561249</v>
      </c>
      <c r="D52" s="311">
        <f t="shared" ref="D52:D61" si="47">B52*C52</f>
        <v>3.3874102106548717E-2</v>
      </c>
      <c r="E52" s="711">
        <v>2.1341417567656409</v>
      </c>
      <c r="F52" s="311">
        <f t="shared" ref="F52:F61" si="48">B52*E52</f>
        <v>3.3352367374733433E-2</v>
      </c>
      <c r="G52" s="711">
        <v>0</v>
      </c>
      <c r="H52" s="311">
        <f t="shared" ref="H52:H61" si="49">$B52*G52</f>
        <v>0</v>
      </c>
      <c r="I52" s="724">
        <v>2.4626137208549221</v>
      </c>
      <c r="J52" s="311">
        <f t="shared" ref="J52:L61" si="50">$B52*I52</f>
        <v>3.8485727229520719E-2</v>
      </c>
      <c r="K52" s="724">
        <v>2.2880632333333333</v>
      </c>
      <c r="L52" s="311">
        <f t="shared" si="50"/>
        <v>3.5757852210533334E-2</v>
      </c>
      <c r="M52" s="724">
        <v>1.8981585765895954</v>
      </c>
      <c r="N52" s="311">
        <f t="shared" ref="N52:N61" si="51">$B52*M52</f>
        <v>2.9664422234942197E-2</v>
      </c>
      <c r="O52" s="724">
        <v>1.8469763923122064</v>
      </c>
      <c r="P52" s="311">
        <f t="shared" ref="P52:P61" si="52">$B52*O52</f>
        <v>2.8864547059055161E-2</v>
      </c>
      <c r="Q52" s="711">
        <v>0.69046627608104028</v>
      </c>
      <c r="R52" s="311">
        <f t="shared" ref="R52:R61" si="53">$B52*Q52</f>
        <v>1.0790606962594497E-2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1437.9728672243059</v>
      </c>
      <c r="AJ52" s="312">
        <f>B52*1000</f>
        <v>15.628</v>
      </c>
      <c r="AK52" s="256" t="s">
        <v>12</v>
      </c>
      <c r="AL52" s="255" t="s">
        <v>154</v>
      </c>
      <c r="BH52" s="56">
        <f>IF(B52&lt;&gt;0,D52/B52*1000,0)</f>
        <v>2167.526369756125</v>
      </c>
      <c r="BI52" s="56">
        <f>IF(B52&lt;&gt;0,F52/B52*1000,0)</f>
        <v>2134.1417567656408</v>
      </c>
      <c r="BJ52" s="56">
        <f>IF(B52&lt;&gt;0,H52/B52*1000,0)</f>
        <v>0</v>
      </c>
      <c r="BK52" s="56"/>
      <c r="BL52" s="56"/>
      <c r="BM52" s="56"/>
      <c r="BN52" s="56"/>
      <c r="BO52" s="56"/>
      <c r="BP52" s="26">
        <f t="shared" ref="BP52:BP61" si="54">BH52*$B$26+BI52*$E$26+BJ52*$H$26</f>
        <v>71377397.401107341</v>
      </c>
      <c r="BQ52" s="26">
        <v>202343432</v>
      </c>
      <c r="BR52" s="183">
        <f t="shared" ref="BR52:BR60" si="55">BQ52/BP52</f>
        <v>2.8348390298251593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717">
        <v>0.14000000000000001</v>
      </c>
      <c r="C53" s="711">
        <v>0</v>
      </c>
      <c r="D53" s="311">
        <f t="shared" si="47"/>
        <v>0</v>
      </c>
      <c r="E53" s="711">
        <v>0</v>
      </c>
      <c r="F53" s="311">
        <f t="shared" si="48"/>
        <v>0</v>
      </c>
      <c r="G53" s="711">
        <v>2.1733186100829704</v>
      </c>
      <c r="H53" s="311">
        <f t="shared" si="49"/>
        <v>0.30426460541161587</v>
      </c>
      <c r="I53" s="724">
        <v>0</v>
      </c>
      <c r="J53" s="311">
        <f t="shared" si="50"/>
        <v>0</v>
      </c>
      <c r="K53" s="724"/>
      <c r="L53" s="311">
        <f t="shared" si="50"/>
        <v>0</v>
      </c>
      <c r="M53" s="724">
        <v>0</v>
      </c>
      <c r="N53" s="311">
        <f t="shared" si="51"/>
        <v>0</v>
      </c>
      <c r="O53" s="724">
        <v>0.51538366050469486</v>
      </c>
      <c r="P53" s="311">
        <f t="shared" si="52"/>
        <v>7.2153712470657286E-2</v>
      </c>
      <c r="Q53" s="711">
        <v>1.8395620653159963</v>
      </c>
      <c r="R53" s="311">
        <f t="shared" si="53"/>
        <v>0.2575386891442395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56">D53*$B$26+F53*$E$26+H53*$H$26+J53*$K$26+L53*$N$26+N53*$Q$26+P53*$T$26+R53*$W$26</f>
        <v>4229.5386999297871</v>
      </c>
      <c r="AJ53" s="312">
        <f>B53*1000</f>
        <v>140</v>
      </c>
      <c r="AK53" s="256" t="s">
        <v>12</v>
      </c>
      <c r="AL53" s="256" t="s">
        <v>298</v>
      </c>
      <c r="BH53" s="56">
        <f>IF(B53&lt;&gt;0,D53/B53*1000,0)</f>
        <v>0</v>
      </c>
      <c r="BI53" s="56">
        <f>IF(B53&lt;&gt;0,F53/B53*1000,0)</f>
        <v>0</v>
      </c>
      <c r="BJ53" s="56">
        <f>IF(B53&lt;&gt;0,H53/B53*1000,0)</f>
        <v>2173.3186100829703</v>
      </c>
      <c r="BK53" s="56"/>
      <c r="BL53" s="56"/>
      <c r="BM53" s="56"/>
      <c r="BN53" s="56"/>
      <c r="BO53" s="56"/>
      <c r="BP53" s="26">
        <f t="shared" si="54"/>
        <v>21733186.100829702</v>
      </c>
      <c r="BQ53" s="26">
        <v>0</v>
      </c>
      <c r="BR53" s="183">
        <f t="shared" si="55"/>
        <v>0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717">
        <v>0.20599999999999999</v>
      </c>
      <c r="C54" s="711">
        <v>0</v>
      </c>
      <c r="D54" s="311">
        <f t="shared" si="47"/>
        <v>0</v>
      </c>
      <c r="E54" s="711">
        <v>0</v>
      </c>
      <c r="F54" s="311">
        <f t="shared" si="48"/>
        <v>0</v>
      </c>
      <c r="G54" s="711">
        <v>0</v>
      </c>
      <c r="H54" s="311">
        <f t="shared" si="49"/>
        <v>0</v>
      </c>
      <c r="I54" s="724">
        <v>0</v>
      </c>
      <c r="J54" s="311">
        <f t="shared" si="50"/>
        <v>0</v>
      </c>
      <c r="K54" s="724"/>
      <c r="L54" s="311">
        <f t="shared" si="50"/>
        <v>0</v>
      </c>
      <c r="M54" s="724">
        <v>0</v>
      </c>
      <c r="N54" s="311">
        <f t="shared" si="51"/>
        <v>0</v>
      </c>
      <c r="O54" s="724">
        <v>0</v>
      </c>
      <c r="P54" s="311">
        <f t="shared" si="52"/>
        <v>0</v>
      </c>
      <c r="Q54" s="711">
        <v>0</v>
      </c>
      <c r="R54" s="311">
        <f t="shared" si="53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56"/>
        <v>0</v>
      </c>
      <c r="AJ54" s="312">
        <f>B54*1000</f>
        <v>206</v>
      </c>
      <c r="AK54" s="256" t="s">
        <v>12</v>
      </c>
      <c r="AL54" s="256" t="s">
        <v>506</v>
      </c>
      <c r="BH54" s="56">
        <f>IF(B54&lt;&gt;0,D54/B54*1000,0)</f>
        <v>0</v>
      </c>
      <c r="BI54" s="56">
        <f>IF(B54&lt;&gt;0,F54/B54*1000,0)</f>
        <v>0</v>
      </c>
      <c r="BJ54" s="56">
        <f>IF(B54&lt;&gt;0,H54/B54*1000,0)</f>
        <v>0</v>
      </c>
      <c r="BK54" s="56"/>
      <c r="BL54" s="56"/>
      <c r="BM54" s="56"/>
      <c r="BN54" s="56"/>
      <c r="BO54" s="56"/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717">
        <v>0.25700000000000001</v>
      </c>
      <c r="C55" s="711">
        <v>0</v>
      </c>
      <c r="D55" s="311">
        <f t="shared" si="47"/>
        <v>0</v>
      </c>
      <c r="E55" s="711">
        <v>0</v>
      </c>
      <c r="F55" s="311">
        <f t="shared" si="48"/>
        <v>0</v>
      </c>
      <c r="G55" s="711">
        <v>0</v>
      </c>
      <c r="H55" s="311">
        <f t="shared" si="49"/>
        <v>0</v>
      </c>
      <c r="I55" s="724">
        <v>0</v>
      </c>
      <c r="J55" s="311">
        <f t="shared" si="50"/>
        <v>0</v>
      </c>
      <c r="K55" s="724"/>
      <c r="L55" s="311">
        <f t="shared" si="50"/>
        <v>0</v>
      </c>
      <c r="M55" s="724">
        <v>0</v>
      </c>
      <c r="N55" s="311">
        <f t="shared" si="51"/>
        <v>0</v>
      </c>
      <c r="O55" s="724">
        <v>0</v>
      </c>
      <c r="P55" s="311">
        <f t="shared" si="52"/>
        <v>0</v>
      </c>
      <c r="Q55" s="711">
        <v>0</v>
      </c>
      <c r="R55" s="311">
        <f t="shared" si="53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56"/>
        <v>0</v>
      </c>
      <c r="AJ55" s="312">
        <f>B55*1000</f>
        <v>257</v>
      </c>
      <c r="AK55" s="256" t="s">
        <v>12</v>
      </c>
      <c r="AL55" s="256" t="s">
        <v>507</v>
      </c>
      <c r="BH55" s="56">
        <f>IF(B55&lt;&gt;0,D55/B55*1000,0)</f>
        <v>0</v>
      </c>
      <c r="BI55" s="56">
        <f>IF(B55&lt;&gt;0,F55/B55*1000,0)</f>
        <v>0</v>
      </c>
      <c r="BJ55" s="56">
        <f>IF(B55&lt;&gt;0,H55/B55*1000,0)</f>
        <v>0</v>
      </c>
      <c r="BK55" s="56"/>
      <c r="BL55" s="56"/>
      <c r="BM55" s="56"/>
      <c r="BN55" s="56"/>
      <c r="BO55" s="56"/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716">
        <v>1.33</v>
      </c>
      <c r="C56" s="711">
        <v>9.4054227604619955E-3</v>
      </c>
      <c r="D56" s="311">
        <f t="shared" si="47"/>
        <v>1.2509212271414456E-2</v>
      </c>
      <c r="E56" s="711">
        <v>0</v>
      </c>
      <c r="F56" s="311">
        <f t="shared" si="48"/>
        <v>0</v>
      </c>
      <c r="G56" s="711">
        <v>0</v>
      </c>
      <c r="H56" s="311">
        <f t="shared" si="49"/>
        <v>0</v>
      </c>
      <c r="I56" s="724">
        <v>1.4362715349740934E-2</v>
      </c>
      <c r="J56" s="311">
        <f t="shared" si="50"/>
        <v>1.9102411415155444E-2</v>
      </c>
      <c r="K56" s="724">
        <v>1.0276841666666666E-2</v>
      </c>
      <c r="L56" s="311">
        <f t="shared" si="50"/>
        <v>1.3668199416666667E-2</v>
      </c>
      <c r="M56" s="724">
        <v>0</v>
      </c>
      <c r="N56" s="311">
        <f t="shared" si="51"/>
        <v>0</v>
      </c>
      <c r="O56" s="724">
        <v>2.7255443075117369E-3</v>
      </c>
      <c r="P56" s="311">
        <f t="shared" si="52"/>
        <v>3.6249739289906102E-3</v>
      </c>
      <c r="Q56" s="711">
        <v>2.8544753553069245E-3</v>
      </c>
      <c r="R56" s="311">
        <f t="shared" si="53"/>
        <v>3.7964522225582098E-3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56"/>
        <v>232.26106957850612</v>
      </c>
      <c r="AJ56" s="312">
        <f t="shared" ref="AJ56:AJ61" si="57">B56*1000</f>
        <v>1330</v>
      </c>
      <c r="AK56" s="256" t="s">
        <v>12</v>
      </c>
      <c r="AL56" s="255" t="s">
        <v>155</v>
      </c>
      <c r="BH56" s="56">
        <f t="shared" ref="BH56:BH61" si="58">IF(B56&lt;&gt;0,D56/B56*1000,0)</f>
        <v>9.4054227604619953</v>
      </c>
      <c r="BI56" s="56">
        <f t="shared" ref="BI56:BI61" si="59">IF(B56&lt;&gt;0,F56/B56*1000,0)</f>
        <v>0</v>
      </c>
      <c r="BJ56" s="56">
        <f t="shared" ref="BJ56:BJ61" si="60">IF(B56&lt;&gt;0,H56/B56*1000,0)</f>
        <v>0</v>
      </c>
      <c r="BK56" s="56"/>
      <c r="BL56" s="56"/>
      <c r="BM56" s="56"/>
      <c r="BN56" s="56"/>
      <c r="BO56" s="56"/>
      <c r="BP56" s="26">
        <f t="shared" si="54"/>
        <v>87470.43167229656</v>
      </c>
      <c r="BQ56" s="26">
        <v>101933</v>
      </c>
      <c r="BR56" s="183">
        <f t="shared" si="55"/>
        <v>1.1653423682860822</v>
      </c>
      <c r="BS56" s="341">
        <f>143105.19/BQ56</f>
        <v>1.4039142377836422</v>
      </c>
      <c r="BT56" s="341">
        <f>143105.19/BR56</f>
        <v>122800.98440981838</v>
      </c>
      <c r="BU56" s="341"/>
      <c r="BV56" s="341">
        <f>143105.19/BS56</f>
        <v>101933</v>
      </c>
      <c r="BW56" s="341">
        <f>143105.19/BT56</f>
        <v>1.1653423682860822</v>
      </c>
      <c r="BX56" s="341">
        <f>143105.19/BV56</f>
        <v>1.4039142377836422</v>
      </c>
    </row>
    <row r="57" spans="1:76" ht="15">
      <c r="A57" s="176" t="s">
        <v>406</v>
      </c>
      <c r="B57" s="716">
        <v>0.45999999999999996</v>
      </c>
      <c r="C57" s="711">
        <v>1.117828853150905E-2</v>
      </c>
      <c r="D57" s="311">
        <f t="shared" si="47"/>
        <v>5.1420127244941631E-3</v>
      </c>
      <c r="E57" s="711">
        <v>7.7979270920464829E-3</v>
      </c>
      <c r="F57" s="311">
        <f t="shared" si="48"/>
        <v>3.5870464623413817E-3</v>
      </c>
      <c r="G57" s="711">
        <v>7.9254916624048169E-2</v>
      </c>
      <c r="H57" s="311">
        <f t="shared" si="49"/>
        <v>3.6457261647062152E-2</v>
      </c>
      <c r="I57" s="724">
        <v>1.4250521373056994E-2</v>
      </c>
      <c r="J57" s="311">
        <f t="shared" si="50"/>
        <v>6.5552398316062162E-3</v>
      </c>
      <c r="K57" s="724">
        <v>8.8472583333333334E-3</v>
      </c>
      <c r="L57" s="311">
        <f t="shared" si="50"/>
        <v>4.0697388333333327E-3</v>
      </c>
      <c r="M57" s="724">
        <v>1.7324837427745664E-2</v>
      </c>
      <c r="N57" s="311">
        <f t="shared" si="51"/>
        <v>7.9694252167630056E-3</v>
      </c>
      <c r="O57" s="724">
        <v>1.6243267312206572E-2</v>
      </c>
      <c r="P57" s="311">
        <f t="shared" si="52"/>
        <v>7.4719029636150227E-3</v>
      </c>
      <c r="Q57" s="711">
        <v>1.6801579981856666E-2</v>
      </c>
      <c r="R57" s="311">
        <f t="shared" si="53"/>
        <v>7.7287267916540661E-3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56"/>
        <v>583.81768703718024</v>
      </c>
      <c r="AJ57" s="312">
        <f t="shared" si="57"/>
        <v>459.99999999999994</v>
      </c>
      <c r="AK57" s="256" t="s">
        <v>12</v>
      </c>
      <c r="AL57" s="255" t="s">
        <v>156</v>
      </c>
      <c r="BH57" s="56">
        <f t="shared" si="58"/>
        <v>11.178288531509052</v>
      </c>
      <c r="BI57" s="56">
        <f t="shared" si="59"/>
        <v>7.7979270920464829</v>
      </c>
      <c r="BJ57" s="56">
        <f t="shared" si="60"/>
        <v>79.25491662404815</v>
      </c>
      <c r="BK57" s="56"/>
      <c r="BL57" s="56"/>
      <c r="BM57" s="56"/>
      <c r="BN57" s="56"/>
      <c r="BO57" s="56"/>
      <c r="BP57" s="26">
        <f t="shared" si="54"/>
        <v>1083657.4997926312</v>
      </c>
      <c r="BQ57" s="26">
        <v>84108</v>
      </c>
      <c r="BR57" s="183">
        <f t="shared" si="55"/>
        <v>7.7614929086076465E-2</v>
      </c>
      <c r="BS57" s="341">
        <f>38613.79/BQ57</f>
        <v>0.45909770770913588</v>
      </c>
      <c r="BT57" s="341">
        <f>38613.79/BR57</f>
        <v>497504.67409661046</v>
      </c>
      <c r="BU57" s="341"/>
      <c r="BV57" s="341">
        <f>38613.79/BS57</f>
        <v>84108</v>
      </c>
      <c r="BW57" s="341">
        <f>38613.79/BT57</f>
        <v>7.7614929086076465E-2</v>
      </c>
      <c r="BX57" s="341">
        <f>38613.79/BV57</f>
        <v>0.45909770770913588</v>
      </c>
    </row>
    <row r="58" spans="1:76" ht="15">
      <c r="A58" s="176" t="s">
        <v>407</v>
      </c>
      <c r="B58" s="716">
        <v>7.9299999999999995E-2</v>
      </c>
      <c r="C58" s="711">
        <v>1.1560614034659132E-2</v>
      </c>
      <c r="D58" s="311">
        <f t="shared" si="47"/>
        <v>9.1675669294846913E-4</v>
      </c>
      <c r="E58" s="711">
        <v>8.8598915250556656E-3</v>
      </c>
      <c r="F58" s="311">
        <f t="shared" si="48"/>
        <v>7.0258939793691421E-4</v>
      </c>
      <c r="G58" s="711">
        <v>0</v>
      </c>
      <c r="H58" s="311">
        <f t="shared" si="49"/>
        <v>0</v>
      </c>
      <c r="I58" s="724">
        <v>2.6576473445595855E-2</v>
      </c>
      <c r="J58" s="311">
        <f t="shared" si="50"/>
        <v>2.107514344235751E-3</v>
      </c>
      <c r="K58" s="724">
        <v>9.8592666666666665E-3</v>
      </c>
      <c r="L58" s="311">
        <f t="shared" si="50"/>
        <v>7.8183984666666657E-4</v>
      </c>
      <c r="M58" s="724">
        <v>1.0400838150289018E-2</v>
      </c>
      <c r="N58" s="311">
        <f t="shared" si="51"/>
        <v>8.2478646531791906E-4</v>
      </c>
      <c r="O58" s="724">
        <v>1.3375789319248826E-2</v>
      </c>
      <c r="P58" s="311">
        <f t="shared" si="52"/>
        <v>1.0607000930164319E-3</v>
      </c>
      <c r="Q58" s="711">
        <v>2.3530495917750228E-2</v>
      </c>
      <c r="R58" s="311">
        <f t="shared" si="53"/>
        <v>1.865968326277593E-3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56"/>
        <v>45.766081091946155</v>
      </c>
      <c r="AJ58" s="312">
        <f t="shared" si="57"/>
        <v>79.3</v>
      </c>
      <c r="AK58" s="256" t="s">
        <v>12</v>
      </c>
      <c r="AL58" s="255" t="s">
        <v>157</v>
      </c>
      <c r="BH58" s="56">
        <f t="shared" si="58"/>
        <v>11.560614034659132</v>
      </c>
      <c r="BI58" s="56">
        <f t="shared" si="59"/>
        <v>8.8598915250556658</v>
      </c>
      <c r="BJ58" s="56">
        <f t="shared" si="60"/>
        <v>0</v>
      </c>
      <c r="BK58" s="56"/>
      <c r="BL58" s="56"/>
      <c r="BM58" s="56"/>
      <c r="BN58" s="56"/>
      <c r="BO58" s="56"/>
      <c r="BP58" s="26">
        <f t="shared" si="54"/>
        <v>320151.10712366592</v>
      </c>
      <c r="BQ58" s="26">
        <v>47388</v>
      </c>
      <c r="BR58" s="183">
        <f t="shared" si="55"/>
        <v>0.14801760464222061</v>
      </c>
      <c r="BS58" s="341">
        <f>2705.86/BQ58</f>
        <v>5.710010973242171E-2</v>
      </c>
      <c r="BT58" s="341">
        <f>2705.86/BR58</f>
        <v>18280.663347717622</v>
      </c>
      <c r="BU58" s="341"/>
      <c r="BV58" s="341">
        <f>2705.86/BS58</f>
        <v>47388</v>
      </c>
      <c r="BW58" s="341">
        <f>2705.86/BT58</f>
        <v>0.14801760464222061</v>
      </c>
      <c r="BX58" s="341">
        <f>2705.86/BV58</f>
        <v>5.710010973242171E-2</v>
      </c>
    </row>
    <row r="59" spans="1:76" ht="15">
      <c r="A59" s="176" t="s">
        <v>408</v>
      </c>
      <c r="B59" s="716">
        <v>8.7499999999999994E-2</v>
      </c>
      <c r="C59" s="711">
        <v>0</v>
      </c>
      <c r="D59" s="311">
        <f t="shared" si="47"/>
        <v>0</v>
      </c>
      <c r="E59" s="711">
        <v>0.18495150636196275</v>
      </c>
      <c r="F59" s="311">
        <f t="shared" si="48"/>
        <v>1.618325680667174E-2</v>
      </c>
      <c r="G59" s="711">
        <v>0.20059974255542309</v>
      </c>
      <c r="H59" s="311">
        <f t="shared" si="49"/>
        <v>1.7552477473599521E-2</v>
      </c>
      <c r="I59" s="724">
        <v>0</v>
      </c>
      <c r="J59" s="311">
        <f t="shared" si="50"/>
        <v>0</v>
      </c>
      <c r="K59" s="724"/>
      <c r="L59" s="311">
        <f t="shared" si="50"/>
        <v>0</v>
      </c>
      <c r="M59" s="724">
        <v>0.23347452854046241</v>
      </c>
      <c r="N59" s="311">
        <f t="shared" si="51"/>
        <v>2.0429021247290461E-2</v>
      </c>
      <c r="O59" s="724">
        <v>0</v>
      </c>
      <c r="P59" s="311">
        <f t="shared" si="52"/>
        <v>0</v>
      </c>
      <c r="Q59" s="711">
        <v>0</v>
      </c>
      <c r="R59" s="311">
        <f t="shared" si="53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56"/>
        <v>563.92293809611692</v>
      </c>
      <c r="AJ59" s="312">
        <f t="shared" si="57"/>
        <v>87.5</v>
      </c>
      <c r="AK59" s="256" t="s">
        <v>12</v>
      </c>
      <c r="AL59" s="255" t="s">
        <v>231</v>
      </c>
      <c r="BH59" s="56">
        <f t="shared" si="58"/>
        <v>0</v>
      </c>
      <c r="BI59" s="56">
        <f t="shared" si="59"/>
        <v>184.95150636196274</v>
      </c>
      <c r="BJ59" s="56">
        <f t="shared" si="60"/>
        <v>200.59974255542312</v>
      </c>
      <c r="BK59" s="56"/>
      <c r="BL59" s="56"/>
      <c r="BM59" s="56"/>
      <c r="BN59" s="56"/>
      <c r="BO59" s="56"/>
      <c r="BP59" s="26">
        <f t="shared" si="54"/>
        <v>6444833.5782413371</v>
      </c>
      <c r="BQ59" s="26">
        <v>560786</v>
      </c>
      <c r="BR59" s="183">
        <f t="shared" si="55"/>
        <v>8.7013263134255669E-2</v>
      </c>
      <c r="BS59" s="341">
        <f>49077.4/BQ59</f>
        <v>8.7515380198507103E-2</v>
      </c>
      <c r="BT59" s="341">
        <f>49077.4/BR59</f>
        <v>564022.06091589562</v>
      </c>
      <c r="BU59" s="341"/>
      <c r="BV59" s="341">
        <f>49077.4/BS59</f>
        <v>560786</v>
      </c>
      <c r="BW59" s="341">
        <f>49077.4/BT59</f>
        <v>8.7013263134255656E-2</v>
      </c>
      <c r="BX59" s="341">
        <f>49077.4/BV59</f>
        <v>8.7515380198507103E-2</v>
      </c>
    </row>
    <row r="60" spans="1:76" ht="15">
      <c r="A60" s="176" t="s">
        <v>409</v>
      </c>
      <c r="B60" s="716">
        <v>6.1364400000000003</v>
      </c>
      <c r="C60" s="711">
        <v>0</v>
      </c>
      <c r="D60" s="311">
        <f t="shared" si="47"/>
        <v>0</v>
      </c>
      <c r="E60" s="711">
        <v>1.0622326940852489E-2</v>
      </c>
      <c r="F60" s="311">
        <f t="shared" si="48"/>
        <v>6.5183271932924849E-2</v>
      </c>
      <c r="G60" s="711">
        <v>1.0569071111282722E-2</v>
      </c>
      <c r="H60" s="311">
        <f t="shared" si="49"/>
        <v>6.4856470730119756E-2</v>
      </c>
      <c r="I60" s="724">
        <v>0</v>
      </c>
      <c r="J60" s="311">
        <f t="shared" si="50"/>
        <v>0</v>
      </c>
      <c r="K60" s="724"/>
      <c r="L60" s="311">
        <f t="shared" si="50"/>
        <v>0</v>
      </c>
      <c r="M60" s="724">
        <v>1.368870303468208E-2</v>
      </c>
      <c r="N60" s="311">
        <f t="shared" si="51"/>
        <v>8.3999904850144511E-2</v>
      </c>
      <c r="O60" s="724">
        <v>0</v>
      </c>
      <c r="P60" s="311">
        <f t="shared" si="52"/>
        <v>0</v>
      </c>
      <c r="Q60" s="711">
        <v>0</v>
      </c>
      <c r="R60" s="311">
        <f t="shared" si="53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56"/>
        <v>2212.9632336913937</v>
      </c>
      <c r="AJ60" s="312">
        <f t="shared" si="57"/>
        <v>6136.4400000000005</v>
      </c>
      <c r="AK60" s="256" t="s">
        <v>12</v>
      </c>
      <c r="AL60" s="255" t="s">
        <v>232</v>
      </c>
      <c r="BH60" s="56">
        <f t="shared" si="58"/>
        <v>0</v>
      </c>
      <c r="BI60" s="56">
        <f t="shared" si="59"/>
        <v>10.622326940852489</v>
      </c>
      <c r="BJ60" s="56">
        <f t="shared" si="60"/>
        <v>10.569071111282724</v>
      </c>
      <c r="BK60" s="56"/>
      <c r="BL60" s="56"/>
      <c r="BM60" s="56"/>
      <c r="BN60" s="56"/>
      <c r="BO60" s="56"/>
      <c r="BP60" s="26">
        <f t="shared" si="54"/>
        <v>360626.55769328697</v>
      </c>
      <c r="BQ60" s="26">
        <v>208883</v>
      </c>
      <c r="BR60" s="183">
        <f t="shared" si="55"/>
        <v>0.57922245476345391</v>
      </c>
      <c r="BS60" s="341">
        <f>1269211.15/BQ60</f>
        <v>6.0761821210917111</v>
      </c>
      <c r="BT60" s="341">
        <f>1269211.15/BR60</f>
        <v>2191232.6422467986</v>
      </c>
      <c r="BU60" s="341"/>
      <c r="BV60" s="341">
        <f>1269211.15/BS60</f>
        <v>208883</v>
      </c>
      <c r="BW60" s="341">
        <f>1269211.15/BT60</f>
        <v>0.57922245476345391</v>
      </c>
      <c r="BX60" s="341">
        <f>1269211.15/BV60</f>
        <v>6.0761821210917111</v>
      </c>
    </row>
    <row r="61" spans="1:76" ht="15">
      <c r="A61" s="176" t="s">
        <v>432</v>
      </c>
      <c r="B61" s="716">
        <v>11.52</v>
      </c>
      <c r="C61" s="711">
        <v>0</v>
      </c>
      <c r="D61" s="311">
        <f t="shared" si="47"/>
        <v>0</v>
      </c>
      <c r="E61" s="711">
        <v>0</v>
      </c>
      <c r="F61" s="311">
        <f t="shared" si="48"/>
        <v>0</v>
      </c>
      <c r="G61" s="711">
        <v>0</v>
      </c>
      <c r="H61" s="311">
        <f t="shared" si="49"/>
        <v>0</v>
      </c>
      <c r="I61" s="724">
        <v>5.283354922279793E-3</v>
      </c>
      <c r="J61" s="311">
        <f t="shared" si="50"/>
        <v>6.0864248704663212E-2</v>
      </c>
      <c r="K61" s="724">
        <v>0.16275833333333334</v>
      </c>
      <c r="L61" s="311">
        <f t="shared" si="50"/>
        <v>1.874976</v>
      </c>
      <c r="M61" s="724">
        <v>5.8544075144508672E-3</v>
      </c>
      <c r="N61" s="311">
        <f t="shared" si="51"/>
        <v>6.744277456647399E-2</v>
      </c>
      <c r="O61" s="724">
        <v>0</v>
      </c>
      <c r="P61" s="311">
        <f t="shared" si="52"/>
        <v>0</v>
      </c>
      <c r="Q61" s="711">
        <v>0</v>
      </c>
      <c r="R61" s="311">
        <f t="shared" si="53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56"/>
        <v>284.23604145077718</v>
      </c>
      <c r="AJ61" s="312">
        <f t="shared" si="57"/>
        <v>11520</v>
      </c>
      <c r="AK61" s="256" t="s">
        <v>12</v>
      </c>
      <c r="AL61" s="255" t="s">
        <v>472</v>
      </c>
      <c r="BH61" s="56">
        <f t="shared" si="58"/>
        <v>0</v>
      </c>
      <c r="BI61" s="56">
        <f t="shared" si="59"/>
        <v>0</v>
      </c>
      <c r="BJ61" s="56">
        <f t="shared" si="60"/>
        <v>0</v>
      </c>
      <c r="BK61" s="56"/>
      <c r="BL61" s="56"/>
      <c r="BM61" s="56"/>
      <c r="BN61" s="56"/>
      <c r="BO61" s="56"/>
      <c r="BP61" s="26">
        <f t="shared" si="54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725"/>
      <c r="L62" s="98"/>
      <c r="M62" s="725"/>
      <c r="N62" s="98"/>
      <c r="O62" s="725"/>
      <c r="P62" s="98"/>
      <c r="Q62" s="51"/>
      <c r="R62" s="98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43"/>
      <c r="L63" s="283" t="s">
        <v>43</v>
      </c>
      <c r="M63" s="43"/>
      <c r="N63" s="283" t="s">
        <v>43</v>
      </c>
      <c r="O63" s="43"/>
      <c r="P63" s="283" t="s">
        <v>43</v>
      </c>
      <c r="R63" s="283" t="s">
        <v>43</v>
      </c>
    </row>
    <row r="64" spans="1:76">
      <c r="A64" s="63" t="s">
        <v>284</v>
      </c>
      <c r="B64" s="45"/>
      <c r="C64" s="69"/>
      <c r="D64" s="189">
        <f>D52+D53+D54</f>
        <v>3.3874102106548717E-2</v>
      </c>
      <c r="F64" s="189">
        <f>F52+F53+F54</f>
        <v>3.3352367374733433E-2</v>
      </c>
      <c r="H64" s="189">
        <f>H52+H53+H54</f>
        <v>0.30426460541161587</v>
      </c>
      <c r="I64" s="43"/>
      <c r="J64" s="189">
        <f>J52+J53+J54</f>
        <v>3.8485727229520719E-2</v>
      </c>
      <c r="K64" s="43"/>
      <c r="L64" s="189">
        <f>L52+L53+L54</f>
        <v>3.5757852210533334E-2</v>
      </c>
      <c r="M64" s="43"/>
      <c r="N64" s="189">
        <f>N52+N53+N54</f>
        <v>2.9664422234942197E-2</v>
      </c>
      <c r="O64" s="43"/>
      <c r="P64" s="189">
        <f>P52+P53+P54</f>
        <v>0.10101825952971244</v>
      </c>
      <c r="R64" s="189">
        <f>R52+R53+R54</f>
        <v>0.26832929610683398</v>
      </c>
      <c r="AE64" s="1">
        <f>AE52+AE53+AE54</f>
        <v>5667.5115671540934</v>
      </c>
    </row>
    <row r="65" spans="1:67" ht="15">
      <c r="A65" s="63" t="s">
        <v>44</v>
      </c>
      <c r="B65" s="45"/>
      <c r="C65" s="69"/>
      <c r="D65" s="310">
        <f>SUM(D56:D61)</f>
        <v>1.856798168885709E-2</v>
      </c>
      <c r="F65" s="310">
        <f>SUM(F56:F61)</f>
        <v>8.5656164599874879E-2</v>
      </c>
      <c r="H65" s="310">
        <f>SUM(H56:H61)</f>
        <v>0.11886620985078143</v>
      </c>
      <c r="I65" s="43"/>
      <c r="J65" s="310">
        <f>SUM(J56:J61)</f>
        <v>8.8629414295660625E-2</v>
      </c>
      <c r="K65" s="43"/>
      <c r="L65" s="310">
        <f>SUM(L56:L61)</f>
        <v>1.8934957780966666</v>
      </c>
      <c r="M65" s="43"/>
      <c r="N65" s="310">
        <f>SUM(N56:N61)</f>
        <v>0.18066591234598989</v>
      </c>
      <c r="O65" s="43"/>
      <c r="P65" s="310">
        <f>SUM(P56:P61)</f>
        <v>1.2157576985622066E-2</v>
      </c>
      <c r="R65" s="310">
        <f>SUM(R56:R61)</f>
        <v>1.3391147340489868E-2</v>
      </c>
      <c r="AE65" s="372">
        <f>SUM(AE56:AE61)</f>
        <v>3922.9670509459202</v>
      </c>
    </row>
    <row r="66" spans="1:67" ht="15">
      <c r="A66" s="63" t="s">
        <v>45</v>
      </c>
      <c r="B66" s="45"/>
      <c r="C66" s="51"/>
      <c r="D66" s="340">
        <f>SUM(D64:D65)</f>
        <v>5.2442083795405811E-2</v>
      </c>
      <c r="F66" s="340">
        <f>SUM(F64:F65)</f>
        <v>0.11900853197460831</v>
      </c>
      <c r="H66" s="340">
        <f>SUM(H64:H65)</f>
        <v>0.42313081526239732</v>
      </c>
      <c r="I66" s="43"/>
      <c r="J66" s="340">
        <f>SUM(J64:J65)</f>
        <v>0.12711514152518133</v>
      </c>
      <c r="K66" s="43"/>
      <c r="L66" s="340">
        <f>SUM(L64:L65)</f>
        <v>1.9292536303071999</v>
      </c>
      <c r="M66" s="43"/>
      <c r="N66" s="340">
        <f>SUM(N64:N65)</f>
        <v>0.21033033458093209</v>
      </c>
      <c r="O66" s="43"/>
      <c r="P66" s="340">
        <f>SUM(P64:P65)</f>
        <v>0.1131758365153345</v>
      </c>
      <c r="R66" s="340">
        <f>SUM(R64:R65)</f>
        <v>0.28172044344732383</v>
      </c>
      <c r="AE66" s="731">
        <f>SUM(AE64:AE65)</f>
        <v>9590.4786181000127</v>
      </c>
    </row>
    <row r="67" spans="1:67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99"/>
      <c r="L67" s="72"/>
      <c r="M67" s="99"/>
      <c r="N67" s="72"/>
      <c r="O67" s="99"/>
      <c r="P67" s="72"/>
      <c r="Q67" s="99"/>
      <c r="R67" s="75"/>
      <c r="AK67" s="69"/>
    </row>
    <row r="68" spans="1:67">
      <c r="A68" s="39"/>
      <c r="E68" s="51"/>
      <c r="F68" s="76"/>
      <c r="AK68" s="69"/>
    </row>
    <row r="69" spans="1:67" ht="13.5" thickBot="1">
      <c r="F69" s="39"/>
      <c r="G69" s="39"/>
    </row>
    <row r="70" spans="1:67" ht="14.65" customHeight="1">
      <c r="A70" s="82" t="s">
        <v>269</v>
      </c>
      <c r="B70" s="1020" t="s">
        <v>18</v>
      </c>
      <c r="C70" s="1020"/>
      <c r="D70" s="1020"/>
      <c r="E70" s="93"/>
      <c r="F70" s="1020" t="s">
        <v>46</v>
      </c>
      <c r="G70" s="1020"/>
      <c r="H70" s="1021"/>
      <c r="AO70" s="1014" t="s">
        <v>253</v>
      </c>
      <c r="AP70" s="1015"/>
      <c r="AQ70" s="1015"/>
      <c r="AR70" s="1015"/>
      <c r="AS70" s="1015"/>
      <c r="AT70" s="1015"/>
      <c r="AU70" s="1015"/>
      <c r="AV70" s="1015"/>
      <c r="AW70" s="1015"/>
      <c r="AX70" s="1015"/>
      <c r="AY70" s="1015"/>
      <c r="AZ70" s="1015"/>
      <c r="BA70" s="1015"/>
      <c r="BB70" s="1015"/>
      <c r="BC70" s="1015"/>
      <c r="BD70" s="1015"/>
      <c r="BE70" s="1015"/>
      <c r="BF70" s="1015"/>
      <c r="BG70" s="1015"/>
      <c r="BH70" s="1015"/>
      <c r="BI70" s="1016"/>
    </row>
    <row r="71" spans="1:67" ht="14.65" customHeight="1">
      <c r="A71" s="43"/>
      <c r="B71" s="199" t="s">
        <v>159</v>
      </c>
      <c r="C71" s="199" t="s">
        <v>109</v>
      </c>
      <c r="D71" s="199" t="s">
        <v>107</v>
      </c>
      <c r="E71" s="26"/>
      <c r="F71" s="199" t="s">
        <v>159</v>
      </c>
      <c r="G71" s="199" t="s">
        <v>109</v>
      </c>
      <c r="H71" s="283" t="s">
        <v>107</v>
      </c>
      <c r="AF71" s="240"/>
      <c r="AG71" s="240"/>
      <c r="AH71" s="261">
        <f>$AH$14*$AN71</f>
        <v>1744106.4000000001</v>
      </c>
      <c r="AI71" s="250"/>
      <c r="AJ71" s="250"/>
      <c r="AK71" s="256"/>
      <c r="AL71" s="20" t="s">
        <v>79</v>
      </c>
      <c r="AM71" s="128" t="s">
        <v>80</v>
      </c>
      <c r="AN71" s="206">
        <f>100%-D74</f>
        <v>0.8</v>
      </c>
      <c r="AO71" s="274"/>
      <c r="AP71" s="261"/>
      <c r="AQ71" s="261"/>
      <c r="AR71" s="261"/>
      <c r="AS71" s="261"/>
      <c r="AT71" s="261"/>
      <c r="AU71" s="261"/>
      <c r="AV71" s="261"/>
      <c r="AW71" s="261" t="s">
        <v>159</v>
      </c>
      <c r="AX71" s="278">
        <f>($B$78+$B$80+$B$82+$B$85-$B$87)/$B$28*$B$26</f>
        <v>5446.6222471451883</v>
      </c>
      <c r="AY71" s="278">
        <f>($B$78+$B$80+$B$82+$B$85-$B$87)/$B$28*($E$26+$H$26)</f>
        <v>19912.382408917892</v>
      </c>
      <c r="AZ71" s="278"/>
      <c r="BA71" s="278"/>
      <c r="BB71" s="278"/>
      <c r="BC71" s="278"/>
      <c r="BD71" s="278"/>
      <c r="BE71" s="278"/>
      <c r="BF71" s="278">
        <f>SUM(AX71:AY71)</f>
        <v>25359.00465606308</v>
      </c>
      <c r="BG71" s="25"/>
      <c r="BH71" s="24"/>
      <c r="BI71" s="270"/>
      <c r="BJ71" s="131"/>
      <c r="BK71" s="131"/>
      <c r="BL71" s="131"/>
      <c r="BM71" s="131"/>
      <c r="BN71" s="131"/>
      <c r="BO71" s="131"/>
    </row>
    <row r="72" spans="1:67" ht="14.65" customHeight="1">
      <c r="A72" s="48" t="s">
        <v>191</v>
      </c>
      <c r="B72" s="346">
        <v>16</v>
      </c>
      <c r="C72" s="346">
        <v>12</v>
      </c>
      <c r="D72" s="78">
        <f>SUM(B72:C72)</f>
        <v>28</v>
      </c>
      <c r="F72" s="346">
        <v>8</v>
      </c>
      <c r="G72" s="346">
        <v>4</v>
      </c>
      <c r="H72" s="79">
        <f>SUM(F72:G72)</f>
        <v>12</v>
      </c>
      <c r="AF72" s="269"/>
      <c r="AG72" s="269"/>
      <c r="AH72" s="262">
        <f>$AH$14*$AN72</f>
        <v>436026.60000000003</v>
      </c>
      <c r="AI72" s="250"/>
      <c r="AJ72" s="250"/>
      <c r="AK72" s="256"/>
      <c r="AL72" s="20" t="s">
        <v>81</v>
      </c>
      <c r="AM72" s="128" t="s">
        <v>82</v>
      </c>
      <c r="AN72" s="138">
        <f>D74</f>
        <v>0.2</v>
      </c>
      <c r="AO72" s="274"/>
      <c r="AP72" s="261"/>
      <c r="AQ72" s="261"/>
      <c r="AR72" s="261"/>
      <c r="AS72" s="261"/>
      <c r="AT72" s="261"/>
      <c r="AU72" s="261"/>
      <c r="AV72" s="261"/>
      <c r="AW72" s="261" t="s">
        <v>109</v>
      </c>
      <c r="AX72" s="279">
        <v>0</v>
      </c>
      <c r="AY72" s="279">
        <f>($B$79+$B$81+$B$83)/$E$26*($E$26+$H$26)</f>
        <v>44553.599999999999</v>
      </c>
      <c r="AZ72" s="279"/>
      <c r="BA72" s="279"/>
      <c r="BB72" s="279"/>
      <c r="BC72" s="279"/>
      <c r="BD72" s="279"/>
      <c r="BE72" s="279"/>
      <c r="BF72" s="279">
        <f>SUM(AX72:AY72)</f>
        <v>44553.599999999999</v>
      </c>
      <c r="BG72" s="25"/>
      <c r="BH72" s="24"/>
      <c r="BI72" s="270"/>
      <c r="BJ72" s="131"/>
      <c r="BK72" s="131"/>
      <c r="BL72" s="131"/>
      <c r="BM72" s="131"/>
      <c r="BN72" s="131"/>
      <c r="BO72" s="131"/>
    </row>
    <row r="73" spans="1:67" ht="14.65" customHeight="1" thickBot="1">
      <c r="A73" s="48" t="s">
        <v>192</v>
      </c>
      <c r="B73" s="347">
        <f>ROUND(30.22*(1+$F$160),2)</f>
        <v>30.82</v>
      </c>
      <c r="C73" s="347">
        <f>ROUND(30.22*(1+$F$160),2)</f>
        <v>30.82</v>
      </c>
      <c r="D73" s="80">
        <f>($B$72*B73+$C$72*C73)/$D$72</f>
        <v>30.82</v>
      </c>
      <c r="E73" s="26"/>
      <c r="F73" s="347">
        <f>ROUND(32.27*(1+$F$160),2)</f>
        <v>32.92</v>
      </c>
      <c r="G73" s="347">
        <f>ROUND(32.27*(1+$F$160),2)</f>
        <v>32.92</v>
      </c>
      <c r="H73" s="81">
        <f>($F$72*F73+$G$72*G73)/$H$72</f>
        <v>32.92</v>
      </c>
      <c r="AF73" s="235"/>
      <c r="AG73" s="235"/>
      <c r="AH73" s="24">
        <f>SUM(AH71:AH72)</f>
        <v>2180133</v>
      </c>
      <c r="AI73" s="268"/>
      <c r="AJ73" s="268"/>
      <c r="AK73" s="256" t="s">
        <v>19</v>
      </c>
      <c r="AL73" s="130" t="s">
        <v>20</v>
      </c>
      <c r="AM73" s="257" t="s">
        <v>107</v>
      </c>
      <c r="AN73" s="138"/>
      <c r="AO73" s="271">
        <f>$BG$73*BH73*$B$26</f>
        <v>183749.92376988925</v>
      </c>
      <c r="AP73" s="272">
        <f>$BG$73*BI73*($E$26+$H$26)</f>
        <v>2174856.051307485</v>
      </c>
      <c r="AQ73" s="272"/>
      <c r="AR73" s="272"/>
      <c r="AS73" s="272"/>
      <c r="AT73" s="272"/>
      <c r="AU73" s="272"/>
      <c r="AV73" s="272"/>
      <c r="AW73" s="273">
        <f>SUM(AO73:AP73)</f>
        <v>2358605.9750773744</v>
      </c>
      <c r="AX73" s="280">
        <f>SUM(AX71:AX72)</f>
        <v>5446.6222471451883</v>
      </c>
      <c r="AY73" s="280">
        <f>SUM(AY71:AY72)</f>
        <v>64465.982408917887</v>
      </c>
      <c r="AZ73" s="280"/>
      <c r="BA73" s="280"/>
      <c r="BB73" s="280"/>
      <c r="BC73" s="280"/>
      <c r="BD73" s="280"/>
      <c r="BE73" s="280"/>
      <c r="BF73" s="280">
        <f>SUM(BF71:BF72)</f>
        <v>69912.604656063078</v>
      </c>
      <c r="BG73" s="277">
        <f>$BG$14</f>
        <v>33.736491247616925</v>
      </c>
      <c r="BH73" s="275">
        <f>AX73/$B$26</f>
        <v>0.58565830614464387</v>
      </c>
      <c r="BI73" s="276">
        <f>AY73/($E$26+$H$26)</f>
        <v>1.8960583061446437</v>
      </c>
      <c r="BJ73" s="131"/>
      <c r="BK73" s="131"/>
      <c r="BL73" s="131"/>
      <c r="BM73" s="131"/>
      <c r="BN73" s="131"/>
      <c r="BO73" s="131"/>
    </row>
    <row r="74" spans="1:67" ht="14.65" customHeight="1">
      <c r="A74" s="48" t="s">
        <v>193</v>
      </c>
      <c r="B74" s="343">
        <v>0.2</v>
      </c>
      <c r="C74" s="343">
        <v>0.2</v>
      </c>
      <c r="D74" s="203">
        <f>($B$72*B74+$C$72*C74)/$D$72</f>
        <v>0.2</v>
      </c>
      <c r="E74" s="26"/>
      <c r="F74" s="343">
        <v>0.2</v>
      </c>
      <c r="G74" s="343">
        <v>0.2</v>
      </c>
      <c r="H74" s="211">
        <f>($F$72*F74+$G$72*G74)/$H$72</f>
        <v>0.20000000000000004</v>
      </c>
      <c r="AO74" s="1014" t="s">
        <v>254</v>
      </c>
      <c r="AP74" s="1015"/>
      <c r="AQ74" s="1015"/>
      <c r="AR74" s="1015"/>
      <c r="AS74" s="1015"/>
      <c r="AT74" s="1015"/>
      <c r="AU74" s="1015"/>
      <c r="AV74" s="1015"/>
      <c r="AW74" s="1015"/>
      <c r="AX74" s="1015"/>
      <c r="AY74" s="1015"/>
      <c r="AZ74" s="1015"/>
      <c r="BA74" s="1015"/>
      <c r="BB74" s="1015"/>
      <c r="BC74" s="1015"/>
      <c r="BD74" s="1015"/>
      <c r="BE74" s="1015"/>
      <c r="BF74" s="1015"/>
      <c r="BG74" s="1015"/>
      <c r="BH74" s="1015"/>
      <c r="BI74" s="1016"/>
    </row>
    <row r="75" spans="1:67" ht="14.65" customHeight="1">
      <c r="A75" s="43"/>
      <c r="H75" s="45"/>
      <c r="AF75" s="240"/>
      <c r="AG75" s="240"/>
      <c r="AH75" s="261">
        <f>$AH$15*$AN75</f>
        <v>897278.39999999991</v>
      </c>
      <c r="AI75" s="250"/>
      <c r="AJ75" s="250"/>
      <c r="AK75" s="256"/>
      <c r="AL75" s="20" t="s">
        <v>83</v>
      </c>
      <c r="AM75" s="128" t="s">
        <v>84</v>
      </c>
      <c r="AN75" s="138">
        <f>100%-H74</f>
        <v>0.79999999999999993</v>
      </c>
      <c r="AO75" s="274"/>
      <c r="AP75" s="261"/>
      <c r="AQ75" s="261"/>
      <c r="AR75" s="261"/>
      <c r="AS75" s="261"/>
      <c r="AT75" s="261"/>
      <c r="AU75" s="261"/>
      <c r="AV75" s="261"/>
      <c r="AW75" s="261" t="s">
        <v>159</v>
      </c>
      <c r="AX75" s="278">
        <f>($F$78+$F$80+$F$82+$F$85-$F$87)/$B$28*$B$26</f>
        <v>3534.3034257748777</v>
      </c>
      <c r="AY75" s="278">
        <f>($F$78+$F$80+$F$82+$F$85-$F$87)/$B$28*($E$26+$H$26)</f>
        <v>12921.109298531812</v>
      </c>
      <c r="AZ75" s="278"/>
      <c r="BA75" s="278"/>
      <c r="BB75" s="278"/>
      <c r="BC75" s="278"/>
      <c r="BD75" s="278"/>
      <c r="BE75" s="278"/>
      <c r="BF75" s="278">
        <f>SUM(AX75:AY75)</f>
        <v>16455.412724306691</v>
      </c>
      <c r="BG75" s="25"/>
      <c r="BH75" s="24"/>
      <c r="BI75" s="270"/>
      <c r="BJ75" s="131"/>
      <c r="BK75" s="131"/>
      <c r="BL75" s="131"/>
      <c r="BM75" s="131"/>
      <c r="BN75" s="131"/>
      <c r="BO75" s="131"/>
    </row>
    <row r="76" spans="1:67" ht="14.65" customHeight="1">
      <c r="A76" s="48"/>
      <c r="B76" s="1017" t="s">
        <v>18</v>
      </c>
      <c r="C76" s="1017"/>
      <c r="D76" s="1017"/>
      <c r="F76" s="1017" t="s">
        <v>47</v>
      </c>
      <c r="G76" s="1017"/>
      <c r="H76" s="1018"/>
      <c r="AF76" s="269"/>
      <c r="AG76" s="269"/>
      <c r="AH76" s="262">
        <f>$AH$15*$AN76</f>
        <v>224319.60000000003</v>
      </c>
      <c r="AI76" s="250"/>
      <c r="AJ76" s="250"/>
      <c r="AK76" s="256"/>
      <c r="AL76" s="20" t="s">
        <v>85</v>
      </c>
      <c r="AM76" s="128" t="s">
        <v>86</v>
      </c>
      <c r="AN76" s="138">
        <f>H74</f>
        <v>0.20000000000000004</v>
      </c>
      <c r="AO76" s="274"/>
      <c r="AP76" s="261"/>
      <c r="AQ76" s="261"/>
      <c r="AR76" s="261"/>
      <c r="AS76" s="261"/>
      <c r="AT76" s="261"/>
      <c r="AU76" s="261"/>
      <c r="AV76" s="261"/>
      <c r="AW76" s="261" t="s">
        <v>109</v>
      </c>
      <c r="AX76" s="279">
        <v>0</v>
      </c>
      <c r="AY76" s="279">
        <f>($F$79+$F$81+$F$83)/$E$26*($E$26+$H$26)</f>
        <v>14851.2</v>
      </c>
      <c r="AZ76" s="279"/>
      <c r="BA76" s="279"/>
      <c r="BB76" s="279"/>
      <c r="BC76" s="279"/>
      <c r="BD76" s="279"/>
      <c r="BE76" s="279"/>
      <c r="BF76" s="279">
        <f>SUM(AX76:AY76)</f>
        <v>14851.2</v>
      </c>
      <c r="BG76" s="25"/>
      <c r="BH76" s="24"/>
      <c r="BI76" s="270"/>
      <c r="BJ76" s="131"/>
      <c r="BK76" s="131"/>
      <c r="BL76" s="131"/>
      <c r="BM76" s="131"/>
      <c r="BN76" s="131"/>
      <c r="BO76" s="131"/>
    </row>
    <row r="77" spans="1:67" ht="14.65" customHeight="1" thickBot="1">
      <c r="A77" s="48"/>
      <c r="B77" s="83" t="s">
        <v>48</v>
      </c>
      <c r="C77" s="83" t="s">
        <v>49</v>
      </c>
      <c r="D77" s="84" t="s">
        <v>50</v>
      </c>
      <c r="E77" s="52"/>
      <c r="F77" s="83" t="s">
        <v>48</v>
      </c>
      <c r="G77" s="83" t="s">
        <v>49</v>
      </c>
      <c r="H77" s="85" t="s">
        <v>50</v>
      </c>
      <c r="I77" s="52"/>
      <c r="AF77" s="235"/>
      <c r="AG77" s="235"/>
      <c r="AH77" s="24">
        <f>SUM(AH75:AH76)</f>
        <v>1121598</v>
      </c>
      <c r="AI77" s="268"/>
      <c r="AJ77" s="268"/>
      <c r="AK77" s="256" t="s">
        <v>19</v>
      </c>
      <c r="AL77" s="130" t="s">
        <v>22</v>
      </c>
      <c r="AM77" s="257" t="s">
        <v>107</v>
      </c>
      <c r="AN77" s="138"/>
      <c r="AO77" s="271">
        <f>$BG$77*BH77*$B$26</f>
        <v>126045.0411745514</v>
      </c>
      <c r="AP77" s="272">
        <f>$BG$77*BI77*($E$26+$H$26)</f>
        <v>990453.12394997291</v>
      </c>
      <c r="AQ77" s="272"/>
      <c r="AR77" s="272"/>
      <c r="AS77" s="272"/>
      <c r="AT77" s="272"/>
      <c r="AU77" s="272"/>
      <c r="AV77" s="272"/>
      <c r="AW77" s="273">
        <f>SUM(AO77:AP77)</f>
        <v>1116498.1651245244</v>
      </c>
      <c r="AX77" s="280">
        <f>SUM(AX75:AX76)</f>
        <v>3534.3034257748777</v>
      </c>
      <c r="AY77" s="280">
        <f>SUM(AY75:AY76)</f>
        <v>27772.309298531814</v>
      </c>
      <c r="AZ77" s="280"/>
      <c r="BA77" s="280"/>
      <c r="BB77" s="280"/>
      <c r="BC77" s="280"/>
      <c r="BD77" s="280"/>
      <c r="BE77" s="280"/>
      <c r="BF77" s="280">
        <f>SUM(BF75:BF76)</f>
        <v>31306.612724306691</v>
      </c>
      <c r="BG77" s="277">
        <f>$BG$15</f>
        <v>35.663333333333334</v>
      </c>
      <c r="BH77" s="275">
        <f>AX77/$B$26</f>
        <v>0.38003262642740621</v>
      </c>
      <c r="BI77" s="276">
        <f>AY77/($E$26+$H$26)</f>
        <v>0.81683262642740628</v>
      </c>
    </row>
    <row r="78" spans="1:67" ht="14.65" customHeight="1">
      <c r="A78" s="48" t="s">
        <v>195</v>
      </c>
      <c r="B78" s="49">
        <f>$D$160*$D$161*B$72</f>
        <v>34944</v>
      </c>
      <c r="C78" s="86">
        <f>B$73</f>
        <v>30.82</v>
      </c>
      <c r="D78" s="87">
        <f>B78*C78</f>
        <v>1076974.0800000001</v>
      </c>
      <c r="F78" s="49">
        <f>$D$160*$D$161*F$72</f>
        <v>17472</v>
      </c>
      <c r="G78" s="86">
        <f>F$73</f>
        <v>32.92</v>
      </c>
      <c r="H78" s="88">
        <f>F78*G78</f>
        <v>575178.23999999999</v>
      </c>
      <c r="I78" s="26"/>
      <c r="AF78"/>
      <c r="AG78"/>
      <c r="AH78"/>
      <c r="AI78" s="131"/>
      <c r="AJ78" s="131"/>
      <c r="AK78" s="146"/>
      <c r="AL78" s="131"/>
      <c r="AM78" s="132"/>
      <c r="AN78"/>
      <c r="AO78" s="260" t="s">
        <v>398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7" ht="14.65" customHeight="1">
      <c r="A79" s="48" t="s">
        <v>196</v>
      </c>
      <c r="B79" s="49">
        <f>$D$160*$D$161*C$72</f>
        <v>26208</v>
      </c>
      <c r="C79" s="205">
        <f>C$73</f>
        <v>30.82</v>
      </c>
      <c r="D79" s="78">
        <f>B79*C79</f>
        <v>807730.56</v>
      </c>
      <c r="F79" s="49">
        <f>$D$160*$D$161*G$72</f>
        <v>8736</v>
      </c>
      <c r="G79" s="205">
        <f>G$73</f>
        <v>32.92</v>
      </c>
      <c r="H79" s="79">
        <f>F79*G79</f>
        <v>287589.12</v>
      </c>
      <c r="I79" s="26"/>
      <c r="AF79" s="240"/>
      <c r="AG79" s="240"/>
      <c r="AH79" s="261">
        <f t="shared" ref="AH79:AH84" si="61">$AH$16*$AN79</f>
        <v>130602.71590173707</v>
      </c>
      <c r="AI79" s="250"/>
      <c r="AJ79" s="250"/>
      <c r="AK79" s="159"/>
      <c r="AL79" s="20" t="s">
        <v>87</v>
      </c>
      <c r="AM79" s="128" t="s">
        <v>88</v>
      </c>
      <c r="AN79" s="138">
        <f t="shared" ref="AN79:AN84" si="62">AO79/$AO$85</f>
        <v>8.8696471435533455E-2</v>
      </c>
      <c r="AO79" s="143">
        <v>113854.1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7" ht="14.65" customHeight="1">
      <c r="A80" s="48" t="s">
        <v>197</v>
      </c>
      <c r="B80" s="49">
        <f>B78*B74</f>
        <v>6988.8</v>
      </c>
      <c r="C80" s="89">
        <f>B73*D162</f>
        <v>46.230000000000004</v>
      </c>
      <c r="D80" s="78">
        <f>B80*C80</f>
        <v>323092.22400000005</v>
      </c>
      <c r="F80" s="49">
        <f>F78*F74</f>
        <v>3494.4</v>
      </c>
      <c r="G80" s="89">
        <f>F73*D162</f>
        <v>49.38</v>
      </c>
      <c r="H80" s="79">
        <f>F80*G80</f>
        <v>172553.47200000001</v>
      </c>
      <c r="I80" s="26"/>
      <c r="AF80" s="240"/>
      <c r="AG80" s="240"/>
      <c r="AH80" s="261">
        <f t="shared" si="61"/>
        <v>122463.27648731244</v>
      </c>
      <c r="AI80" s="250"/>
      <c r="AJ80" s="250"/>
      <c r="AK80" s="159"/>
      <c r="AL80" s="20" t="s">
        <v>89</v>
      </c>
      <c r="AM80" s="128" t="s">
        <v>90</v>
      </c>
      <c r="AN80" s="138">
        <f t="shared" si="62"/>
        <v>8.3168718428728125E-2</v>
      </c>
      <c r="AO80" s="143">
        <v>106758.47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1" ht="14.65" customHeight="1">
      <c r="A81" s="48" t="s">
        <v>198</v>
      </c>
      <c r="B81" s="49">
        <f>B79*C74</f>
        <v>5241.6000000000004</v>
      </c>
      <c r="C81" s="89">
        <f>C73*D162</f>
        <v>46.230000000000004</v>
      </c>
      <c r="D81" s="78">
        <f>B81*C81</f>
        <v>242319.16800000003</v>
      </c>
      <c r="F81" s="49">
        <f>F79*G74</f>
        <v>1747.2</v>
      </c>
      <c r="G81" s="89">
        <f>G73*D162</f>
        <v>49.38</v>
      </c>
      <c r="H81" s="79">
        <f>F81*G81</f>
        <v>86276.736000000004</v>
      </c>
      <c r="I81" s="26"/>
      <c r="AF81" s="240"/>
      <c r="AG81" s="240"/>
      <c r="AH81" s="261">
        <f t="shared" si="61"/>
        <v>121538.85821283895</v>
      </c>
      <c r="AI81" s="250"/>
      <c r="AJ81" s="250"/>
      <c r="AK81" s="159"/>
      <c r="AL81" s="20" t="s">
        <v>91</v>
      </c>
      <c r="AM81" s="128" t="s">
        <v>92</v>
      </c>
      <c r="AN81" s="138">
        <f t="shared" si="62"/>
        <v>8.2540916483644436E-2</v>
      </c>
      <c r="AO81" s="143">
        <v>105952.6</v>
      </c>
      <c r="AP81" s="133"/>
      <c r="AQ81" s="133"/>
      <c r="AR81" s="133"/>
      <c r="AS81" s="133"/>
      <c r="AT81" s="133"/>
      <c r="AU81" s="133"/>
      <c r="AV81" s="133"/>
      <c r="AW81" s="133"/>
      <c r="AX81" s="143"/>
      <c r="BG81" s="240"/>
      <c r="BH81" s="240"/>
    </row>
    <row r="82" spans="1:61" ht="14.65" customHeight="1">
      <c r="A82" s="48" t="s">
        <v>199</v>
      </c>
      <c r="B82" s="49">
        <v>0</v>
      </c>
      <c r="C82" s="90"/>
      <c r="D82" s="685">
        <f>(96*(35.78*1.02)*12*1.5)*0</f>
        <v>0</v>
      </c>
      <c r="F82" s="49">
        <v>0</v>
      </c>
      <c r="G82" s="89"/>
      <c r="H82" s="79">
        <v>0</v>
      </c>
      <c r="I82" s="26"/>
      <c r="AF82" s="240"/>
      <c r="AG82" s="240"/>
      <c r="AH82" s="261">
        <f t="shared" si="61"/>
        <v>734679.8033506521</v>
      </c>
      <c r="AI82" s="250"/>
      <c r="AJ82" s="250"/>
      <c r="AK82" s="159"/>
      <c r="AL82" s="20" t="s">
        <v>93</v>
      </c>
      <c r="AM82" s="128" t="s">
        <v>94</v>
      </c>
      <c r="AN82" s="138">
        <f t="shared" si="62"/>
        <v>0.49894449546655822</v>
      </c>
      <c r="AO82" s="143">
        <v>640463.77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1" ht="14.65" customHeight="1">
      <c r="A83" s="48" t="s">
        <v>200</v>
      </c>
      <c r="B83" s="170">
        <v>0</v>
      </c>
      <c r="C83" s="177"/>
      <c r="D83" s="178">
        <v>0</v>
      </c>
      <c r="E83" s="163"/>
      <c r="F83" s="170">
        <v>0</v>
      </c>
      <c r="G83" s="177"/>
      <c r="H83" s="194">
        <v>0</v>
      </c>
      <c r="I83" s="26"/>
      <c r="AF83" s="240"/>
      <c r="AG83" s="240"/>
      <c r="AH83" s="261">
        <f t="shared" si="61"/>
        <v>336027.95270252775</v>
      </c>
      <c r="AI83" s="250"/>
      <c r="AJ83" s="250"/>
      <c r="AK83" s="159"/>
      <c r="AL83" s="20" t="s">
        <v>95</v>
      </c>
      <c r="AM83" s="128" t="s">
        <v>96</v>
      </c>
      <c r="AN83" s="138">
        <f t="shared" si="62"/>
        <v>0.22820730413328355</v>
      </c>
      <c r="AO83" s="143">
        <v>292935.40999999997</v>
      </c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1" ht="14.65" customHeight="1">
      <c r="A84" s="176" t="s">
        <v>161</v>
      </c>
      <c r="B84" s="49">
        <f>SUM(B78:B83)</f>
        <v>73382.400000000009</v>
      </c>
      <c r="C84" s="80">
        <f>D84/B84</f>
        <v>33.388333333333328</v>
      </c>
      <c r="D84" s="167">
        <f>SUM(D78:D83)</f>
        <v>2450116.0320000001</v>
      </c>
      <c r="E84" s="163"/>
      <c r="F84" s="49">
        <f>SUM(F78:F83)</f>
        <v>31449.600000000002</v>
      </c>
      <c r="G84" s="80">
        <f>H84/F84</f>
        <v>35.663333333333327</v>
      </c>
      <c r="H84" s="91">
        <f>SUM(H78:H83)</f>
        <v>1121597.568</v>
      </c>
      <c r="I84" s="26"/>
      <c r="AF84" s="269"/>
      <c r="AG84" s="269"/>
      <c r="AH84" s="262">
        <f t="shared" si="61"/>
        <v>27155.393344931676</v>
      </c>
      <c r="AI84" s="250"/>
      <c r="AJ84" s="250"/>
      <c r="AK84" s="159"/>
      <c r="AL84" s="20" t="s">
        <v>97</v>
      </c>
      <c r="AM84" s="128" t="s">
        <v>98</v>
      </c>
      <c r="AN84" s="258">
        <f t="shared" si="62"/>
        <v>1.8442094052252188E-2</v>
      </c>
      <c r="AO84" s="161">
        <v>23672.959999999999</v>
      </c>
      <c r="AP84" s="133"/>
      <c r="AQ84" s="133"/>
      <c r="AR84" s="133"/>
      <c r="AS84" s="133"/>
      <c r="AT84" s="133"/>
      <c r="AU84" s="133"/>
      <c r="AV84" s="133"/>
      <c r="AW84" s="133"/>
      <c r="AX84" s="161"/>
      <c r="BG84" s="240"/>
      <c r="BH84" s="240"/>
    </row>
    <row r="85" spans="1:61" ht="14.65" customHeight="1">
      <c r="A85" s="176" t="s">
        <v>217</v>
      </c>
      <c r="B85" s="170">
        <f>-H94</f>
        <v>-8760</v>
      </c>
      <c r="C85" s="209">
        <f>D85/B85</f>
        <v>30.819977168949773</v>
      </c>
      <c r="D85" s="179">
        <f>ROUND(B85*B73,0)</f>
        <v>-269983</v>
      </c>
      <c r="E85" s="163"/>
      <c r="F85" s="170">
        <v>0</v>
      </c>
      <c r="G85" s="210"/>
      <c r="H85" s="195">
        <v>0</v>
      </c>
      <c r="I85" s="163"/>
      <c r="AF85" s="235"/>
      <c r="AG85" s="235"/>
      <c r="AH85" s="24">
        <f>SUM(AH79:AH84)</f>
        <v>1472468</v>
      </c>
      <c r="AI85" s="268"/>
      <c r="AJ85" s="268"/>
      <c r="AK85" s="256" t="s">
        <v>19</v>
      </c>
      <c r="AL85" s="130" t="s">
        <v>24</v>
      </c>
      <c r="AM85" s="257" t="s">
        <v>107</v>
      </c>
      <c r="AN85" s="138">
        <f>SUM(AN79:AN84)</f>
        <v>0.99999999999999989</v>
      </c>
      <c r="AO85" s="259">
        <f>SUM(AO79:AO84)</f>
        <v>1283637.31</v>
      </c>
      <c r="AP85"/>
      <c r="AQ85"/>
      <c r="AR85"/>
      <c r="AS85"/>
      <c r="AT85"/>
      <c r="AU85"/>
      <c r="AV85"/>
      <c r="AW85"/>
      <c r="AX85" s="160"/>
      <c r="BG85" s="241"/>
      <c r="BH85" s="241"/>
    </row>
    <row r="86" spans="1:61" ht="14.65" customHeight="1">
      <c r="A86" s="176" t="s">
        <v>162</v>
      </c>
      <c r="B86" s="165">
        <f>SUM(B84:B85)</f>
        <v>64622.400000000009</v>
      </c>
      <c r="C86" s="166">
        <f>D86/B86</f>
        <v>33.736491247616925</v>
      </c>
      <c r="D86" s="169">
        <f>SUM(D84:D85)</f>
        <v>2180133.0320000001</v>
      </c>
      <c r="E86" s="163"/>
      <c r="F86" s="165">
        <f>SUM(F84:F85)</f>
        <v>31449.600000000002</v>
      </c>
      <c r="G86" s="196">
        <f>H86/F86</f>
        <v>35.663333333333327</v>
      </c>
      <c r="H86" s="164">
        <f>SUM(H84:H85)</f>
        <v>1121597.568</v>
      </c>
    </row>
    <row r="87" spans="1:61" ht="14.65" customHeight="1">
      <c r="A87" s="141" t="s">
        <v>163</v>
      </c>
      <c r="B87" s="165">
        <f>H95</f>
        <v>862.03125</v>
      </c>
      <c r="C87" s="166"/>
      <c r="D87" s="169">
        <f>B87*C86</f>
        <v>29081.909720797277</v>
      </c>
      <c r="E87" s="163"/>
      <c r="F87" s="165">
        <v>0</v>
      </c>
      <c r="G87" s="40"/>
      <c r="H87" s="164">
        <f>F87*G86</f>
        <v>0</v>
      </c>
    </row>
    <row r="88" spans="1:61" ht="14.65" customHeight="1">
      <c r="A88" s="141" t="s">
        <v>164</v>
      </c>
      <c r="B88" s="165">
        <f>B86-B87</f>
        <v>63760.368750000009</v>
      </c>
      <c r="C88" s="166"/>
      <c r="D88" s="169">
        <f>B88*C86</f>
        <v>2151051.122279203</v>
      </c>
      <c r="E88" s="163"/>
      <c r="F88" s="165">
        <f>F86-F87</f>
        <v>31449.600000000002</v>
      </c>
      <c r="G88" s="196"/>
      <c r="H88" s="197">
        <f>F88*G86</f>
        <v>1121597.568</v>
      </c>
    </row>
    <row r="89" spans="1:61" ht="14.65" customHeight="1" thickBot="1">
      <c r="A89" s="48"/>
      <c r="B89" s="59"/>
      <c r="H89" s="45"/>
    </row>
    <row r="90" spans="1:61" ht="14.65" customHeight="1">
      <c r="A90" s="48" t="str">
        <f>CONCATENATE("Indirect Payroll Cost (IPC) at ",$D$163*100,"% (NIRO)")</f>
        <v>Indirect Payroll Cost (IPC) at 40% (NIRO)</v>
      </c>
      <c r="B90" s="49">
        <f>(B78+B80+B82)+(F78+F80+F82)</f>
        <v>62899.200000000004</v>
      </c>
      <c r="C90" s="80">
        <f>D90/B90</f>
        <v>14.865168498168497</v>
      </c>
      <c r="D90" s="204">
        <f>((D78+D80+D82)*$D$163)+((H78+H80+H82)*$D$163)+($C$146*$D$163/2)</f>
        <v>935007.20640000002</v>
      </c>
      <c r="E90" s="1019" t="s">
        <v>497</v>
      </c>
      <c r="F90" s="1019"/>
      <c r="G90" s="1019"/>
      <c r="H90" s="357">
        <f>B73*(1+D163)*H93</f>
        <v>415171.40437499998</v>
      </c>
      <c r="AO90" s="1014" t="s">
        <v>255</v>
      </c>
      <c r="AP90" s="1015"/>
      <c r="AQ90" s="1015"/>
      <c r="AR90" s="1015"/>
      <c r="AS90" s="1015"/>
      <c r="AT90" s="1015"/>
      <c r="AU90" s="1015"/>
      <c r="AV90" s="1015"/>
      <c r="AW90" s="1015"/>
      <c r="AX90" s="1015"/>
      <c r="AY90" s="1015"/>
      <c r="AZ90" s="1015"/>
      <c r="BA90" s="1015"/>
      <c r="BB90" s="1015"/>
      <c r="BC90" s="1015"/>
      <c r="BD90" s="1015"/>
      <c r="BE90" s="1015"/>
      <c r="BF90" s="1015"/>
      <c r="BG90" s="1015"/>
      <c r="BH90" s="1015"/>
      <c r="BI90" s="1016"/>
    </row>
    <row r="91" spans="1:61" ht="14.65" customHeight="1">
      <c r="A91" s="48" t="str">
        <f>CONCATENATE("Indirect Payroll Cost (IPC) at ",$D$163*100,"% (KS)")</f>
        <v>Indirect Payroll Cost (IPC) at 40% (KS)</v>
      </c>
      <c r="B91" s="170">
        <f>(B79+B81+B83)+F79+F81+F83</f>
        <v>41932.799999999996</v>
      </c>
      <c r="C91" s="209">
        <f>D91/B91</f>
        <v>15.392586080586085</v>
      </c>
      <c r="D91" s="179">
        <f>((D79+D81+D83)*$D$163)+((H79+H81+H83)*$D$163)+($C$146*$D$163/2)</f>
        <v>645454.23360000015</v>
      </c>
      <c r="E91" s="1019" t="s">
        <v>301</v>
      </c>
      <c r="F91" s="1022"/>
      <c r="G91" s="356">
        <v>0.2</v>
      </c>
      <c r="H91" s="292">
        <f>B28*G91*1000</f>
        <v>11034000</v>
      </c>
      <c r="AO91" s="274"/>
      <c r="AP91" s="261"/>
      <c r="AQ91" s="261"/>
      <c r="AR91" s="261"/>
      <c r="AS91" s="261"/>
      <c r="AT91" s="261"/>
      <c r="AU91" s="261"/>
      <c r="AV91" s="261"/>
      <c r="AW91" s="261" t="s">
        <v>159</v>
      </c>
      <c r="AX91" s="278">
        <f>($B$78+$B$80+$B$82+$B$85-$B$87)/$B$28*$B$26</f>
        <v>5446.6222471451883</v>
      </c>
      <c r="AY91" s="278">
        <f>($B$78+$B$80+$B$82+$B$85-$B$87)/$B$28*($E$26+$H$26)</f>
        <v>19912.382408917892</v>
      </c>
      <c r="AZ91" s="278"/>
      <c r="BA91" s="278"/>
      <c r="BB91" s="278"/>
      <c r="BC91" s="278"/>
      <c r="BD91" s="278"/>
      <c r="BE91" s="278"/>
      <c r="BF91" s="278">
        <f>SUM(AX91:AY91)</f>
        <v>25359.00465606308</v>
      </c>
      <c r="BG91" s="25"/>
      <c r="BH91" s="24"/>
      <c r="BI91" s="270"/>
    </row>
    <row r="92" spans="1:61" ht="14.65" customHeight="1">
      <c r="A92" s="176" t="str">
        <f>CONCATENATE("Total IPC at ",$D$163*100,"% (KS)")</f>
        <v>Total IPC at 40% (KS)</v>
      </c>
      <c r="B92" s="49">
        <f>SUM(B90:B91)</f>
        <v>104832</v>
      </c>
      <c r="C92" s="80">
        <f>D92/B92</f>
        <v>15.076135531135533</v>
      </c>
      <c r="D92" s="207">
        <f>SUM(D90:D91)</f>
        <v>1580461.4400000002</v>
      </c>
      <c r="E92" s="729" t="s">
        <v>158</v>
      </c>
      <c r="F92" s="294" t="s">
        <v>50</v>
      </c>
      <c r="G92" s="294" t="s">
        <v>52</v>
      </c>
      <c r="H92" s="295" t="s">
        <v>53</v>
      </c>
      <c r="AO92" s="274"/>
      <c r="AP92" s="261"/>
      <c r="AQ92" s="261"/>
      <c r="AR92" s="261"/>
      <c r="AS92" s="261"/>
      <c r="AT92" s="261"/>
      <c r="AU92" s="261"/>
      <c r="AV92" s="261"/>
      <c r="AW92" s="261" t="s">
        <v>109</v>
      </c>
      <c r="AX92" s="279">
        <v>0</v>
      </c>
      <c r="AY92" s="279">
        <f>($B$79+$B$81+$B$83)/($E$26+$H$26)*($E$26+$H$26)</f>
        <v>31449.599999999999</v>
      </c>
      <c r="AZ92" s="279"/>
      <c r="BA92" s="279"/>
      <c r="BB92" s="279"/>
      <c r="BC92" s="279"/>
      <c r="BD92" s="279"/>
      <c r="BE92" s="279"/>
      <c r="BF92" s="279">
        <f>SUM(AX92:AY92)</f>
        <v>31449.599999999999</v>
      </c>
      <c r="BG92" s="25"/>
      <c r="BH92" s="24"/>
      <c r="BI92" s="270"/>
    </row>
    <row r="93" spans="1:61" ht="14.65" customHeight="1" thickBot="1">
      <c r="A93" s="176" t="s">
        <v>201</v>
      </c>
      <c r="B93" s="147">
        <f>B85</f>
        <v>-8760</v>
      </c>
      <c r="C93" s="208">
        <f>D93/B93</f>
        <v>12.327968036529681</v>
      </c>
      <c r="D93" s="168">
        <f>ROUND(B93*$B$73*D163,0)</f>
        <v>-107993</v>
      </c>
      <c r="E93" s="298" t="s">
        <v>151</v>
      </c>
      <c r="F93" s="296">
        <f>SUM(F94:F95)</f>
        <v>299065.10972079728</v>
      </c>
      <c r="G93" s="296">
        <f>SUM(G94:G95)</f>
        <v>121205.38977099209</v>
      </c>
      <c r="H93" s="297">
        <f>SUM(H94:H95)</f>
        <v>9622.03125</v>
      </c>
      <c r="AO93" s="271">
        <f>$BG$93*BH93*$B$26</f>
        <v>83478.842571437781</v>
      </c>
      <c r="AP93" s="272">
        <f>$BG$93*BI93*($E$26+$H$26)</f>
        <v>787210.61404953338</v>
      </c>
      <c r="AQ93" s="272"/>
      <c r="AR93" s="272"/>
      <c r="AS93" s="272"/>
      <c r="AT93" s="272"/>
      <c r="AU93" s="272"/>
      <c r="AV93" s="272"/>
      <c r="AW93" s="273">
        <f>SUM(AO93:AP93)</f>
        <v>870689.45662097121</v>
      </c>
      <c r="AX93" s="280">
        <f>SUM(AX91:AX92)</f>
        <v>5446.6222471451883</v>
      </c>
      <c r="AY93" s="280">
        <f>SUM(AY91:AY92)</f>
        <v>51361.982408917887</v>
      </c>
      <c r="AZ93" s="280"/>
      <c r="BA93" s="280"/>
      <c r="BB93" s="280"/>
      <c r="BC93" s="280"/>
      <c r="BD93" s="280"/>
      <c r="BE93" s="280"/>
      <c r="BF93" s="280">
        <f>SUM(BF91:BF92)</f>
        <v>56808.604656063078</v>
      </c>
      <c r="BG93" s="277">
        <f>$BG$16</f>
        <v>15.326717878257975</v>
      </c>
      <c r="BH93" s="275">
        <f>AX93/$B$26</f>
        <v>0.58565830614464387</v>
      </c>
      <c r="BI93" s="276">
        <f>AY93/($E$26+$H$26)</f>
        <v>1.5106465414387613</v>
      </c>
    </row>
    <row r="94" spans="1:61" ht="14.65" customHeight="1">
      <c r="A94" s="176" t="s">
        <v>165</v>
      </c>
      <c r="B94" s="165">
        <f>SUM(B92:B93)</f>
        <v>96072</v>
      </c>
      <c r="C94" s="166">
        <f>D94/B94</f>
        <v>15.326717878257975</v>
      </c>
      <c r="D94" s="169">
        <f>SUM(D92:D93)</f>
        <v>1472468.4400000002</v>
      </c>
      <c r="E94" s="298" t="s">
        <v>54</v>
      </c>
      <c r="F94" s="296">
        <f>$H94*$B$73</f>
        <v>269983.2</v>
      </c>
      <c r="G94" s="296">
        <f>$H94*$B$73*$D$163</f>
        <v>107993.28000000001</v>
      </c>
      <c r="H94" s="297">
        <f>1*365*24</f>
        <v>8760</v>
      </c>
    </row>
    <row r="95" spans="1:61" ht="14.65" customHeight="1">
      <c r="A95" s="141" t="s">
        <v>166</v>
      </c>
      <c r="B95" s="165">
        <f>H95</f>
        <v>862.03125</v>
      </c>
      <c r="C95" s="166"/>
      <c r="D95" s="169">
        <f>B95*C94</f>
        <v>13212.10977099207</v>
      </c>
      <c r="E95" s="298" t="s">
        <v>55</v>
      </c>
      <c r="F95" s="296">
        <f>$H95*$C$86</f>
        <v>29081.909720797277</v>
      </c>
      <c r="G95" s="296">
        <f>$H95*$C$94</f>
        <v>13212.10977099207</v>
      </c>
      <c r="H95" s="297">
        <f>H91/12800</f>
        <v>862.03125</v>
      </c>
    </row>
    <row r="96" spans="1:61" ht="14.65" customHeight="1">
      <c r="A96" s="141" t="s">
        <v>167</v>
      </c>
      <c r="B96" s="165">
        <f>B94-B95</f>
        <v>95209.96875</v>
      </c>
      <c r="C96" s="196"/>
      <c r="D96" s="169">
        <f>B96*C94</f>
        <v>1459256.3302290081</v>
      </c>
      <c r="E96" s="26"/>
      <c r="F96" s="26"/>
      <c r="G96" s="26"/>
      <c r="H96" s="77"/>
    </row>
    <row r="97" spans="1:50" ht="14.65" customHeight="1">
      <c r="A97" s="48"/>
      <c r="B97" s="26"/>
      <c r="C97" s="26"/>
      <c r="D97" s="299"/>
      <c r="E97" s="1009" t="s">
        <v>159</v>
      </c>
      <c r="F97" s="1009"/>
      <c r="G97" s="1009" t="s">
        <v>105</v>
      </c>
      <c r="H97" s="1010"/>
    </row>
    <row r="98" spans="1:50" ht="14.65" customHeight="1">
      <c r="A98" s="48"/>
      <c r="B98" s="26"/>
      <c r="C98" s="26"/>
      <c r="D98" s="299"/>
      <c r="E98" s="199" t="s">
        <v>53</v>
      </c>
      <c r="F98" s="199" t="s">
        <v>273</v>
      </c>
      <c r="G98" s="199" t="s">
        <v>53</v>
      </c>
      <c r="H98" s="305" t="s">
        <v>273</v>
      </c>
    </row>
    <row r="99" spans="1:50" ht="14.65" customHeight="1">
      <c r="A99" s="48" t="s">
        <v>274</v>
      </c>
      <c r="B99" s="26"/>
      <c r="C99" s="26"/>
      <c r="D99" s="299"/>
      <c r="E99" s="49">
        <f>IF(AND($B$142&lt;&gt;0,$C$142&lt;&gt;0),$B$88/$D$142*$B$142,IF(AND($B$142&lt;&gt;0,$C$142=0),$B$88,0))</f>
        <v>24466.322393284398</v>
      </c>
      <c r="F99" s="102">
        <f>E99*$C$86</f>
        <v>825407.87128241302</v>
      </c>
      <c r="G99" s="49">
        <f>IF(AND($B$142&lt;&gt;0,$C$142&lt;&gt;0),$B$88/$D$142*$C$142,IF(AND($B$142=0,$C$142&lt;&gt;0),$B$88,0))</f>
        <v>39294.046356715611</v>
      </c>
      <c r="H99" s="303">
        <f>G99*$C$86</f>
        <v>1325643.2509967899</v>
      </c>
    </row>
    <row r="100" spans="1:50" ht="14.65" customHeight="1">
      <c r="A100" s="48" t="s">
        <v>275</v>
      </c>
      <c r="B100" s="26"/>
      <c r="C100" s="26"/>
      <c r="D100" s="299"/>
      <c r="E100" s="49">
        <f>IF(AND($B$142&lt;&gt;0,$C$142&lt;&gt;0),$F$88/$D$142*$B$142,IF(AND($B$142&lt;&gt;0,$C$142=0),$F$88,0))</f>
        <v>12067.936052202285</v>
      </c>
      <c r="F100" s="102">
        <f>E100*$G$86</f>
        <v>430382.82607504074</v>
      </c>
      <c r="G100" s="49">
        <f>IF(AND($B$142&lt;&gt;0,$C$142&lt;&gt;0),$F$88/$D$142*$C$142,IF(AND($B$142=0,$C$142&lt;&gt;0),$F$88,0))</f>
        <v>19381.663947797719</v>
      </c>
      <c r="H100" s="303">
        <f>G100*$G$86</f>
        <v>691214.74192495923</v>
      </c>
    </row>
    <row r="101" spans="1:50" ht="14.65" customHeight="1">
      <c r="A101" s="112" t="s">
        <v>276</v>
      </c>
      <c r="B101" s="113"/>
      <c r="C101" s="113"/>
      <c r="D101" s="300"/>
      <c r="E101" s="170">
        <f>(E99+E100)/($B$88+$F$88)*$B$96</f>
        <v>36534.258445486674</v>
      </c>
      <c r="F101" s="302">
        <f>E101*$C$94</f>
        <v>559950.27208533802</v>
      </c>
      <c r="G101" s="170">
        <f>(G99+G100)/($B$88+$F$88)*$B$96</f>
        <v>58675.710304513319</v>
      </c>
      <c r="H101" s="304">
        <f>G101*$C$94</f>
        <v>899306.05814366997</v>
      </c>
    </row>
    <row r="102" spans="1:50" ht="14.65" customHeight="1">
      <c r="D102" s="92"/>
      <c r="H102" s="92"/>
    </row>
    <row r="103" spans="1:50" ht="14.65" customHeight="1"/>
    <row r="104" spans="1:50" ht="14.65" customHeight="1">
      <c r="A104" s="82" t="s">
        <v>56</v>
      </c>
      <c r="B104" s="93"/>
      <c r="C104" s="93"/>
      <c r="D104" s="94"/>
      <c r="E104" s="94"/>
      <c r="F104" s="93"/>
      <c r="G104" s="93"/>
      <c r="H104" s="95"/>
    </row>
    <row r="105" spans="1:50" ht="15">
      <c r="A105" s="48"/>
      <c r="B105" s="147" t="s">
        <v>8</v>
      </c>
      <c r="C105" s="213" t="s">
        <v>207</v>
      </c>
      <c r="D105" s="213" t="s">
        <v>213</v>
      </c>
      <c r="F105" s="147" t="s">
        <v>5</v>
      </c>
      <c r="G105" s="213" t="s">
        <v>6</v>
      </c>
      <c r="H105" s="214" t="s">
        <v>214</v>
      </c>
    </row>
    <row r="106" spans="1:50" ht="15">
      <c r="A106" s="48"/>
      <c r="B106" s="49" t="s">
        <v>202</v>
      </c>
      <c r="C106" s="49">
        <f>IF(($B$119*($B$26+$K$26+$T$26+$W$26)+$F$119*($E$26+$H$26+$Q$26))*1000&lt;=0,($B$119*($B$26+$K$26+$T$26+$W$26)+$F$119*($E$26+$H$26+$Q$26))*1000,0)</f>
        <v>0</v>
      </c>
      <c r="D106" s="347">
        <v>0</v>
      </c>
      <c r="F106" s="49" t="s">
        <v>159</v>
      </c>
      <c r="G106" s="49">
        <f>(B112*$B$142+F112*$C$142)*1000</f>
        <v>4928100</v>
      </c>
      <c r="H106" s="349">
        <f>0.1+0.022</f>
        <v>0.122</v>
      </c>
    </row>
    <row r="107" spans="1:50" ht="16.5">
      <c r="A107" s="48"/>
      <c r="B107" s="49" t="s">
        <v>203</v>
      </c>
      <c r="C107" s="147">
        <f>IF(C106&gt;=0,(((B116+B117+B118)*($B$26+$K$26+$T$26+$W$26)*1000)+((F116+F117+F118)*($E$26+$H$26+$Q$26)*1000))-0,0)</f>
        <v>196815.99999999997</v>
      </c>
      <c r="D107" s="347">
        <v>3.5</v>
      </c>
      <c r="F107" s="49" t="s">
        <v>109</v>
      </c>
      <c r="G107" s="147">
        <f>(B113*$B$142+F113*$C$142)*1000</f>
        <v>22746000</v>
      </c>
      <c r="H107" s="349">
        <f>0.065+0.001</f>
        <v>6.6000000000000003E-2</v>
      </c>
    </row>
    <row r="108" spans="1:50">
      <c r="A108" s="48"/>
      <c r="B108" s="49"/>
      <c r="C108" s="49">
        <f>SUM(C106:C107)</f>
        <v>196815.99999999997</v>
      </c>
      <c r="D108" s="80">
        <f>(C106*D106+C107*D107)/C108</f>
        <v>3.5</v>
      </c>
      <c r="F108" s="49"/>
      <c r="G108" s="49">
        <f>SUM(G106:G107)</f>
        <v>27674100</v>
      </c>
      <c r="H108" s="173">
        <f>(G106*H106+G107*H107)/G108</f>
        <v>7.5972270100924694E-2</v>
      </c>
    </row>
    <row r="109" spans="1:50">
      <c r="A109" s="43"/>
      <c r="C109" s="359"/>
      <c r="G109" s="359"/>
      <c r="H109" s="96"/>
    </row>
    <row r="110" spans="1:50">
      <c r="A110" s="48"/>
      <c r="B110" s="1023" t="s">
        <v>159</v>
      </c>
      <c r="C110" s="1023"/>
      <c r="D110" s="1023"/>
      <c r="F110" s="1023" t="s">
        <v>109</v>
      </c>
      <c r="G110" s="1023"/>
      <c r="H110" s="1024"/>
    </row>
    <row r="111" spans="1:50" ht="26.25">
      <c r="A111" s="48"/>
      <c r="B111" s="97" t="s">
        <v>152</v>
      </c>
      <c r="C111" s="13" t="s">
        <v>215</v>
      </c>
      <c r="D111" s="97" t="s">
        <v>153</v>
      </c>
      <c r="F111" s="97" t="s">
        <v>152</v>
      </c>
      <c r="G111" s="13" t="s">
        <v>215</v>
      </c>
      <c r="H111" s="101" t="s">
        <v>153</v>
      </c>
      <c r="AM111"/>
      <c r="AN111"/>
      <c r="AO111"/>
      <c r="AP111"/>
      <c r="AQ111"/>
      <c r="AR111"/>
      <c r="AS111"/>
      <c r="AT111"/>
      <c r="AU111"/>
      <c r="AV111"/>
      <c r="AW111"/>
      <c r="AX111" s="136"/>
    </row>
    <row r="112" spans="1:50" ht="15">
      <c r="A112" s="48" t="s">
        <v>204</v>
      </c>
      <c r="B112" s="350">
        <f>0.084+0.046</f>
        <v>0.13</v>
      </c>
      <c r="C112" s="172">
        <f>$H$108</f>
        <v>7.5972270100924694E-2</v>
      </c>
      <c r="D112" s="174">
        <f>B112*C112</f>
        <v>9.8763951131202107E-3</v>
      </c>
      <c r="F112" s="350">
        <f>0.064</f>
        <v>6.4000000000000001E-2</v>
      </c>
      <c r="G112" s="172">
        <f>$H$108</f>
        <v>7.5972270100924694E-2</v>
      </c>
      <c r="H112" s="175">
        <f>F112*G112</f>
        <v>4.8622252864591806E-3</v>
      </c>
      <c r="AK112" s="97"/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205</v>
      </c>
      <c r="B113" s="350">
        <v>0</v>
      </c>
      <c r="C113" s="172">
        <f>$H$108</f>
        <v>7.5972270100924694E-2</v>
      </c>
      <c r="D113" s="174">
        <f>B113*C113</f>
        <v>0</v>
      </c>
      <c r="F113" s="350">
        <f>0.669</f>
        <v>0.66900000000000004</v>
      </c>
      <c r="G113" s="172">
        <f>$H$108</f>
        <v>7.5972270100924694E-2</v>
      </c>
      <c r="H113" s="175">
        <f>F113*G113</f>
        <v>5.0825448697518621E-2</v>
      </c>
      <c r="AK113" s="266"/>
      <c r="AM113"/>
      <c r="AN113"/>
      <c r="AO113"/>
      <c r="AP113"/>
      <c r="AQ113"/>
      <c r="AR113"/>
      <c r="AS113"/>
      <c r="AT113"/>
      <c r="AU113"/>
      <c r="AV113"/>
      <c r="AW113"/>
      <c r="AX113" s="136"/>
      <c r="BH113" s="158"/>
    </row>
    <row r="114" spans="1:60" ht="15">
      <c r="A114" s="176" t="s">
        <v>210</v>
      </c>
      <c r="B114" s="222">
        <f>SUM(B112:B113)</f>
        <v>0.13</v>
      </c>
      <c r="C114" s="223">
        <f>D114/B114</f>
        <v>7.5972270100924694E-2</v>
      </c>
      <c r="D114" s="224">
        <f>SUM(D112:D113)</f>
        <v>9.8763951131202107E-3</v>
      </c>
      <c r="F114" s="222">
        <f>SUM(F112:F113)</f>
        <v>0.7330000000000001</v>
      </c>
      <c r="G114" s="223">
        <f>H114/F114</f>
        <v>7.597227010092468E-2</v>
      </c>
      <c r="H114" s="225">
        <f>SUM(H112:H113)</f>
        <v>5.5687673983977802E-2</v>
      </c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/>
      <c r="B115" s="217"/>
      <c r="C115" s="221"/>
      <c r="D115" s="174"/>
      <c r="F115" s="217"/>
      <c r="G115" s="221"/>
      <c r="H115" s="17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</row>
    <row r="116" spans="1:60" ht="15">
      <c r="A116" s="48" t="s">
        <v>208</v>
      </c>
      <c r="B116" s="350">
        <f>0.0024</f>
        <v>2.3999999999999998E-3</v>
      </c>
      <c r="C116" s="212">
        <f>$D$108</f>
        <v>3.5</v>
      </c>
      <c r="D116" s="174">
        <f>B116*C116</f>
        <v>8.3999999999999995E-3</v>
      </c>
      <c r="F116" s="350">
        <f>0.0024</f>
        <v>2.3999999999999998E-3</v>
      </c>
      <c r="G116" s="212">
        <f>$D$108</f>
        <v>3.5</v>
      </c>
      <c r="H116" s="175">
        <f>F116*G116</f>
        <v>8.3999999999999995E-3</v>
      </c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206</v>
      </c>
      <c r="B117" s="350">
        <f>0.0024</f>
        <v>2.3999999999999998E-3</v>
      </c>
      <c r="C117" s="212">
        <f>$D$108</f>
        <v>3.5</v>
      </c>
      <c r="D117" s="174">
        <f>B117*C117</f>
        <v>8.3999999999999995E-3</v>
      </c>
      <c r="F117" s="350">
        <v>0</v>
      </c>
      <c r="G117" s="212">
        <f>$D$108</f>
        <v>3.5</v>
      </c>
      <c r="H117" s="175">
        <f>F117*G117</f>
        <v>0</v>
      </c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209</v>
      </c>
      <c r="B118" s="350">
        <v>0</v>
      </c>
      <c r="C118" s="212">
        <f>$D$108</f>
        <v>3.5</v>
      </c>
      <c r="D118" s="219">
        <f>B118*C118</f>
        <v>0</v>
      </c>
      <c r="F118" s="350">
        <f>0.0003+0.0001</f>
        <v>3.9999999999999996E-4</v>
      </c>
      <c r="G118" s="212">
        <f>$D$108</f>
        <v>3.5</v>
      </c>
      <c r="H118" s="220">
        <f>F118*G118</f>
        <v>1.3999999999999998E-3</v>
      </c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176" t="s">
        <v>211</v>
      </c>
      <c r="B119" s="228">
        <f>SUM(B116:B118)</f>
        <v>4.7999999999999996E-3</v>
      </c>
      <c r="C119" s="229">
        <f>D119/B119</f>
        <v>3.5</v>
      </c>
      <c r="D119" s="226">
        <f>SUM(D116:D118)</f>
        <v>1.6799999999999999E-2</v>
      </c>
      <c r="F119" s="222">
        <f>SUM(F116:F118)</f>
        <v>2.7999999999999995E-3</v>
      </c>
      <c r="G119" s="229">
        <f>H119/F119</f>
        <v>3.5000000000000004</v>
      </c>
      <c r="H119" s="227">
        <f>SUM(H116:H118)</f>
        <v>9.7999999999999997E-3</v>
      </c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/>
      <c r="B120" s="124"/>
      <c r="C120" s="212"/>
      <c r="D120" s="230"/>
      <c r="F120" s="217"/>
      <c r="G120" s="212"/>
      <c r="H120" s="231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.75" thickBot="1">
      <c r="A121" s="141" t="s">
        <v>212</v>
      </c>
      <c r="B121" s="218"/>
      <c r="C121" s="13"/>
      <c r="D121" s="232">
        <f>D114+D119</f>
        <v>2.667639511312021E-2</v>
      </c>
      <c r="F121" s="218"/>
      <c r="G121" s="13"/>
      <c r="H121" s="233">
        <f>H114+H119</f>
        <v>6.5487673983977798E-2</v>
      </c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">
      <c r="A122" s="99"/>
      <c r="B122" s="72"/>
      <c r="C122" s="72"/>
      <c r="D122" s="72"/>
      <c r="E122" s="72"/>
      <c r="F122" s="72"/>
      <c r="G122" s="72"/>
      <c r="H122" s="75"/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G124" s="100"/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A125" s="82" t="s">
        <v>218</v>
      </c>
      <c r="B125" s="93"/>
      <c r="C125" s="93"/>
      <c r="D125" s="93"/>
      <c r="E125" s="93"/>
      <c r="F125" s="93"/>
      <c r="G125" s="93"/>
      <c r="H125" s="148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6.5">
      <c r="A126" s="48"/>
      <c r="B126" s="147" t="s">
        <v>107</v>
      </c>
      <c r="C126" s="147" t="s">
        <v>220</v>
      </c>
      <c r="D126" s="147" t="s">
        <v>219</v>
      </c>
      <c r="E126" s="26"/>
      <c r="F126" s="26"/>
      <c r="G126" s="26"/>
      <c r="H126" s="77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30">
      <c r="A127" s="48" t="s">
        <v>57</v>
      </c>
      <c r="B127" s="87">
        <f>SUM(C127:D127)</f>
        <v>104400000</v>
      </c>
      <c r="C127" s="87">
        <f>37300000+20000000</f>
        <v>57300000</v>
      </c>
      <c r="D127" s="87">
        <f>47100000</f>
        <v>47100000</v>
      </c>
      <c r="E127" s="1009" t="s">
        <v>277</v>
      </c>
      <c r="F127" s="1009"/>
      <c r="G127" s="199" t="s">
        <v>3</v>
      </c>
      <c r="H127" s="308" t="s">
        <v>517</v>
      </c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6.5">
      <c r="A128" s="48" t="s">
        <v>58</v>
      </c>
      <c r="B128" s="343">
        <v>1.4999999999999999E-2</v>
      </c>
      <c r="E128" s="306" t="s">
        <v>159</v>
      </c>
      <c r="F128" s="306" t="s">
        <v>109</v>
      </c>
      <c r="H128" s="45"/>
      <c r="AM128"/>
      <c r="AN128"/>
      <c r="AO128" s="260" t="s">
        <v>398</v>
      </c>
      <c r="AW128"/>
      <c r="AX128" s="234"/>
    </row>
    <row r="129" spans="1:60" ht="16.5">
      <c r="A129" s="48" t="s">
        <v>59</v>
      </c>
      <c r="B129" s="26"/>
      <c r="C129" s="26"/>
      <c r="D129" s="26"/>
      <c r="E129" s="102">
        <f>ROUND(($C$127/$B$28*($B$26+$K$26+$T$26+$W$26))*$B$128,-5)</f>
        <v>300000</v>
      </c>
      <c r="F129" s="102">
        <f>ROUND(($C$127/$B$28*($E$26+$H$26+$Q$26)+D127)*$B$128,-5)</f>
        <v>1200000</v>
      </c>
      <c r="G129" s="358">
        <f>SUM(E129:F129)</f>
        <v>1500000</v>
      </c>
      <c r="H129" s="103">
        <f>G129/(B$28*1000)</f>
        <v>2.7188689505165852E-2</v>
      </c>
      <c r="AF129" s="240"/>
      <c r="AG129" s="240"/>
      <c r="AH129" s="261">
        <f t="shared" ref="AH129:AH137" si="63">ROUND($AH$11*$AN129,0)</f>
        <v>17239</v>
      </c>
      <c r="AK129" s="265"/>
      <c r="AL129" s="20" t="s">
        <v>235</v>
      </c>
      <c r="AM129" s="128">
        <v>631040</v>
      </c>
      <c r="AN129" s="138">
        <f t="shared" ref="AN129:AN137" si="64">AO129/$AO$138</f>
        <v>2.8732014048368993E-2</v>
      </c>
      <c r="AO129" s="143">
        <v>30387.07</v>
      </c>
      <c r="AP129" s="136"/>
      <c r="AQ129" s="136"/>
      <c r="AR129" s="136"/>
      <c r="AS129" s="136"/>
      <c r="AT129" s="136"/>
      <c r="AU129" s="136"/>
      <c r="AV129" s="136"/>
      <c r="BG129" s="236"/>
      <c r="BH129" s="236"/>
    </row>
    <row r="130" spans="1:60" ht="15">
      <c r="A130" s="48"/>
      <c r="B130" s="26"/>
      <c r="C130" s="26"/>
      <c r="D130" s="26"/>
      <c r="E130" s="307">
        <f>E129/B26/1000</f>
        <v>3.2258064516129031E-2</v>
      </c>
      <c r="F130" s="307">
        <f>F129/($E$26+$H$26)/1000</f>
        <v>3.5294117647058823E-2</v>
      </c>
      <c r="G130" s="11"/>
      <c r="H130" s="77"/>
      <c r="AF130" s="240"/>
      <c r="AG130" s="240"/>
      <c r="AH130" s="261">
        <f t="shared" si="63"/>
        <v>18471</v>
      </c>
      <c r="AK130" s="265"/>
      <c r="AL130" s="20" t="s">
        <v>236</v>
      </c>
      <c r="AM130" s="128">
        <v>631060</v>
      </c>
      <c r="AN130" s="138">
        <f t="shared" si="64"/>
        <v>3.0784541877331692E-2</v>
      </c>
      <c r="AO130" s="143">
        <v>32557.83</v>
      </c>
      <c r="AP130" s="136"/>
      <c r="AQ130" s="136"/>
      <c r="AR130" s="136"/>
      <c r="AS130" s="136"/>
      <c r="AT130" s="136"/>
      <c r="AU130" s="136"/>
      <c r="AV130" s="136"/>
      <c r="BG130" s="235"/>
      <c r="BH130" s="235"/>
    </row>
    <row r="131" spans="1:60" ht="15">
      <c r="A131" s="48" t="s">
        <v>172</v>
      </c>
      <c r="B131" s="26"/>
      <c r="C131" s="26"/>
      <c r="D131" s="26"/>
      <c r="E131" s="26"/>
      <c r="F131" s="104"/>
      <c r="G131" s="26"/>
      <c r="H131" s="77"/>
      <c r="AF131" s="240"/>
      <c r="AG131" s="240"/>
      <c r="AH131" s="261">
        <f t="shared" si="63"/>
        <v>0</v>
      </c>
      <c r="AK131" s="265"/>
      <c r="AL131" s="20" t="s">
        <v>237</v>
      </c>
      <c r="AM131" s="128">
        <v>631900</v>
      </c>
      <c r="AN131" s="138">
        <f t="shared" si="64"/>
        <v>0</v>
      </c>
      <c r="AO131" s="143">
        <v>0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5">
      <c r="A132" s="48" t="s">
        <v>60</v>
      </c>
      <c r="B132" s="26"/>
      <c r="C132" s="26"/>
      <c r="D132" s="26"/>
      <c r="E132" s="26"/>
      <c r="F132" s="26"/>
      <c r="G132" s="26"/>
      <c r="H132" s="77"/>
      <c r="AF132" s="240"/>
      <c r="AG132" s="240"/>
      <c r="AH132" s="261">
        <f t="shared" si="63"/>
        <v>54962</v>
      </c>
      <c r="AK132" s="265"/>
      <c r="AL132" s="20" t="s">
        <v>238</v>
      </c>
      <c r="AM132" s="128">
        <v>630020</v>
      </c>
      <c r="AN132" s="138">
        <f t="shared" si="64"/>
        <v>9.1602521626258315E-2</v>
      </c>
      <c r="AO132" s="143">
        <v>96879.12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48" t="s">
        <v>61</v>
      </c>
      <c r="B133" s="26"/>
      <c r="C133" s="26"/>
      <c r="D133" s="26"/>
      <c r="E133" s="26"/>
      <c r="F133" s="26"/>
      <c r="G133" s="348">
        <v>240000</v>
      </c>
      <c r="H133" s="103">
        <f>G133/(B$28*1000)</f>
        <v>4.3501903208265358E-3</v>
      </c>
      <c r="AF133" s="240"/>
      <c r="AG133" s="240"/>
      <c r="AH133" s="261">
        <f t="shared" si="63"/>
        <v>0</v>
      </c>
      <c r="AK133" s="265"/>
      <c r="AL133" s="20" t="s">
        <v>239</v>
      </c>
      <c r="AM133" s="128">
        <v>630030</v>
      </c>
      <c r="AN133" s="138">
        <f t="shared" si="64"/>
        <v>0</v>
      </c>
      <c r="AO133" s="143">
        <v>0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5">
      <c r="A134" s="48"/>
      <c r="B134" s="26"/>
      <c r="C134" s="26"/>
      <c r="D134" s="26"/>
      <c r="E134" s="26"/>
      <c r="F134" s="26"/>
      <c r="G134" s="26"/>
      <c r="H134" s="77"/>
      <c r="AF134" s="240"/>
      <c r="AG134" s="240"/>
      <c r="AH134" s="261">
        <f t="shared" si="63"/>
        <v>75074</v>
      </c>
      <c r="AK134" s="265"/>
      <c r="AL134" s="20" t="s">
        <v>240</v>
      </c>
      <c r="AM134" s="128">
        <v>630070</v>
      </c>
      <c r="AN134" s="138">
        <f t="shared" si="64"/>
        <v>0.12512342057966541</v>
      </c>
      <c r="AO134" s="143">
        <v>132330.93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5">
      <c r="A135" s="48" t="s">
        <v>62</v>
      </c>
      <c r="B135" s="26"/>
      <c r="C135" s="26"/>
      <c r="D135" s="26"/>
      <c r="E135" s="26"/>
      <c r="F135" s="26"/>
      <c r="G135" s="26"/>
      <c r="H135" s="77"/>
      <c r="AF135" s="240"/>
      <c r="AG135" s="240"/>
      <c r="AH135" s="261">
        <f t="shared" si="63"/>
        <v>367254</v>
      </c>
      <c r="AK135" s="265"/>
      <c r="AL135" s="20" t="s">
        <v>241</v>
      </c>
      <c r="AM135" s="128">
        <v>630080</v>
      </c>
      <c r="AN135" s="138">
        <f t="shared" si="64"/>
        <v>0.61209054586824252</v>
      </c>
      <c r="AO135" s="143">
        <v>647348.92000000004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 t="s">
        <v>63</v>
      </c>
      <c r="B136" s="26"/>
      <c r="C136" s="26"/>
      <c r="D136" s="26"/>
      <c r="E136" s="26"/>
      <c r="F136" s="26"/>
      <c r="G136" s="348">
        <v>600000</v>
      </c>
      <c r="H136" s="103">
        <f>G136/(B$28*1000)</f>
        <v>1.0875475802066341E-2</v>
      </c>
      <c r="AF136" s="240"/>
      <c r="AG136" s="240"/>
      <c r="AH136" s="261">
        <f t="shared" si="63"/>
        <v>67000</v>
      </c>
      <c r="AK136" s="265"/>
      <c r="AL136" s="20" t="s">
        <v>242</v>
      </c>
      <c r="AM136" s="128">
        <v>633000</v>
      </c>
      <c r="AN136" s="138">
        <f t="shared" si="64"/>
        <v>0.11166695600013314</v>
      </c>
      <c r="AO136" s="143">
        <v>118099.33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7.25">
      <c r="A137" s="99"/>
      <c r="B137" s="72"/>
      <c r="C137" s="105"/>
      <c r="D137" s="72"/>
      <c r="E137" s="72"/>
      <c r="F137" s="72"/>
      <c r="G137" s="72"/>
      <c r="H137" s="75"/>
      <c r="AF137" s="240"/>
      <c r="AG137" s="240"/>
      <c r="AH137" s="262">
        <f t="shared" si="63"/>
        <v>0</v>
      </c>
      <c r="AK137" s="265"/>
      <c r="AL137" s="20" t="s">
        <v>243</v>
      </c>
      <c r="AM137" s="128">
        <v>660000</v>
      </c>
      <c r="AN137" s="258">
        <f t="shared" si="64"/>
        <v>0</v>
      </c>
      <c r="AO137" s="161">
        <v>0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5">
      <c r="AF138" s="160"/>
      <c r="AG138" s="160"/>
      <c r="AH138" s="264">
        <f>SUM(AH129:AH137)</f>
        <v>600000</v>
      </c>
      <c r="AK138" s="256" t="s">
        <v>12</v>
      </c>
      <c r="AL138" s="130" t="s">
        <v>17</v>
      </c>
      <c r="AM138" s="257" t="s">
        <v>107</v>
      </c>
      <c r="AN138" s="138">
        <f>SUM(AN129:AN137)</f>
        <v>1</v>
      </c>
      <c r="AO138" s="259">
        <f>SUM(AO129:AO137)</f>
        <v>1057603.2</v>
      </c>
      <c r="AX138" s="137"/>
    </row>
    <row r="140" spans="1:60">
      <c r="A140" s="82" t="s">
        <v>64</v>
      </c>
      <c r="B140" s="1012" t="s">
        <v>65</v>
      </c>
      <c r="C140" s="1012"/>
      <c r="D140" s="1012"/>
      <c r="E140" s="1012"/>
      <c r="F140" s="1012"/>
      <c r="G140" s="1012"/>
      <c r="H140" s="1013"/>
    </row>
    <row r="141" spans="1:60" ht="14.65" customHeight="1">
      <c r="A141" s="48"/>
      <c r="B141" s="199" t="s">
        <v>159</v>
      </c>
      <c r="C141" s="199" t="s">
        <v>109</v>
      </c>
      <c r="D141" s="199" t="s">
        <v>107</v>
      </c>
      <c r="E141" s="26"/>
      <c r="F141" s="26"/>
      <c r="G141" s="26"/>
      <c r="H141" s="77"/>
      <c r="AO141" s="1007" t="s">
        <v>398</v>
      </c>
      <c r="AP141" s="1007"/>
    </row>
    <row r="142" spans="1:60" ht="14.65" customHeight="1">
      <c r="A142" s="48" t="s">
        <v>262</v>
      </c>
      <c r="B142" s="207">
        <f>B31+B32+B35+B36+B38+B39</f>
        <v>21170</v>
      </c>
      <c r="C142" s="207">
        <f>B33+B34+B37</f>
        <v>34000</v>
      </c>
      <c r="D142" s="207">
        <f>SUM(B142:C142)</f>
        <v>55170</v>
      </c>
      <c r="E142" s="26"/>
      <c r="F142" s="1008" t="s">
        <v>66</v>
      </c>
      <c r="G142" s="1008"/>
      <c r="H142" s="106">
        <f>D142/D143</f>
        <v>0.21219230769230768</v>
      </c>
      <c r="AF142" s="240"/>
      <c r="AG142" s="240"/>
      <c r="AH142" s="261">
        <f>$AH$19*$AN142</f>
        <v>350000</v>
      </c>
      <c r="AK142" s="265"/>
      <c r="AL142" s="20" t="s">
        <v>244</v>
      </c>
      <c r="AM142" s="128" t="s">
        <v>100</v>
      </c>
      <c r="AN142" s="138">
        <v>0.5</v>
      </c>
      <c r="AO142" s="143">
        <v>120244.49</v>
      </c>
      <c r="AP142" s="144">
        <f>AO142/$AO$144</f>
        <v>0.50750815162970342</v>
      </c>
      <c r="AQ142" s="136"/>
      <c r="AR142" s="136"/>
      <c r="AS142" s="136"/>
      <c r="AT142" s="136"/>
      <c r="AU142" s="136"/>
      <c r="AV142" s="136"/>
      <c r="AW142"/>
    </row>
    <row r="143" spans="1:60" ht="14.65" customHeight="1">
      <c r="A143" s="48" t="s">
        <v>263</v>
      </c>
      <c r="B143" s="207"/>
      <c r="C143" s="207"/>
      <c r="D143" s="207">
        <v>260000</v>
      </c>
      <c r="E143" s="26"/>
      <c r="F143" s="26"/>
      <c r="G143" s="26"/>
      <c r="H143" s="107"/>
      <c r="AF143" s="240"/>
      <c r="AG143" s="240"/>
      <c r="AH143" s="262">
        <f>$AH$19*$AN143</f>
        <v>350000</v>
      </c>
      <c r="AK143" s="265"/>
      <c r="AL143" s="20" t="s">
        <v>245</v>
      </c>
      <c r="AM143" s="128">
        <v>630040</v>
      </c>
      <c r="AN143" s="138">
        <v>0.5</v>
      </c>
      <c r="AO143" s="161">
        <v>116686.66</v>
      </c>
      <c r="AP143" s="378">
        <f>AO143/$AO$144</f>
        <v>0.49249184837029658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3"/>
      <c r="D144" s="108"/>
      <c r="F144" s="1009" t="s">
        <v>290</v>
      </c>
      <c r="G144" s="1009"/>
      <c r="H144" s="1010"/>
      <c r="AF144" s="160"/>
      <c r="AG144" s="160"/>
      <c r="AH144" s="264">
        <f>SUM(AH142:AH143)</f>
        <v>700000</v>
      </c>
      <c r="AK144" s="256" t="s">
        <v>12</v>
      </c>
      <c r="AL144" s="130" t="s">
        <v>28</v>
      </c>
      <c r="AM144" s="257" t="s">
        <v>107</v>
      </c>
      <c r="AN144" s="138">
        <f>SUM(AN142:AN143)</f>
        <v>1</v>
      </c>
      <c r="AO144" s="259">
        <f>SUM(AO142:AO143)</f>
        <v>236931.15000000002</v>
      </c>
      <c r="AP144" s="144">
        <f>SUM(AP142:AP143)</f>
        <v>1</v>
      </c>
    </row>
    <row r="145" spans="1:60" ht="28.15" customHeight="1">
      <c r="A145" s="48"/>
      <c r="B145" s="97" t="s">
        <v>67</v>
      </c>
      <c r="C145" s="97" t="s">
        <v>68</v>
      </c>
      <c r="D145" s="97" t="s">
        <v>257</v>
      </c>
      <c r="E145" s="97" t="s">
        <v>520</v>
      </c>
      <c r="F145" s="49"/>
      <c r="G145" s="286" t="s">
        <v>260</v>
      </c>
      <c r="H145" s="287" t="s">
        <v>518</v>
      </c>
    </row>
    <row r="146" spans="1:60" ht="15">
      <c r="A146" s="48" t="s">
        <v>25</v>
      </c>
      <c r="B146" s="104">
        <f>C146/12</f>
        <v>31620</v>
      </c>
      <c r="C146" s="351">
        <f>ROUNDUP(93000*4*(1+$F$160),0)</f>
        <v>379440</v>
      </c>
      <c r="D146" s="64">
        <f>$C146/$D$142/1000</f>
        <v>6.8776508972267537E-3</v>
      </c>
      <c r="E146" s="64">
        <f>$C146/$D$142/1000</f>
        <v>6.8776508972267537E-3</v>
      </c>
      <c r="F146" s="156" t="s">
        <v>270</v>
      </c>
      <c r="G146" s="348">
        <f>1220000-108000</f>
        <v>1112000</v>
      </c>
      <c r="H146" s="238">
        <f>G146/$D$142/1000</f>
        <v>2.0155881819829618E-2</v>
      </c>
      <c r="I146" s="253"/>
      <c r="AL146" s="139"/>
      <c r="AM146"/>
      <c r="AN146"/>
      <c r="AO146" s="260" t="s">
        <v>398</v>
      </c>
      <c r="AP146"/>
      <c r="AQ146"/>
      <c r="AR146"/>
      <c r="AS146"/>
      <c r="AT146"/>
      <c r="AU146"/>
      <c r="AV146"/>
      <c r="AW146"/>
    </row>
    <row r="147" spans="1:60" ht="14.65" customHeight="1">
      <c r="A147" s="48" t="s">
        <v>27</v>
      </c>
      <c r="B147" s="26">
        <f>C147/12</f>
        <v>58333.333333333336</v>
      </c>
      <c r="C147" s="346">
        <v>700000</v>
      </c>
      <c r="D147" s="109">
        <f>$C147/$D$142/1000</f>
        <v>1.2688055102410731E-2</v>
      </c>
      <c r="E147" s="109">
        <f>$C147/$D$142/1000</f>
        <v>1.2688055102410731E-2</v>
      </c>
      <c r="F147" s="156" t="s">
        <v>271</v>
      </c>
      <c r="G147" s="348">
        <f>30000</f>
        <v>30000</v>
      </c>
      <c r="H147" s="238">
        <f>IF($B$142&lt;&gt;0,G147/$B$142/1000,G147/D142/1000)</f>
        <v>1.4170996693434106E-3</v>
      </c>
      <c r="I147" s="253"/>
      <c r="AF147" s="240"/>
      <c r="AG147" s="240"/>
      <c r="AH147" s="261">
        <f t="shared" ref="AH147:AH154" si="65">ROUND($AH$18*$AN147,0)</f>
        <v>137358</v>
      </c>
      <c r="AK147" s="265"/>
      <c r="AL147" s="20" t="s">
        <v>399</v>
      </c>
      <c r="AM147" s="128" t="s">
        <v>400</v>
      </c>
      <c r="AN147" s="138">
        <f t="shared" ref="AN147:AN154" si="66">AO147/$AO$155</f>
        <v>3.1020278092671626E-2</v>
      </c>
      <c r="AO147" s="143">
        <v>140030.43</v>
      </c>
      <c r="AP147" s="136"/>
      <c r="AQ147" s="136"/>
      <c r="AR147" s="136"/>
      <c r="AS147" s="136"/>
      <c r="AT147" s="136"/>
      <c r="AU147" s="136"/>
      <c r="AV147" s="136"/>
      <c r="AW147"/>
    </row>
    <row r="148" spans="1:60" ht="14.65" customHeight="1">
      <c r="A148" s="48" t="s">
        <v>29</v>
      </c>
      <c r="B148" s="26">
        <f>C148/12</f>
        <v>369000</v>
      </c>
      <c r="C148" s="78">
        <f>G149</f>
        <v>4428000</v>
      </c>
      <c r="D148" s="110">
        <f>H152</f>
        <v>2.157298148917303E-2</v>
      </c>
      <c r="E148" s="110">
        <f>H153</f>
        <v>0.11680294064335903</v>
      </c>
      <c r="F148" s="156" t="s">
        <v>272</v>
      </c>
      <c r="G148" s="352">
        <f>3550000-264000</f>
        <v>3286000</v>
      </c>
      <c r="H148" s="238">
        <f>IF(C142&lt;&gt;0,G148/$C$142/1000,G148/D142/1000)</f>
        <v>9.6647058823529405E-2</v>
      </c>
      <c r="I148" s="253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  <c r="AC148" s="281"/>
      <c r="AD148" s="281"/>
      <c r="AF148" s="240"/>
      <c r="AG148" s="240"/>
      <c r="AH148" s="261">
        <f t="shared" si="65"/>
        <v>6823</v>
      </c>
      <c r="AK148" s="265"/>
      <c r="AL148" s="20" t="s">
        <v>246</v>
      </c>
      <c r="AM148" s="128" t="s">
        <v>101</v>
      </c>
      <c r="AN148" s="138">
        <f t="shared" si="66"/>
        <v>1.5409319575424053E-3</v>
      </c>
      <c r="AO148" s="143">
        <v>6956.01</v>
      </c>
      <c r="AP148" s="136"/>
      <c r="AQ148" s="136"/>
      <c r="AR148" s="136"/>
      <c r="AS148" s="136"/>
      <c r="AT148" s="136"/>
      <c r="AU148" s="136"/>
      <c r="AV148" s="136"/>
      <c r="AW148"/>
      <c r="BG148" s="235"/>
      <c r="BH148" s="235"/>
    </row>
    <row r="149" spans="1:60" ht="14.65" customHeight="1">
      <c r="A149" s="48" t="s">
        <v>70</v>
      </c>
      <c r="D149" s="64">
        <f>SUM(D146:D148)</f>
        <v>4.1138687488810513E-2</v>
      </c>
      <c r="E149" s="64">
        <f>SUM(E146:E148)</f>
        <v>0.13636864664299653</v>
      </c>
      <c r="F149" s="301" t="s">
        <v>519</v>
      </c>
      <c r="G149" s="285">
        <f>SUM(G146:G148)</f>
        <v>4428000</v>
      </c>
      <c r="H149" s="238">
        <f>G149/D142/1000</f>
        <v>8.02610114192496E-2</v>
      </c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  <c r="AC149" s="282"/>
      <c r="AD149" s="282"/>
      <c r="AF149" s="240"/>
      <c r="AG149" s="240"/>
      <c r="AH149" s="261">
        <f t="shared" si="65"/>
        <v>350029</v>
      </c>
      <c r="AK149" s="265"/>
      <c r="AL149" s="20" t="s">
        <v>247</v>
      </c>
      <c r="AM149" s="128">
        <v>640010</v>
      </c>
      <c r="AN149" s="138">
        <f t="shared" si="66"/>
        <v>7.9049062217207061E-2</v>
      </c>
      <c r="AO149" s="143">
        <v>356839.94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26"/>
      <c r="C150" s="26"/>
      <c r="D150" s="64"/>
      <c r="E150" s="64"/>
      <c r="F150" s="26"/>
      <c r="G150" s="204"/>
      <c r="H150" s="238"/>
      <c r="AF150" s="240"/>
      <c r="AG150" s="240"/>
      <c r="AH150" s="261">
        <f t="shared" si="65"/>
        <v>3671708</v>
      </c>
      <c r="AK150" s="265"/>
      <c r="AL150" s="20" t="s">
        <v>248</v>
      </c>
      <c r="AM150" s="128">
        <v>640020</v>
      </c>
      <c r="AN150" s="138">
        <f t="shared" si="66"/>
        <v>0.82920233056363746</v>
      </c>
      <c r="AO150" s="143">
        <v>3743150.16</v>
      </c>
      <c r="AP150" s="136"/>
      <c r="AQ150" s="136"/>
      <c r="AR150" s="136"/>
      <c r="AS150" s="136"/>
      <c r="AT150" s="136"/>
      <c r="AU150" s="136"/>
      <c r="AV150" s="136"/>
      <c r="AW150"/>
    </row>
    <row r="151" spans="1:60" ht="14.65" customHeight="1">
      <c r="A151" s="48"/>
      <c r="B151" s="26"/>
      <c r="C151" s="26"/>
      <c r="D151" s="288" t="s">
        <v>266</v>
      </c>
      <c r="E151" s="288" t="s">
        <v>267</v>
      </c>
      <c r="F151" s="26"/>
      <c r="G151" s="204"/>
      <c r="H151" s="238"/>
      <c r="AF151" s="240"/>
      <c r="AG151" s="240"/>
      <c r="AH151" s="261">
        <f t="shared" si="65"/>
        <v>243522</v>
      </c>
      <c r="AK151" s="265"/>
      <c r="AL151" s="20" t="s">
        <v>401</v>
      </c>
      <c r="AM151" s="128" t="s">
        <v>402</v>
      </c>
      <c r="AN151" s="138">
        <f t="shared" si="66"/>
        <v>5.4995959722533301E-2</v>
      </c>
      <c r="AO151" s="143">
        <v>248260.44</v>
      </c>
      <c r="AP151" s="136"/>
      <c r="AQ151" s="136"/>
      <c r="AR151" s="136"/>
      <c r="AS151" s="136"/>
      <c r="AT151" s="136"/>
      <c r="AU151" s="136"/>
      <c r="AV151" s="136"/>
      <c r="AW151"/>
      <c r="BG151" s="235"/>
      <c r="BH151" s="235"/>
    </row>
    <row r="152" spans="1:60" ht="14.65" customHeight="1">
      <c r="A152" s="48"/>
      <c r="B152" s="26"/>
      <c r="C152" s="26"/>
      <c r="D152" s="290">
        <f>G152/$G$154</f>
        <v>0.10313911881792978</v>
      </c>
      <c r="E152" s="207">
        <f>ROUND(G152/$H$149,0)</f>
        <v>5690185</v>
      </c>
      <c r="F152" s="156" t="s">
        <v>159</v>
      </c>
      <c r="G152" s="204">
        <f>$H152*$B$142*1000</f>
        <v>456700.01812579308</v>
      </c>
      <c r="H152" s="238">
        <f>IF(AND($B$142&lt;&gt;0,$C$142&lt;&gt;0),H146+H147,$H$149)</f>
        <v>2.157298148917303E-2</v>
      </c>
      <c r="AF152" s="240"/>
      <c r="AG152" s="240"/>
      <c r="AH152" s="261">
        <f t="shared" si="65"/>
        <v>6701</v>
      </c>
      <c r="AK152" s="265"/>
      <c r="AL152" s="20" t="s">
        <v>249</v>
      </c>
      <c r="AM152" s="128">
        <v>640040</v>
      </c>
      <c r="AN152" s="138">
        <f t="shared" si="66"/>
        <v>1.5133299095422179E-3</v>
      </c>
      <c r="AO152" s="143">
        <v>6831.41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290">
        <f>G153/$G$154</f>
        <v>0.89686088118207019</v>
      </c>
      <c r="E153" s="168">
        <f>ROUND(G153/$H$149,0)</f>
        <v>49479815</v>
      </c>
      <c r="F153" s="156" t="s">
        <v>109</v>
      </c>
      <c r="G153" s="239">
        <f>$H153*$C$142*1000</f>
        <v>3971299.981874207</v>
      </c>
      <c r="H153" s="238">
        <f>IF(AND($B$142&lt;&gt;0,$C$142&lt;&gt;0),H146+H148,$H$149)</f>
        <v>0.11680294064335903</v>
      </c>
      <c r="AF153" s="160"/>
      <c r="AG153" s="160"/>
      <c r="AH153" s="261">
        <f t="shared" si="65"/>
        <v>1025</v>
      </c>
      <c r="AK153" s="265"/>
      <c r="AL153" s="20" t="s">
        <v>250</v>
      </c>
      <c r="AM153" s="128">
        <v>640070</v>
      </c>
      <c r="AN153" s="138">
        <f t="shared" si="66"/>
        <v>2.3147396449338557E-4</v>
      </c>
      <c r="AO153" s="143">
        <v>1044.9100000000001</v>
      </c>
      <c r="AP153"/>
      <c r="AQ153"/>
      <c r="AR153"/>
      <c r="AS153"/>
      <c r="AT153"/>
      <c r="AU153"/>
      <c r="AV153"/>
      <c r="AW153"/>
      <c r="BG153" s="235"/>
      <c r="BH153" s="235"/>
    </row>
    <row r="154" spans="1:60" ht="14.65" customHeight="1">
      <c r="A154" s="48"/>
      <c r="B154" s="26"/>
      <c r="C154" s="26"/>
      <c r="D154" s="290">
        <f>G154/$G$154</f>
        <v>1</v>
      </c>
      <c r="E154" s="289">
        <f>SUM(E152:E153)</f>
        <v>55170000</v>
      </c>
      <c r="F154" s="156" t="s">
        <v>107</v>
      </c>
      <c r="G154" s="285">
        <f>SUM(G152:G153)</f>
        <v>4428000</v>
      </c>
      <c r="H154" s="238"/>
      <c r="AH154" s="262">
        <f t="shared" si="65"/>
        <v>10834</v>
      </c>
      <c r="AK154" s="265"/>
      <c r="AL154" s="20" t="s">
        <v>251</v>
      </c>
      <c r="AM154" s="128">
        <v>640080</v>
      </c>
      <c r="AN154" s="138">
        <f t="shared" si="66"/>
        <v>2.4466335723723111E-3</v>
      </c>
      <c r="AO154" s="161">
        <v>11044.49</v>
      </c>
      <c r="BG154" s="235"/>
      <c r="BH154" s="235"/>
    </row>
    <row r="155" spans="1:60" ht="14.65" customHeight="1">
      <c r="A155" s="112"/>
      <c r="B155" s="113"/>
      <c r="C155" s="113"/>
      <c r="D155" s="113"/>
      <c r="E155" s="113"/>
      <c r="F155" s="113"/>
      <c r="G155" s="113"/>
      <c r="H155" s="284"/>
      <c r="AH155" s="264">
        <f>SUM(AH147:AH154)</f>
        <v>4428000</v>
      </c>
      <c r="AK155" s="256" t="s">
        <v>12</v>
      </c>
      <c r="AL155" s="130" t="s">
        <v>30</v>
      </c>
      <c r="AM155" s="257" t="s">
        <v>107</v>
      </c>
      <c r="AN155" s="138">
        <f>SUM(AN147:AN154)</f>
        <v>0.99999999999999989</v>
      </c>
      <c r="AO155" s="259">
        <f>SUM(AO147:AO154)</f>
        <v>4514157.790000001</v>
      </c>
      <c r="BG155" s="235"/>
      <c r="BH155" s="235"/>
    </row>
    <row r="156" spans="1:60">
      <c r="BG156" s="235"/>
      <c r="BH156" s="235"/>
    </row>
    <row r="157" spans="1:60">
      <c r="A157" s="72"/>
      <c r="B157" s="72"/>
      <c r="C157" s="72"/>
      <c r="D157" s="72"/>
      <c r="E157" s="72"/>
      <c r="F157" s="72"/>
      <c r="G157" s="72"/>
      <c r="H157" s="72"/>
    </row>
    <row r="158" spans="1:60">
      <c r="A158" s="82" t="s">
        <v>71</v>
      </c>
      <c r="B158" s="93"/>
      <c r="C158" s="93"/>
      <c r="D158" s="93"/>
      <c r="E158" s="93"/>
      <c r="F158" s="93"/>
      <c r="G158" s="93"/>
      <c r="H158" s="148"/>
    </row>
    <row r="159" spans="1:60" ht="15">
      <c r="A159" s="82"/>
      <c r="B159" s="1011" t="s">
        <v>189</v>
      </c>
      <c r="C159" s="1011"/>
      <c r="D159" s="1011"/>
      <c r="E159" s="202"/>
      <c r="F159" s="93"/>
      <c r="G159" s="93"/>
      <c r="H159" s="148"/>
    </row>
    <row r="160" spans="1:60" ht="15">
      <c r="A160" s="48"/>
      <c r="B160" s="1004" t="s">
        <v>72</v>
      </c>
      <c r="C160" s="1004"/>
      <c r="D160" s="342">
        <v>52</v>
      </c>
      <c r="E160" s="49" t="s">
        <v>354</v>
      </c>
      <c r="F160" s="456">
        <f>'17 Std'!T5</f>
        <v>0.02</v>
      </c>
      <c r="G160" s="26"/>
      <c r="H160" s="77"/>
    </row>
    <row r="161" spans="1:8" ht="15">
      <c r="A161" s="48"/>
      <c r="B161" s="1004" t="s">
        <v>479</v>
      </c>
      <c r="C161" s="1004"/>
      <c r="D161" s="353">
        <v>42</v>
      </c>
      <c r="E161" s="200"/>
      <c r="F161" s="26"/>
      <c r="G161" s="26"/>
      <c r="H161" s="77"/>
    </row>
    <row r="162" spans="1:8" ht="15">
      <c r="A162" s="48"/>
      <c r="B162" s="1004" t="s">
        <v>74</v>
      </c>
      <c r="C162" s="1004"/>
      <c r="D162" s="353">
        <v>1.5</v>
      </c>
      <c r="E162" s="201"/>
      <c r="F162" s="26"/>
      <c r="G162" s="26"/>
      <c r="H162" s="111"/>
    </row>
    <row r="163" spans="1:8" ht="15">
      <c r="A163" s="112"/>
      <c r="B163" s="1005" t="s">
        <v>160</v>
      </c>
      <c r="C163" s="1005"/>
      <c r="D163" s="354">
        <v>0.4</v>
      </c>
      <c r="E163" s="180"/>
      <c r="F163" s="113"/>
      <c r="G163" s="113"/>
      <c r="H163" s="181"/>
    </row>
    <row r="164" spans="1:8">
      <c r="A164" s="82"/>
      <c r="B164" s="93"/>
      <c r="C164" s="93"/>
      <c r="D164" s="182"/>
      <c r="E164" s="93"/>
      <c r="F164" s="93"/>
      <c r="G164" s="93"/>
      <c r="H164" s="191"/>
    </row>
    <row r="166" spans="1:8">
      <c r="B166" s="1006"/>
      <c r="C166" s="1006"/>
      <c r="D166" s="1006"/>
      <c r="F166" s="1006"/>
      <c r="G166" s="1006"/>
      <c r="H166" s="1006"/>
    </row>
    <row r="167" spans="1:8">
      <c r="B167" s="114"/>
      <c r="C167" s="114"/>
      <c r="D167" s="115"/>
      <c r="E167" s="6"/>
      <c r="F167" s="114"/>
      <c r="G167" s="114"/>
      <c r="H167" s="115"/>
    </row>
    <row r="168" spans="1:8">
      <c r="C168" s="116"/>
      <c r="D168" s="117"/>
      <c r="G168" s="116"/>
      <c r="H168" s="117"/>
    </row>
    <row r="169" spans="1:8">
      <c r="C169" s="116"/>
      <c r="D169" s="108"/>
      <c r="G169" s="116"/>
      <c r="H169" s="108"/>
    </row>
    <row r="170" spans="1:8">
      <c r="C170" s="118"/>
      <c r="D170" s="108"/>
      <c r="G170" s="118"/>
      <c r="H170" s="108"/>
    </row>
    <row r="171" spans="1:8">
      <c r="C171" s="119"/>
      <c r="D171" s="108"/>
      <c r="G171" s="119"/>
      <c r="H171" s="108"/>
    </row>
    <row r="172" spans="1:8">
      <c r="C172" s="120"/>
      <c r="D172" s="108"/>
      <c r="G172" s="120"/>
      <c r="H172" s="108"/>
    </row>
    <row r="173" spans="1:8">
      <c r="C173" s="118"/>
      <c r="D173" s="108"/>
      <c r="G173" s="118"/>
      <c r="H173" s="108"/>
    </row>
    <row r="174" spans="1:8" ht="15">
      <c r="C174" s="121"/>
      <c r="D174" s="122"/>
      <c r="G174" s="121"/>
      <c r="H174" s="122"/>
    </row>
    <row r="175" spans="1:8" ht="15">
      <c r="D175" s="123"/>
      <c r="H175" s="123"/>
    </row>
  </sheetData>
  <mergeCells count="5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110:D110"/>
    <mergeCell ref="F110:H110"/>
    <mergeCell ref="B70:D70"/>
    <mergeCell ref="F70:H70"/>
    <mergeCell ref="AO70:BI70"/>
    <mergeCell ref="AO74:BI74"/>
    <mergeCell ref="B76:D76"/>
    <mergeCell ref="F76:H76"/>
    <mergeCell ref="E90:G90"/>
    <mergeCell ref="AO90:BI90"/>
    <mergeCell ref="E91:F91"/>
    <mergeCell ref="E97:F97"/>
    <mergeCell ref="G97:H97"/>
    <mergeCell ref="F166:H166"/>
    <mergeCell ref="E127:F127"/>
    <mergeCell ref="B140:H140"/>
    <mergeCell ref="AO141:AP141"/>
    <mergeCell ref="F142:G142"/>
    <mergeCell ref="F144:H144"/>
    <mergeCell ref="B159:D159"/>
    <mergeCell ref="B160:C160"/>
    <mergeCell ref="B161:C161"/>
    <mergeCell ref="B162:C162"/>
    <mergeCell ref="B163:C163"/>
    <mergeCell ref="B166:D166"/>
  </mergeCells>
  <printOptions horizontalCentered="1"/>
  <pageMargins left="0" right="0" top="0.5" bottom="0.5" header="0" footer="0"/>
  <pageSetup paperSize="5" scale="61" fitToHeight="0" orientation="landscape" r:id="rId1"/>
  <headerFooter alignWithMargins="0">
    <oddHeader>&amp;R&amp;F
&amp;D  &amp;T</oddHeader>
    <oddFooter>Page &amp;P of &amp;N</oddFooter>
  </headerFooter>
  <rowBreaks count="5" manualBreakCount="5">
    <brk id="28" max="21" man="1"/>
    <brk id="69" max="21" man="1"/>
    <brk id="101" max="21" man="1"/>
    <brk id="123" max="21" man="1"/>
    <brk id="138" max="2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7BCA-8B0B-44F8-A95C-E314BA878D0A}">
  <dimension ref="C1:S18"/>
  <sheetViews>
    <sheetView workbookViewId="0">
      <selection activeCell="D3" sqref="D3:S16"/>
    </sheetView>
  </sheetViews>
  <sheetFormatPr defaultRowHeight="15"/>
  <cols>
    <col min="4" max="4" width="12.5703125" bestFit="1" customWidth="1"/>
    <col min="5" max="5" width="11.5703125" bestFit="1" customWidth="1"/>
    <col min="6" max="6" width="11.5703125" customWidth="1"/>
    <col min="7" max="7" width="12.140625" bestFit="1" customWidth="1"/>
    <col min="8" max="11" width="11.5703125" customWidth="1"/>
    <col min="12" max="13" width="12" bestFit="1" customWidth="1"/>
    <col min="14" max="14" width="12" customWidth="1"/>
    <col min="15" max="15" width="16.28515625" bestFit="1" customWidth="1"/>
    <col min="16" max="16" width="9.5703125" bestFit="1" customWidth="1"/>
    <col min="17" max="17" width="13.42578125" bestFit="1" customWidth="1"/>
    <col min="18" max="19" width="10.5703125" bestFit="1" customWidth="1"/>
    <col min="20" max="20" width="13.28515625" bestFit="1" customWidth="1"/>
  </cols>
  <sheetData>
    <row r="1" spans="3:19" ht="15.75" thickBot="1"/>
    <row r="2" spans="3:19">
      <c r="C2" s="997"/>
      <c r="D2" s="987" t="s">
        <v>587</v>
      </c>
      <c r="E2" s="987" t="s">
        <v>177</v>
      </c>
      <c r="F2" s="987" t="s">
        <v>282</v>
      </c>
      <c r="G2" s="987" t="s">
        <v>503</v>
      </c>
      <c r="H2" s="987" t="s">
        <v>516</v>
      </c>
      <c r="I2" s="987" t="s">
        <v>502</v>
      </c>
      <c r="J2" s="987" t="s">
        <v>498</v>
      </c>
      <c r="K2" s="987" t="s">
        <v>499</v>
      </c>
      <c r="L2" s="991" t="s">
        <v>588</v>
      </c>
      <c r="M2" s="991" t="s">
        <v>589</v>
      </c>
      <c r="N2" s="991" t="s">
        <v>590</v>
      </c>
      <c r="O2" s="991" t="s">
        <v>591</v>
      </c>
      <c r="P2" s="991" t="s">
        <v>592</v>
      </c>
      <c r="Q2" s="991" t="s">
        <v>593</v>
      </c>
      <c r="R2" s="991" t="s">
        <v>594</v>
      </c>
      <c r="S2" s="992" t="s">
        <v>595</v>
      </c>
    </row>
    <row r="3" spans="3:19">
      <c r="C3" s="997" t="s">
        <v>563</v>
      </c>
      <c r="D3" s="988"/>
      <c r="E3" s="988"/>
      <c r="F3" s="989"/>
      <c r="G3" s="989"/>
      <c r="H3" s="989"/>
      <c r="I3" s="989"/>
      <c r="J3" s="989"/>
      <c r="K3" s="989"/>
      <c r="L3" s="993" t="e">
        <f>#REF!</f>
        <v>#REF!</v>
      </c>
      <c r="M3" s="993" t="e">
        <f>#REF!</f>
        <v>#REF!</v>
      </c>
      <c r="N3" s="989"/>
      <c r="O3" s="989"/>
      <c r="P3" s="989"/>
      <c r="Q3" s="989"/>
      <c r="R3" s="989"/>
      <c r="S3" s="989"/>
    </row>
    <row r="4" spans="3:19">
      <c r="C4" s="997" t="s">
        <v>564</v>
      </c>
      <c r="D4" s="988"/>
      <c r="E4" s="988"/>
      <c r="F4" s="989"/>
      <c r="G4" s="989"/>
      <c r="H4" s="989"/>
      <c r="I4" s="989"/>
      <c r="J4" s="989"/>
      <c r="K4" s="989"/>
      <c r="L4" s="993" t="e">
        <f>#REF!</f>
        <v>#REF!</v>
      </c>
      <c r="M4" s="993" t="e">
        <f>#REF!</f>
        <v>#REF!</v>
      </c>
      <c r="N4" s="989"/>
      <c r="O4" s="989"/>
      <c r="P4" s="989"/>
      <c r="Q4" s="989"/>
      <c r="R4" s="989"/>
      <c r="S4" s="989"/>
    </row>
    <row r="5" spans="3:19">
      <c r="C5" s="997" t="s">
        <v>565</v>
      </c>
      <c r="D5" s="988">
        <v>15000</v>
      </c>
      <c r="E5" s="988">
        <v>0</v>
      </c>
      <c r="F5" s="988">
        <v>0</v>
      </c>
      <c r="G5" s="988">
        <v>89.6</v>
      </c>
      <c r="H5" s="988">
        <v>0</v>
      </c>
      <c r="I5" s="988">
        <v>0</v>
      </c>
      <c r="J5" s="988">
        <v>0</v>
      </c>
      <c r="K5" s="988"/>
      <c r="L5" s="993">
        <f>Jan!$B$24</f>
        <v>0.17846958857310968</v>
      </c>
      <c r="M5" s="993">
        <f>Jan!$E$24</f>
        <v>0</v>
      </c>
      <c r="N5" s="993">
        <f>Jan!H24</f>
        <v>0</v>
      </c>
      <c r="O5" s="993">
        <f>Jan!$K$24</f>
        <v>0.2759093885731097</v>
      </c>
      <c r="P5" s="993">
        <f>Jan!$N$24</f>
        <v>0</v>
      </c>
      <c r="Q5" s="993">
        <f>Jan!$Q$24</f>
        <v>0</v>
      </c>
      <c r="R5" s="993">
        <f>Jan!$T$24</f>
        <v>0</v>
      </c>
      <c r="S5" s="994">
        <f>Jan!$W$24</f>
        <v>0</v>
      </c>
    </row>
    <row r="6" spans="3:19">
      <c r="C6" s="997" t="s">
        <v>566</v>
      </c>
      <c r="D6" s="988">
        <v>0</v>
      </c>
      <c r="E6" s="988">
        <v>1500</v>
      </c>
      <c r="F6" s="988">
        <v>3000</v>
      </c>
      <c r="G6" s="988">
        <v>0</v>
      </c>
      <c r="H6" s="988">
        <v>0</v>
      </c>
      <c r="I6" s="988">
        <v>0</v>
      </c>
      <c r="J6" s="988">
        <v>0</v>
      </c>
      <c r="K6" s="988"/>
      <c r="L6" s="993">
        <f>Feb!B24</f>
        <v>0</v>
      </c>
      <c r="M6" s="993">
        <f>Feb!E24</f>
        <v>0.46081023407395461</v>
      </c>
      <c r="N6" s="993">
        <f>Feb!H24</f>
        <v>1.0933601340739547</v>
      </c>
      <c r="O6" s="993">
        <f>Feb!$K$24</f>
        <v>0</v>
      </c>
      <c r="P6" s="993">
        <f>Feb!$N$24</f>
        <v>0</v>
      </c>
      <c r="Q6" s="993">
        <f>Feb!$Q$24</f>
        <v>0</v>
      </c>
      <c r="R6" s="993">
        <f>Feb!$T$24</f>
        <v>0</v>
      </c>
      <c r="S6" s="994">
        <f>Feb!$W$24</f>
        <v>0</v>
      </c>
    </row>
    <row r="7" spans="3:19">
      <c r="C7" s="997" t="s">
        <v>567</v>
      </c>
      <c r="D7" s="988">
        <v>0</v>
      </c>
      <c r="E7" s="988">
        <v>4500</v>
      </c>
      <c r="F7" s="988">
        <v>0</v>
      </c>
      <c r="G7" s="988">
        <v>0</v>
      </c>
      <c r="H7" s="988">
        <v>0</v>
      </c>
      <c r="I7" s="988">
        <v>0</v>
      </c>
      <c r="J7" s="988">
        <v>0</v>
      </c>
      <c r="K7" s="988"/>
      <c r="L7" s="993">
        <f>Mar!B24</f>
        <v>0</v>
      </c>
      <c r="M7" s="993">
        <f>Mar!E24</f>
        <v>0.46081023407395461</v>
      </c>
      <c r="N7" s="993">
        <f>Mar!H24</f>
        <v>0</v>
      </c>
      <c r="O7" s="993">
        <f>Mar!$K$24</f>
        <v>0</v>
      </c>
      <c r="P7" s="993">
        <f>Mar!$N$24</f>
        <v>0</v>
      </c>
      <c r="Q7" s="993">
        <f>Mar!$Q$24</f>
        <v>0</v>
      </c>
      <c r="R7" s="993">
        <f>Mar!$T$24</f>
        <v>0</v>
      </c>
      <c r="S7" s="994">
        <f>Mar!$W$24</f>
        <v>0</v>
      </c>
    </row>
    <row r="8" spans="3:19">
      <c r="C8" s="997" t="s">
        <v>568</v>
      </c>
      <c r="D8" s="988">
        <v>0</v>
      </c>
      <c r="E8" s="988">
        <v>0</v>
      </c>
      <c r="F8" s="988">
        <v>3000</v>
      </c>
      <c r="G8" s="988">
        <v>0</v>
      </c>
      <c r="H8" s="988">
        <v>0</v>
      </c>
      <c r="I8" s="988">
        <v>900</v>
      </c>
      <c r="J8" s="988">
        <v>0</v>
      </c>
      <c r="K8" s="988"/>
      <c r="L8" s="993">
        <f>Apr!B24</f>
        <v>0</v>
      </c>
      <c r="M8" s="993">
        <f>Apr!E24</f>
        <v>0</v>
      </c>
      <c r="N8" s="993">
        <f>Apr!H24</f>
        <v>1.1210608162391784</v>
      </c>
      <c r="O8" s="993">
        <f>Apr!$K$24</f>
        <v>0</v>
      </c>
      <c r="P8" s="993">
        <f>Apr!$N$24</f>
        <v>0</v>
      </c>
      <c r="Q8" s="993">
        <f>Apr!$Q$24</f>
        <v>0.39976726689914166</v>
      </c>
      <c r="R8" s="993">
        <f>Apr!$T$24</f>
        <v>0</v>
      </c>
      <c r="S8" s="994">
        <f>Apr!$W$24</f>
        <v>0</v>
      </c>
    </row>
    <row r="9" spans="3:19">
      <c r="C9" s="997" t="s">
        <v>332</v>
      </c>
      <c r="D9" s="988">
        <v>0</v>
      </c>
      <c r="E9" s="988">
        <v>4500</v>
      </c>
      <c r="F9" s="988">
        <v>0</v>
      </c>
      <c r="G9" s="988">
        <v>0</v>
      </c>
      <c r="H9" s="988">
        <v>0</v>
      </c>
      <c r="I9" s="988">
        <v>0</v>
      </c>
      <c r="J9" s="988">
        <v>0</v>
      </c>
      <c r="K9" s="988"/>
      <c r="L9" s="993">
        <f>May!B24</f>
        <v>0</v>
      </c>
      <c r="M9" s="993">
        <f>May!E24</f>
        <v>0.46081023407395461</v>
      </c>
      <c r="N9" s="993">
        <f>May!H24</f>
        <v>0</v>
      </c>
      <c r="O9" s="993">
        <f>May!$K$24</f>
        <v>0</v>
      </c>
      <c r="P9" s="993">
        <f>May!$N$24</f>
        <v>0</v>
      </c>
      <c r="Q9" s="993">
        <f>May!$Q$24</f>
        <v>0</v>
      </c>
      <c r="R9" s="993">
        <f>May!$T$24</f>
        <v>0</v>
      </c>
      <c r="S9" s="994">
        <f>May!$W$24</f>
        <v>0</v>
      </c>
    </row>
    <row r="10" spans="3:19">
      <c r="C10" s="997" t="s">
        <v>569</v>
      </c>
      <c r="D10" s="988">
        <v>0</v>
      </c>
      <c r="E10" s="988">
        <v>0</v>
      </c>
      <c r="F10" s="988">
        <v>4500</v>
      </c>
      <c r="G10" s="988">
        <v>0</v>
      </c>
      <c r="H10" s="988">
        <v>0</v>
      </c>
      <c r="I10" s="988">
        <v>0</v>
      </c>
      <c r="J10" s="988">
        <v>0</v>
      </c>
      <c r="K10" s="988"/>
      <c r="L10" s="993">
        <f>Jun!B24</f>
        <v>0</v>
      </c>
      <c r="M10" s="993">
        <f>Jun!E24</f>
        <v>0</v>
      </c>
      <c r="N10" s="993">
        <f>Jun!H24</f>
        <v>1.0933601340739547</v>
      </c>
      <c r="O10" s="993">
        <f>Jun!$K$24</f>
        <v>0</v>
      </c>
      <c r="P10" s="993">
        <f>Jun!$N$24</f>
        <v>0</v>
      </c>
      <c r="Q10" s="993">
        <f>Jun!$Q$24</f>
        <v>0</v>
      </c>
      <c r="R10" s="993">
        <f>Jun!$T$24</f>
        <v>0</v>
      </c>
      <c r="S10" s="994">
        <f>Jun!$W$24</f>
        <v>0</v>
      </c>
    </row>
    <row r="11" spans="3:19">
      <c r="C11" s="997" t="s">
        <v>570</v>
      </c>
      <c r="D11" s="988">
        <v>5000</v>
      </c>
      <c r="E11" s="988">
        <v>0</v>
      </c>
      <c r="F11" s="988">
        <v>1500</v>
      </c>
      <c r="G11" s="988">
        <v>0</v>
      </c>
      <c r="H11" s="988">
        <v>0</v>
      </c>
      <c r="I11" s="988">
        <v>0</v>
      </c>
      <c r="J11" s="988">
        <v>1600</v>
      </c>
      <c r="K11" s="988"/>
      <c r="L11" s="993">
        <f>Jul!B24</f>
        <v>0.22480424115219699</v>
      </c>
      <c r="M11" s="993">
        <f>Jul!E24</f>
        <v>0</v>
      </c>
      <c r="N11" s="993">
        <f>Jul!H24</f>
        <v>1.0133359411521969</v>
      </c>
      <c r="O11" s="993">
        <f>Jul!$K$24</f>
        <v>0</v>
      </c>
      <c r="P11" s="993">
        <f>Jul!$N$24</f>
        <v>0</v>
      </c>
      <c r="Q11" s="993">
        <f>Jul!$Q$24</f>
        <v>0</v>
      </c>
      <c r="R11" s="993">
        <f>Jul!$T$24</f>
        <v>0.42250075625511657</v>
      </c>
      <c r="S11" s="994">
        <f>Jul!$W$24</f>
        <v>0</v>
      </c>
    </row>
    <row r="12" spans="3:19">
      <c r="C12" s="997" t="s">
        <v>560</v>
      </c>
      <c r="D12" s="988">
        <v>15000</v>
      </c>
      <c r="E12" s="988">
        <v>0</v>
      </c>
      <c r="F12" s="988">
        <v>0</v>
      </c>
      <c r="G12" s="988">
        <v>0</v>
      </c>
      <c r="H12" s="988">
        <v>0</v>
      </c>
      <c r="I12" s="988">
        <v>0</v>
      </c>
      <c r="J12" s="988">
        <v>0</v>
      </c>
      <c r="K12" s="988"/>
      <c r="L12" s="993">
        <f>Aug!B24</f>
        <v>0.17879033022218638</v>
      </c>
      <c r="M12" s="993">
        <f>Aug!E24</f>
        <v>0</v>
      </c>
      <c r="N12" s="993">
        <f>Aug!H24</f>
        <v>0</v>
      </c>
      <c r="O12" s="993">
        <f>Aug!$K$24</f>
        <v>0</v>
      </c>
      <c r="P12" s="993">
        <f>Aug!$N$24</f>
        <v>0</v>
      </c>
      <c r="Q12" s="993">
        <f>Aug!$Q$24</f>
        <v>0</v>
      </c>
      <c r="R12" s="993">
        <f>Aug!$T$24</f>
        <v>0</v>
      </c>
      <c r="S12" s="994">
        <f>Aug!$W$24</f>
        <v>0</v>
      </c>
    </row>
    <row r="13" spans="3:19">
      <c r="C13" s="997" t="s">
        <v>561</v>
      </c>
      <c r="D13" s="988">
        <v>15000</v>
      </c>
      <c r="E13" s="988">
        <v>0</v>
      </c>
      <c r="F13" s="988">
        <v>0</v>
      </c>
      <c r="G13" s="988">
        <v>0</v>
      </c>
      <c r="H13" s="988">
        <v>0</v>
      </c>
      <c r="I13" s="988">
        <v>0</v>
      </c>
      <c r="J13" s="988">
        <v>0</v>
      </c>
      <c r="K13" s="988"/>
      <c r="L13" s="993">
        <f>Sep!B24</f>
        <v>0.17879033022218638</v>
      </c>
      <c r="M13" s="993">
        <f>Sep!E24</f>
        <v>0</v>
      </c>
      <c r="N13" s="993">
        <f>Sep!H24</f>
        <v>0</v>
      </c>
      <c r="O13" s="993">
        <f>Sep!$K$24</f>
        <v>0</v>
      </c>
      <c r="P13" s="993">
        <f>Sep!$N$24</f>
        <v>0</v>
      </c>
      <c r="Q13" s="993">
        <f>Sep!$Q$24</f>
        <v>0</v>
      </c>
      <c r="R13" s="993">
        <f>Sep!$T$24</f>
        <v>0</v>
      </c>
      <c r="S13" s="994">
        <f>Sep!$W$24</f>
        <v>0</v>
      </c>
    </row>
    <row r="14" spans="3:19">
      <c r="C14" s="997" t="s">
        <v>562</v>
      </c>
      <c r="D14" s="988">
        <v>15000</v>
      </c>
      <c r="E14" s="988">
        <v>0</v>
      </c>
      <c r="F14" s="988">
        <v>0</v>
      </c>
      <c r="G14" s="988">
        <v>0</v>
      </c>
      <c r="H14" s="988">
        <v>0</v>
      </c>
      <c r="I14" s="988">
        <v>0</v>
      </c>
      <c r="J14" s="988">
        <v>0</v>
      </c>
      <c r="K14" s="988"/>
      <c r="L14" s="993">
        <f>Oct!B24</f>
        <v>0.17879033022218638</v>
      </c>
      <c r="M14" s="993">
        <f>Oct!E24</f>
        <v>0</v>
      </c>
      <c r="N14" s="993">
        <f>Oct!H24</f>
        <v>0</v>
      </c>
      <c r="O14" s="993">
        <f>Oct!$K$24</f>
        <v>0</v>
      </c>
      <c r="P14" s="993">
        <f>Oct!$N$24</f>
        <v>0</v>
      </c>
      <c r="Q14" s="993">
        <f>Oct!$Q$24</f>
        <v>0</v>
      </c>
      <c r="R14" s="993">
        <f>Oct!$T$24</f>
        <v>0</v>
      </c>
      <c r="S14" s="994">
        <f>Oct!$W$24</f>
        <v>0</v>
      </c>
    </row>
    <row r="15" spans="3:19">
      <c r="C15" s="997" t="s">
        <v>563</v>
      </c>
      <c r="D15" s="988">
        <v>0</v>
      </c>
      <c r="E15" s="988">
        <v>0</v>
      </c>
      <c r="F15" s="988">
        <v>0</v>
      </c>
      <c r="G15" s="988">
        <v>0</v>
      </c>
      <c r="H15" s="988">
        <v>0</v>
      </c>
      <c r="I15" s="988">
        <v>0</v>
      </c>
      <c r="J15" s="988">
        <v>0</v>
      </c>
      <c r="K15" s="988"/>
      <c r="L15" s="993">
        <f>Nov!B24</f>
        <v>0</v>
      </c>
      <c r="M15" s="993">
        <f>Nov!E24</f>
        <v>0</v>
      </c>
      <c r="N15" s="993">
        <f>Nov!H24</f>
        <v>0</v>
      </c>
      <c r="O15" s="993">
        <f>Nov!$K$24</f>
        <v>0</v>
      </c>
      <c r="P15" s="993">
        <f>Nov!$N$24</f>
        <v>0</v>
      </c>
      <c r="Q15" s="993">
        <f>Nov!$Q$24</f>
        <v>0</v>
      </c>
      <c r="R15" s="993">
        <f>Nov!$T$24</f>
        <v>0</v>
      </c>
      <c r="S15" s="994">
        <f>Nov!$W$24</f>
        <v>0</v>
      </c>
    </row>
    <row r="16" spans="3:19" ht="15.75" thickBot="1">
      <c r="C16" s="997" t="s">
        <v>564</v>
      </c>
      <c r="D16" s="988">
        <v>0</v>
      </c>
      <c r="E16" s="988">
        <v>0</v>
      </c>
      <c r="F16" s="988">
        <v>0</v>
      </c>
      <c r="G16" s="988">
        <v>0</v>
      </c>
      <c r="H16" s="988">
        <v>0</v>
      </c>
      <c r="I16" s="988">
        <v>0</v>
      </c>
      <c r="J16" s="988">
        <v>0</v>
      </c>
      <c r="K16" s="988"/>
      <c r="L16" s="995">
        <f>Dec!B24</f>
        <v>0</v>
      </c>
      <c r="M16" s="995">
        <f>Dec!E24</f>
        <v>0</v>
      </c>
      <c r="N16" s="995">
        <f>Dec!H24</f>
        <v>0</v>
      </c>
      <c r="O16" s="995">
        <f>Dec!$K$24</f>
        <v>0</v>
      </c>
      <c r="P16" s="995">
        <f>Dec!$N$24</f>
        <v>0</v>
      </c>
      <c r="Q16" s="995">
        <f>Dec!$Q$24</f>
        <v>0</v>
      </c>
      <c r="R16" s="995">
        <f>Dec!$T$24</f>
        <v>0</v>
      </c>
      <c r="S16" s="996">
        <f>Dec!$W$24</f>
        <v>0</v>
      </c>
    </row>
    <row r="17" spans="3:11">
      <c r="C17" s="131"/>
    </row>
    <row r="18" spans="3:11">
      <c r="C18" s="987" t="s">
        <v>107</v>
      </c>
      <c r="D18" s="990">
        <f>SUM(D3:D16)</f>
        <v>65000</v>
      </c>
      <c r="E18" s="990">
        <f>SUM(E3:E16)</f>
        <v>10500</v>
      </c>
      <c r="F18" s="990">
        <f>SUM(F3:F16)</f>
        <v>12000</v>
      </c>
      <c r="G18" s="990">
        <f t="shared" ref="G18:J18" si="0">SUM(G3:G16)</f>
        <v>89.6</v>
      </c>
      <c r="H18" s="990">
        <f t="shared" si="0"/>
        <v>0</v>
      </c>
      <c r="I18" s="990">
        <f t="shared" si="0"/>
        <v>900</v>
      </c>
      <c r="J18" s="990">
        <f t="shared" si="0"/>
        <v>1600</v>
      </c>
      <c r="K18" s="39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5512-2D8A-4C54-B0A3-F3B2BA2E64E4}">
  <dimension ref="A1:BX176"/>
  <sheetViews>
    <sheetView tabSelected="1" workbookViewId="0">
      <selection activeCell="B14" sqref="B14:B16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8.3033999999999997E-2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0.18047380000000002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8.3612584328279074E-2</v>
      </c>
      <c r="AB6" s="854">
        <f>AA6</f>
        <v>8.3612584328279074E-2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1.6959999999999999E-2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1.6959999999999999E-2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1.6959999999999999E-2</v>
      </c>
      <c r="AB7" s="857">
        <f>AA7</f>
        <v>1.6959999999999999E-2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>
        <f>ROUND(AX7/$B$26,3)</f>
        <v>0</v>
      </c>
      <c r="BI7" s="801" t="e">
        <f>ROUND(AY7/$E$26,3)</f>
        <v>#DIV/0!</v>
      </c>
      <c r="BJ7" s="801">
        <f>IF($H$26&lt;&gt;0,ROUND(AZ7/$H$26,3),0)</f>
        <v>0</v>
      </c>
      <c r="BK7" s="801">
        <f>ROUND(BA7/$K$26,3)</f>
        <v>0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2.478E-2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2.478E-2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2.4779999999999996E-2</v>
      </c>
      <c r="AB8" s="857">
        <f t="shared" ref="AB8:AB11" si="1">AA8</f>
        <v>2.4779999999999996E-2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>
        <f>ROUND(AX8/$B$26,3)</f>
        <v>0</v>
      </c>
      <c r="BI8" s="801" t="e">
        <f>ROUND(AY8/$E$26,3)</f>
        <v>#DIV/0!</v>
      </c>
      <c r="BJ8" s="801">
        <f>IF($H$26&lt;&gt;0,ROUND(AZ8/$H$26,3),0)</f>
        <v>0</v>
      </c>
      <c r="BK8" s="801">
        <f>ROUND(BA8/$K$26,3)</f>
        <v>0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1.2997602763934543E-2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1.2997602763934543E-2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1.2997602763934543E-2</v>
      </c>
      <c r="AB9" s="857">
        <f t="shared" si="1"/>
        <v>1.2997602763934543E-2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>
        <f>ROUND(AX9/$B$26,3)</f>
        <v>0</v>
      </c>
      <c r="BI9" s="801" t="e">
        <f>ROUND(AY9/$E$26,3)</f>
        <v>#DIV/0!</v>
      </c>
      <c r="BJ9" s="801">
        <f>IF($H$26&lt;&gt;0,ROUND(AZ9/$H$26,3),0)</f>
        <v>0</v>
      </c>
      <c r="BK9" s="801">
        <f>ROUND(BA9/$K$26,3)</f>
        <v>0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2.6492840543597355E-3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2.6492840543597355E-3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2.6492840543597355E-3</v>
      </c>
      <c r="AB10" s="857">
        <f t="shared" si="1"/>
        <v>2.6492840543597355E-3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>
        <f>ROUND(AX10/$B$26,3)</f>
        <v>0</v>
      </c>
      <c r="BI10" s="801" t="e">
        <f>ROUND(AY10/$E$26,3)</f>
        <v>#DIV/0!</v>
      </c>
      <c r="BJ10" s="801">
        <f>IF($H$26&lt;&gt;0,ROUND(AZ10/$H$26,3),0)</f>
        <v>0</v>
      </c>
      <c r="BK10" s="801">
        <f>ROUND(BA10/$K$26,3)</f>
        <v>0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6.2581073498745275E-3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6.2581073498745275E-3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6.2581073498745275E-3</v>
      </c>
      <c r="AB11" s="875">
        <f t="shared" si="1"/>
        <v>6.2581073498745275E-3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>
        <f>ROUND(AX11/$B$26,3)</f>
        <v>0</v>
      </c>
      <c r="BI11" s="801" t="e">
        <f>ROUND(AY11/$E$26,3)</f>
        <v>#DIV/0!</v>
      </c>
      <c r="BJ11" s="801">
        <f>IF($H$26&lt;&gt;0,ROUND(AZ11/$H$26,3),0)</f>
        <v>0</v>
      </c>
      <c r="BK11" s="801">
        <f>ROUND(BA11/$K$26,3)</f>
        <v>0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0.14667899416816882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0.24411879416816884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0.14725757849644788</v>
      </c>
      <c r="AB12" s="857">
        <f>SUM(AB6:AB11)</f>
        <v>0.14725757849644788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1.6327602696951143E-2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1.6327602696951143E-2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1.6327602696951143E-2</v>
      </c>
      <c r="AB14" s="857">
        <f>AB22-AB12</f>
        <v>2.0355005831831197E-2</v>
      </c>
      <c r="AC14" s="858">
        <f>AA14-AB14</f>
        <v>-4.0274031348800539E-3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>
        <f t="shared" ref="BH14:BH19" si="14">ROUND(AX14/$B$26,3)</f>
        <v>0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>
        <f t="shared" ref="BK14:BM19" si="17">ROUND(BA14/$K$26,3)</f>
        <v>0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5.5380871961851581E-3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5.5380871961851581E-3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5.5380871961851581E-3</v>
      </c>
      <c r="AB15" s="857">
        <f>AB22-AB12-AB14</f>
        <v>0</v>
      </c>
      <c r="AC15" s="858">
        <f>AA15-AB15</f>
        <v>5.5380871961851581E-3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>
        <f t="shared" si="14"/>
        <v>0</v>
      </c>
      <c r="BI15" s="801" t="e">
        <f t="shared" si="15"/>
        <v>#DIV/0!</v>
      </c>
      <c r="BJ15" s="801">
        <f t="shared" si="16"/>
        <v>0</v>
      </c>
      <c r="BK15" s="801">
        <f t="shared" si="17"/>
        <v>0</v>
      </c>
      <c r="BL15" s="801">
        <f t="shared" si="17"/>
        <v>0</v>
      </c>
      <c r="BM15" s="801">
        <f t="shared" si="17"/>
        <v>0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6.3410500690095281E-3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6.3410500690095281E-3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6.3410500690095281E-3</v>
      </c>
      <c r="AB16" s="857">
        <f>AB22-AB12-AB14-AB15</f>
        <v>0</v>
      </c>
      <c r="AC16" s="858">
        <f t="shared" ref="AC16:AC19" si="20">AA16-AB16</f>
        <v>6.3410500690095281E-3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>
        <f t="shared" si="14"/>
        <v>0</v>
      </c>
      <c r="BI16" s="801" t="e">
        <f t="shared" si="15"/>
        <v>#DIV/0!</v>
      </c>
      <c r="BJ16" s="801">
        <f t="shared" si="16"/>
        <v>0</v>
      </c>
      <c r="BK16" s="801">
        <f t="shared" si="17"/>
        <v>0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>
        <f t="shared" si="14"/>
        <v>0</v>
      </c>
      <c r="BI17" s="801" t="e">
        <f t="shared" si="15"/>
        <v>#DIV/0!</v>
      </c>
      <c r="BJ17" s="801">
        <f t="shared" si="16"/>
        <v>0</v>
      </c>
      <c r="BK17" s="801">
        <f t="shared" si="17"/>
        <v>0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1.2574408864383416E-3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1.2574408864383416E-3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1.2574408864383416E-3</v>
      </c>
      <c r="AB18" s="857">
        <f>AB22-AB12-AB14-AB15-AB16-AB17-AB19</f>
        <v>0</v>
      </c>
      <c r="AC18" s="858">
        <f>AA18-AB18</f>
        <v>1.2574408864383416E-3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>
        <f t="shared" si="14"/>
        <v>0</v>
      </c>
      <c r="BI18" s="836" t="e">
        <f>ROUND(AY18/$E$26,3)</f>
        <v>#DIV/0!</v>
      </c>
      <c r="BJ18" s="836">
        <f t="shared" si="16"/>
        <v>0</v>
      </c>
      <c r="BK18" s="801">
        <f t="shared" si="17"/>
        <v>0</v>
      </c>
      <c r="BL18" s="801">
        <f t="shared" si="17"/>
        <v>0</v>
      </c>
      <c r="BM18" s="801">
        <f t="shared" si="17"/>
        <v>0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2.3264135563566958E-3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2.3264135563566958E-3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2.3264135563566958E-3</v>
      </c>
      <c r="AB19" s="861">
        <f>AB22-AB12-AB14-AB15-AB16-AB17</f>
        <v>0</v>
      </c>
      <c r="AC19" s="862">
        <f t="shared" si="20"/>
        <v>2.3264135563566958E-3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>
        <f t="shared" si="14"/>
        <v>0</v>
      </c>
      <c r="BI19" s="801" t="e">
        <f t="shared" si="15"/>
        <v>#DIV/0!</v>
      </c>
      <c r="BJ19" s="801">
        <f t="shared" si="16"/>
        <v>0</v>
      </c>
      <c r="BK19" s="801">
        <f t="shared" si="17"/>
        <v>0</v>
      </c>
      <c r="BL19" s="801">
        <f t="shared" si="17"/>
        <v>0</v>
      </c>
      <c r="BM19" s="801">
        <f t="shared" si="17"/>
        <v>0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3.1790594404940864E-2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3.1790594404940864E-2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ref="Q20" si="22">SUM(Q14:Q19)</f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ref="T20" si="23">SUM(T14:T19)</f>
        <v>0</v>
      </c>
      <c r="U20" s="251">
        <f t="shared" si="21"/>
        <v>0</v>
      </c>
      <c r="V20" s="673">
        <v>4.1617681400847442E-2</v>
      </c>
      <c r="W20" s="675">
        <f t="shared" ref="W20" si="24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3.1790594404940864E-2</v>
      </c>
      <c r="AB20" s="857">
        <f>SUM(AB14:AB19)</f>
        <v>2.0355005831831197E-2</v>
      </c>
      <c r="AC20" s="858">
        <f>SUM(AC14:AC19)</f>
        <v>1.1435588573109671E-2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5">B12+B20</f>
        <v>0.17846958857310968</v>
      </c>
      <c r="C22" s="670">
        <f t="shared" si="25"/>
        <v>0.32931800377394038</v>
      </c>
      <c r="D22" s="671">
        <f t="shared" si="25"/>
        <v>0.24960190707389224</v>
      </c>
      <c r="E22" s="669">
        <f t="shared" si="25"/>
        <v>0</v>
      </c>
      <c r="F22" s="670">
        <f t="shared" si="25"/>
        <v>0.60307209510473359</v>
      </c>
      <c r="G22" s="671">
        <f t="shared" si="25"/>
        <v>0.3556699132697384</v>
      </c>
      <c r="H22" s="669">
        <f t="shared" si="25"/>
        <v>0</v>
      </c>
      <c r="I22" s="670">
        <f t="shared" si="25"/>
        <v>0.95657115511961432</v>
      </c>
      <c r="J22" s="671">
        <f t="shared" si="25"/>
        <v>0.72523891407602181</v>
      </c>
      <c r="K22" s="669">
        <f t="shared" si="25"/>
        <v>0.2759093885731097</v>
      </c>
      <c r="L22" s="670">
        <f t="shared" si="25"/>
        <v>0.42199999999999993</v>
      </c>
      <c r="M22" s="671">
        <f t="shared" si="25"/>
        <v>0.73115181906142823</v>
      </c>
      <c r="N22" s="863">
        <f t="shared" si="25"/>
        <v>0</v>
      </c>
      <c r="O22" s="864">
        <f t="shared" si="25"/>
        <v>1.5274826775071846</v>
      </c>
      <c r="P22" s="865">
        <f t="shared" si="25"/>
        <v>2.1555888333412874</v>
      </c>
      <c r="Q22" s="863">
        <f>Q12+Q20</f>
        <v>0</v>
      </c>
      <c r="R22" s="864">
        <f t="shared" si="25"/>
        <v>0.5421532976528729</v>
      </c>
      <c r="S22" s="865">
        <f t="shared" si="25"/>
        <v>0.47471491919859471</v>
      </c>
      <c r="T22" s="669">
        <f t="shared" si="25"/>
        <v>0</v>
      </c>
      <c r="U22" s="670">
        <f t="shared" si="25"/>
        <v>0</v>
      </c>
      <c r="V22" s="671">
        <f t="shared" si="25"/>
        <v>0.42495681058529466</v>
      </c>
      <c r="W22" s="863">
        <f t="shared" si="25"/>
        <v>0</v>
      </c>
      <c r="X22" s="864">
        <f t="shared" si="25"/>
        <v>0.48012175706521437</v>
      </c>
      <c r="Y22" s="865">
        <f t="shared" si="25"/>
        <v>0.49749086262417502</v>
      </c>
      <c r="Z22" s="18"/>
      <c r="AA22" s="863">
        <f>AA12+AA20</f>
        <v>0.17904817290138875</v>
      </c>
      <c r="AB22" s="946">
        <f>AB6+((0.084*(B26+K26+T26+W26))+(0.134*(E26+Q26))+(0.198*H26))/B27</f>
        <v>0.16761258432827908</v>
      </c>
      <c r="AC22" s="865">
        <f>AC12+AC20</f>
        <v>1.1435588573109671E-2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0.17846958857310968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0.2759093885731097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0.17904817290138875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15000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89.6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15089.6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15089.6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6">+B31/$B$41</f>
        <v>#REF!</v>
      </c>
      <c r="D31" s="47"/>
      <c r="F31" s="47"/>
      <c r="AA31" s="906" t="s">
        <v>315</v>
      </c>
      <c r="AB31" s="909">
        <f>SUM(AC31:AD31)</f>
        <v>2529.2068524800002</v>
      </c>
      <c r="AC31" s="909">
        <f>AB12*$AA$26</f>
        <v>2222.05795648</v>
      </c>
      <c r="AD31" s="909">
        <f>AB20*$AA$26</f>
        <v>307.14889600000004</v>
      </c>
      <c r="BJ31" s="837"/>
    </row>
    <row r="32" spans="1:76" ht="15">
      <c r="A32" s="48" t="s">
        <v>187</v>
      </c>
      <c r="B32" s="938">
        <f>'2025 Summary'!D5</f>
        <v>15000</v>
      </c>
      <c r="C32" s="183" t="e">
        <f t="shared" si="26"/>
        <v>#REF!</v>
      </c>
      <c r="D32" s="50">
        <f>B32*1000/600000</f>
        <v>25</v>
      </c>
      <c r="F32" s="709"/>
      <c r="AA32" s="906" t="s">
        <v>316</v>
      </c>
      <c r="AB32" s="910">
        <f>SUM(AC32:AD32)</f>
        <v>172.55845733279568</v>
      </c>
      <c r="AC32" s="910">
        <f>AC12*AA26</f>
        <v>0</v>
      </c>
      <c r="AD32" s="910">
        <f>AC20*AA26</f>
        <v>172.55845733279568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Summary'!E5</f>
        <v>0</v>
      </c>
      <c r="C33" s="183" t="e">
        <f t="shared" si="26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Summary'!F5</f>
        <v>0</v>
      </c>
      <c r="C34" s="183" t="e">
        <f t="shared" si="26"/>
        <v>#REF!</v>
      </c>
      <c r="D34" s="50">
        <f>B34*1000/150000</f>
        <v>0</v>
      </c>
      <c r="F34" s="709"/>
      <c r="AA34" s="912" t="s">
        <v>3</v>
      </c>
      <c r="AB34" s="913">
        <f>SUM(AB31:AB33)</f>
        <v>2701.7653098127957</v>
      </c>
      <c r="AC34" s="913">
        <f>SUM(AC31:AC33)</f>
        <v>2222.05795648</v>
      </c>
      <c r="AD34" s="913">
        <f>SUM(AD31:AD33)</f>
        <v>479.70735333279572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Summary'!G5</f>
        <v>89.6</v>
      </c>
      <c r="C35" s="183" t="e">
        <f t="shared" si="26"/>
        <v>#REF!</v>
      </c>
      <c r="D35" s="50">
        <f>B35*1000/175000</f>
        <v>0.51200000000000001</v>
      </c>
      <c r="F35" s="709"/>
      <c r="AA35" s="912" t="s">
        <v>317</v>
      </c>
      <c r="AB35" s="914">
        <f>SUM(AC35:AD35)</f>
        <v>-18.97428</v>
      </c>
      <c r="AC35" s="914">
        <v>0</v>
      </c>
      <c r="AD35" s="914">
        <f>-AA18*AA26</f>
        <v>-18.97428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Summary'!H5</f>
        <v>0</v>
      </c>
      <c r="C36" s="183" t="e">
        <f t="shared" si="26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2682.7910298127958</v>
      </c>
      <c r="AC36" s="915">
        <f>SUM(AC34:AC35)</f>
        <v>2222.05795648</v>
      </c>
      <c r="AD36" s="915">
        <f>SUM(AD34:AD35)</f>
        <v>460.7330733327957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Summary'!I5</f>
        <v>0</v>
      </c>
      <c r="C37" s="183" t="e">
        <f t="shared" si="26"/>
        <v>#REF!</v>
      </c>
      <c r="D37" s="50">
        <f>B37*1000/150000</f>
        <v>0</v>
      </c>
      <c r="F37" s="709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Summary'!J5</f>
        <v>0</v>
      </c>
      <c r="C38" s="183" t="e">
        <f t="shared" si="26"/>
        <v>#REF!</v>
      </c>
      <c r="D38" s="50">
        <f>B38*1000/150000</f>
        <v>0</v>
      </c>
      <c r="F38" s="709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Summary'!K5</f>
        <v>0</v>
      </c>
      <c r="C39" s="183" t="e">
        <f t="shared" si="26"/>
        <v>#REF!</v>
      </c>
      <c r="D39" s="50"/>
      <c r="F39" s="51"/>
      <c r="AA39" s="906" t="s">
        <v>315</v>
      </c>
      <c r="AB39" s="909">
        <f>SUM(AC39:AD39)</f>
        <v>210.76723770666666</v>
      </c>
      <c r="AC39" s="909">
        <f t="shared" ref="AC39:AD41" si="27">AC31/12</f>
        <v>185.17149637333333</v>
      </c>
      <c r="AD39" s="909">
        <f t="shared" si="27"/>
        <v>25.595741333333336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6"/>
        <v>#REF!</v>
      </c>
      <c r="D40" s="50"/>
      <c r="F40" s="51"/>
      <c r="AA40" s="906" t="s">
        <v>316</v>
      </c>
      <c r="AB40" s="910">
        <f>SUM(AC40:AD40)</f>
        <v>14.37987144439964</v>
      </c>
      <c r="AC40" s="910">
        <f t="shared" si="27"/>
        <v>0</v>
      </c>
      <c r="AD40" s="910">
        <f t="shared" si="27"/>
        <v>14.37987144439964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25.512</v>
      </c>
      <c r="E41" s="1">
        <f>30-D41</f>
        <v>4.4879999999999995</v>
      </c>
      <c r="F41" s="51"/>
      <c r="AA41" s="906" t="s">
        <v>314</v>
      </c>
      <c r="AB41" s="911">
        <f>SUM(AC41:AD41)</f>
        <v>0</v>
      </c>
      <c r="AC41" s="911">
        <f t="shared" si="27"/>
        <v>0</v>
      </c>
      <c r="AD41" s="911">
        <f t="shared" si="27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225.1471091510663</v>
      </c>
      <c r="AC42" s="913">
        <f>SUM(AC39:AC41)</f>
        <v>185.17149637333333</v>
      </c>
      <c r="AD42" s="913">
        <f>SUM(AD39:AD41)</f>
        <v>39.975612777732977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-1.5811900000000001</v>
      </c>
      <c r="AC43" s="917">
        <f>AC35/12</f>
        <v>0</v>
      </c>
      <c r="AD43" s="917">
        <f>AD35/12</f>
        <v>-1.5811900000000001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223.56591915106631</v>
      </c>
      <c r="AC44" s="915">
        <f>SUM(AC42:AC43)</f>
        <v>185.17149637333333</v>
      </c>
      <c r="AD44" s="915">
        <f>SUM(AD42:AD43)</f>
        <v>38.394422777732977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8">B52*E52</f>
        <v>4.4035999999999999E-2</v>
      </c>
      <c r="G52" s="716">
        <v>0</v>
      </c>
      <c r="H52" s="311">
        <f t="shared" ref="H52:H61" si="29">$B52*G52</f>
        <v>0</v>
      </c>
      <c r="I52" s="716">
        <v>2.2000000000000002</v>
      </c>
      <c r="J52" s="311">
        <f t="shared" ref="J52:L61" si="30">$B52*I52</f>
        <v>4.444E-2</v>
      </c>
      <c r="K52" s="888">
        <v>2.2880632333333333</v>
      </c>
      <c r="L52" s="889">
        <f t="shared" si="30"/>
        <v>4.621887731333333E-2</v>
      </c>
      <c r="M52" s="888">
        <f>1781289/745600</f>
        <v>2.3890678648068668</v>
      </c>
      <c r="N52" s="889">
        <f t="shared" ref="N52:N61" si="31">$B52*M52</f>
        <v>4.8259170869098707E-2</v>
      </c>
      <c r="O52" s="716">
        <f>10229046/4674328</f>
        <v>2.1883457900258603</v>
      </c>
      <c r="P52" s="311">
        <f t="shared" ref="P52:P61" si="32">$B52*O52</f>
        <v>4.4204584958522378E-2</v>
      </c>
      <c r="Q52" s="888">
        <f>559444.75/783756</f>
        <v>0.71379963917341627</v>
      </c>
      <c r="R52" s="889">
        <f t="shared" ref="R52:R61" si="33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667.5518239999999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4">IF(B52&lt;&gt;0,D52/B52*1000,0)</f>
        <v>2190</v>
      </c>
      <c r="BI52" s="801">
        <f t="shared" ref="BI52:BI61" si="35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6">IF($B52&lt;&gt;0,P52/$B52*1000,0)</f>
        <v>2188.3457900258604</v>
      </c>
      <c r="BO52" s="801">
        <f t="shared" ref="BO52:BO61" si="37">IF($B52&lt;&gt;0,R52/$B52*1000,0)</f>
        <v>713.79963917341627</v>
      </c>
      <c r="BP52" s="26">
        <f t="shared" ref="BP52:BP61" si="38">BH52*$B$26+BI52*$E$26+BJ52*$H$26</f>
        <v>32850000</v>
      </c>
      <c r="BQ52" s="26">
        <v>202343432</v>
      </c>
      <c r="BR52" s="183">
        <f t="shared" ref="BR52:BR60" si="39">BQ52/BP52</f>
        <v>6.1596174124809737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8"/>
        <v>0</v>
      </c>
      <c r="G53" s="716">
        <v>2.4</v>
      </c>
      <c r="H53" s="311">
        <f t="shared" si="29"/>
        <v>0.6</v>
      </c>
      <c r="I53" s="716">
        <v>0</v>
      </c>
      <c r="J53" s="311">
        <f t="shared" si="30"/>
        <v>0</v>
      </c>
      <c r="K53" s="888"/>
      <c r="L53" s="889">
        <f t="shared" si="30"/>
        <v>0</v>
      </c>
      <c r="M53" s="888">
        <v>0</v>
      </c>
      <c r="N53" s="889">
        <f t="shared" si="31"/>
        <v>0</v>
      </c>
      <c r="O53" s="716">
        <f>3334227/4674328</f>
        <v>0.71330616935739211</v>
      </c>
      <c r="P53" s="311">
        <f t="shared" si="32"/>
        <v>0.17832654233934803</v>
      </c>
      <c r="Q53" s="888">
        <f>1729064.25/783756</f>
        <v>2.2061256947315235</v>
      </c>
      <c r="R53" s="889">
        <f t="shared" si="33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40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4"/>
        <v>0</v>
      </c>
      <c r="BI53" s="801">
        <f t="shared" si="35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6"/>
        <v>713.30616935739215</v>
      </c>
      <c r="BO53" s="801">
        <f t="shared" si="37"/>
        <v>2206.1256947315237</v>
      </c>
      <c r="BP53" s="26">
        <f t="shared" si="38"/>
        <v>0</v>
      </c>
      <c r="BQ53" s="26">
        <v>0</v>
      </c>
      <c r="BR53" s="183" t="e">
        <f t="shared" si="39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41">B54*C54</f>
        <v>0</v>
      </c>
      <c r="E54" s="716">
        <v>0</v>
      </c>
      <c r="F54" s="311">
        <f t="shared" si="28"/>
        <v>0</v>
      </c>
      <c r="G54" s="716">
        <v>0</v>
      </c>
      <c r="H54" s="311">
        <f t="shared" si="29"/>
        <v>0</v>
      </c>
      <c r="I54" s="716">
        <v>0</v>
      </c>
      <c r="J54" s="311">
        <f t="shared" si="30"/>
        <v>0</v>
      </c>
      <c r="K54" s="888"/>
      <c r="L54" s="889">
        <f t="shared" si="30"/>
        <v>0</v>
      </c>
      <c r="M54" s="888">
        <v>0</v>
      </c>
      <c r="N54" s="889">
        <f t="shared" si="31"/>
        <v>0</v>
      </c>
      <c r="O54" s="716">
        <v>0</v>
      </c>
      <c r="P54" s="311">
        <f t="shared" si="32"/>
        <v>0</v>
      </c>
      <c r="Q54" s="888">
        <v>0</v>
      </c>
      <c r="R54" s="889">
        <f t="shared" si="33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40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4"/>
        <v>0</v>
      </c>
      <c r="BI54" s="801">
        <f t="shared" si="35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6"/>
        <v>0</v>
      </c>
      <c r="BO54" s="801">
        <f t="shared" si="37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41"/>
        <v>0</v>
      </c>
      <c r="E55" s="716">
        <v>0</v>
      </c>
      <c r="F55" s="311">
        <f t="shared" si="28"/>
        <v>0</v>
      </c>
      <c r="G55" s="716">
        <v>0</v>
      </c>
      <c r="H55" s="311">
        <f t="shared" si="29"/>
        <v>0</v>
      </c>
      <c r="I55" s="716">
        <v>0</v>
      </c>
      <c r="J55" s="311">
        <f t="shared" si="30"/>
        <v>0</v>
      </c>
      <c r="K55" s="888"/>
      <c r="L55" s="889">
        <f t="shared" si="30"/>
        <v>0</v>
      </c>
      <c r="M55" s="888">
        <v>0</v>
      </c>
      <c r="N55" s="889">
        <f t="shared" si="31"/>
        <v>0</v>
      </c>
      <c r="O55" s="716">
        <v>0</v>
      </c>
      <c r="P55" s="311">
        <f t="shared" si="32"/>
        <v>0</v>
      </c>
      <c r="Q55" s="888">
        <v>0</v>
      </c>
      <c r="R55" s="889">
        <f t="shared" si="33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40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4"/>
        <v>0</v>
      </c>
      <c r="BI55" s="801">
        <f t="shared" si="35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6"/>
        <v>0</v>
      </c>
      <c r="BO55" s="801">
        <f t="shared" si="37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41"/>
        <v>2.7084E-2</v>
      </c>
      <c r="E56" s="716">
        <v>0</v>
      </c>
      <c r="F56" s="311">
        <f t="shared" si="28"/>
        <v>0</v>
      </c>
      <c r="G56" s="716">
        <v>0</v>
      </c>
      <c r="H56" s="311">
        <f t="shared" si="29"/>
        <v>0</v>
      </c>
      <c r="I56" s="716">
        <v>0.01</v>
      </c>
      <c r="J56" s="311">
        <f t="shared" si="30"/>
        <v>2.2570000000000003E-2</v>
      </c>
      <c r="K56" s="888">
        <v>1.0276841666666666E-2</v>
      </c>
      <c r="L56" s="889">
        <f t="shared" si="30"/>
        <v>2.3194831641666667E-2</v>
      </c>
      <c r="M56" s="888">
        <v>0</v>
      </c>
      <c r="N56" s="889">
        <f t="shared" si="31"/>
        <v>0</v>
      </c>
      <c r="O56" s="716">
        <f>69706/4674328</f>
        <v>1.491251790631723E-2</v>
      </c>
      <c r="P56" s="311">
        <f t="shared" si="32"/>
        <v>3.3657552914557992E-2</v>
      </c>
      <c r="Q56" s="888">
        <f>12367.22/783756</f>
        <v>1.5779426250006379E-2</v>
      </c>
      <c r="R56" s="889">
        <f t="shared" si="33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40"/>
        <v>408.28227199999998</v>
      </c>
      <c r="AJ56" s="312">
        <f t="shared" ref="AJ56:AJ61" si="42">B56*1000</f>
        <v>2257</v>
      </c>
      <c r="AK56" s="256" t="s">
        <v>12</v>
      </c>
      <c r="AL56" s="255" t="s">
        <v>155</v>
      </c>
      <c r="BH56" s="801">
        <f t="shared" si="34"/>
        <v>12</v>
      </c>
      <c r="BI56" s="801">
        <f t="shared" si="35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6"/>
        <v>14.912517906317232</v>
      </c>
      <c r="BO56" s="801">
        <f t="shared" si="37"/>
        <v>15.779426250006379</v>
      </c>
      <c r="BP56" s="26">
        <f t="shared" si="38"/>
        <v>180000</v>
      </c>
      <c r="BQ56" s="26">
        <v>101933</v>
      </c>
      <c r="BR56" s="183">
        <f t="shared" si="39"/>
        <v>0.56629444444444443</v>
      </c>
      <c r="BS56" s="341">
        <f>143105.19/BQ56</f>
        <v>1.4039142377836422</v>
      </c>
      <c r="BT56" s="341">
        <f>143105.19/BR56</f>
        <v>252704.56280105561</v>
      </c>
      <c r="BU56" s="341"/>
      <c r="BV56" s="341">
        <f>143105.19/BS56</f>
        <v>101933</v>
      </c>
      <c r="BW56" s="341">
        <f>143105.19/BT56</f>
        <v>0.56629444444444443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41"/>
        <v>9.0000000000000011E-3</v>
      </c>
      <c r="E57" s="716">
        <v>1.2999999999999999E-2</v>
      </c>
      <c r="F57" s="311">
        <f t="shared" si="28"/>
        <v>9.75E-3</v>
      </c>
      <c r="G57" s="716">
        <v>0.05</v>
      </c>
      <c r="H57" s="311">
        <f t="shared" si="29"/>
        <v>3.7500000000000006E-2</v>
      </c>
      <c r="I57" s="716">
        <v>1.2999999999999999E-2</v>
      </c>
      <c r="J57" s="311">
        <f t="shared" si="30"/>
        <v>9.75E-3</v>
      </c>
      <c r="K57" s="888">
        <v>8.8472583333333334E-3</v>
      </c>
      <c r="L57" s="889">
        <f t="shared" si="30"/>
        <v>6.63544375E-3</v>
      </c>
      <c r="M57" s="888">
        <f>12051.2/745600</f>
        <v>1.6163090128755365E-2</v>
      </c>
      <c r="N57" s="889">
        <f t="shared" si="31"/>
        <v>1.2122317596566524E-2</v>
      </c>
      <c r="O57" s="716">
        <f>131000/4674328</f>
        <v>2.8025418840954251E-2</v>
      </c>
      <c r="P57" s="311">
        <f t="shared" si="32"/>
        <v>2.1019064130715689E-2</v>
      </c>
      <c r="Q57" s="888">
        <f>11579.528/783756</f>
        <v>1.4774404278882713E-2</v>
      </c>
      <c r="R57" s="889">
        <f t="shared" si="33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40"/>
        <v>135.87360000000004</v>
      </c>
      <c r="AJ57" s="312">
        <f t="shared" si="42"/>
        <v>750</v>
      </c>
      <c r="AK57" s="256" t="s">
        <v>12</v>
      </c>
      <c r="AL57" s="255" t="s">
        <v>156</v>
      </c>
      <c r="BH57" s="801">
        <f t="shared" si="34"/>
        <v>12.000000000000002</v>
      </c>
      <c r="BI57" s="801">
        <f t="shared" si="35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6"/>
        <v>28.025418840954252</v>
      </c>
      <c r="BO57" s="801">
        <f t="shared" si="37"/>
        <v>14.774404278882713</v>
      </c>
      <c r="BP57" s="26">
        <f t="shared" si="38"/>
        <v>180000.00000000003</v>
      </c>
      <c r="BQ57" s="26">
        <v>84108</v>
      </c>
      <c r="BR57" s="183">
        <f t="shared" si="39"/>
        <v>0.46726666666666661</v>
      </c>
      <c r="BS57" s="341">
        <f>38613.79/BQ57</f>
        <v>0.45909770770913588</v>
      </c>
      <c r="BT57" s="341">
        <f>38613.79/BR57</f>
        <v>82637.587387644468</v>
      </c>
      <c r="BU57" s="341"/>
      <c r="BV57" s="341">
        <f>38613.79/BS57</f>
        <v>84108</v>
      </c>
      <c r="BW57" s="341">
        <f>38613.79/BT57</f>
        <v>0.46726666666666661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41"/>
        <v>2.712E-3</v>
      </c>
      <c r="E58" s="716">
        <v>1.2E-2</v>
      </c>
      <c r="F58" s="311">
        <f t="shared" si="28"/>
        <v>2.712E-3</v>
      </c>
      <c r="G58" s="716">
        <v>0</v>
      </c>
      <c r="H58" s="311">
        <f t="shared" si="29"/>
        <v>0</v>
      </c>
      <c r="I58" s="716">
        <v>1.1299999999999999E-2</v>
      </c>
      <c r="J58" s="311">
        <f t="shared" si="30"/>
        <v>2.5537999999999997E-3</v>
      </c>
      <c r="K58" s="888">
        <v>9.8592666666666665E-3</v>
      </c>
      <c r="L58" s="889">
        <f t="shared" si="30"/>
        <v>2.2281942666666668E-3</v>
      </c>
      <c r="M58" s="888">
        <f>8236.2/745600</f>
        <v>1.1046405579399142E-2</v>
      </c>
      <c r="N58" s="889">
        <f t="shared" si="31"/>
        <v>2.496487660944206E-3</v>
      </c>
      <c r="O58" s="716">
        <f>72861/4674328</f>
        <v>1.5587481237944791E-2</v>
      </c>
      <c r="P58" s="311">
        <f t="shared" si="32"/>
        <v>3.522770759775523E-3</v>
      </c>
      <c r="Q58" s="888">
        <f>7307.749/783756</f>
        <v>9.32401027870919E-3</v>
      </c>
      <c r="R58" s="889">
        <f t="shared" si="33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40"/>
        <v>40.908820480000003</v>
      </c>
      <c r="AJ58" s="312">
        <f t="shared" si="42"/>
        <v>226</v>
      </c>
      <c r="AK58" s="256" t="s">
        <v>12</v>
      </c>
      <c r="AL58" s="255" t="s">
        <v>157</v>
      </c>
      <c r="BH58" s="801">
        <f t="shared" si="34"/>
        <v>12</v>
      </c>
      <c r="BI58" s="801">
        <f t="shared" si="35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6"/>
        <v>15.587481237944793</v>
      </c>
      <c r="BO58" s="801">
        <f t="shared" si="37"/>
        <v>9.3240102787091903</v>
      </c>
      <c r="BP58" s="26">
        <f t="shared" si="38"/>
        <v>180000</v>
      </c>
      <c r="BQ58" s="26">
        <v>47388</v>
      </c>
      <c r="BR58" s="183">
        <f t="shared" si="39"/>
        <v>0.26326666666666665</v>
      </c>
      <c r="BS58" s="341">
        <f>2705.86/BQ58</f>
        <v>5.710010973242171E-2</v>
      </c>
      <c r="BT58" s="341">
        <f>2705.86/BR58</f>
        <v>10278.019751835909</v>
      </c>
      <c r="BU58" s="341"/>
      <c r="BV58" s="341">
        <f>2705.86/BS58</f>
        <v>47388</v>
      </c>
      <c r="BW58" s="341">
        <f>2705.86/BT58</f>
        <v>0.26326666666666665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41"/>
        <v>0</v>
      </c>
      <c r="E59" s="716">
        <v>0.1641</v>
      </c>
      <c r="F59" s="311">
        <f t="shared" si="28"/>
        <v>2.5927800000000001E-2</v>
      </c>
      <c r="G59" s="716">
        <v>0.24</v>
      </c>
      <c r="H59" s="311">
        <f t="shared" si="29"/>
        <v>3.7920000000000002E-2</v>
      </c>
      <c r="I59" s="716">
        <v>0</v>
      </c>
      <c r="J59" s="311">
        <f t="shared" si="30"/>
        <v>0</v>
      </c>
      <c r="K59" s="888"/>
      <c r="L59" s="889">
        <f t="shared" si="30"/>
        <v>0</v>
      </c>
      <c r="M59" s="888">
        <f>127002/745600</f>
        <v>0.17033530042918454</v>
      </c>
      <c r="N59" s="889">
        <f t="shared" si="31"/>
        <v>2.6912977467811159E-2</v>
      </c>
      <c r="O59" s="716">
        <v>0</v>
      </c>
      <c r="P59" s="311">
        <f t="shared" si="32"/>
        <v>0</v>
      </c>
      <c r="Q59" s="888">
        <v>0</v>
      </c>
      <c r="R59" s="889">
        <f t="shared" si="33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40"/>
        <v>0</v>
      </c>
      <c r="AJ59" s="312">
        <f t="shared" si="42"/>
        <v>158</v>
      </c>
      <c r="AK59" s="256" t="s">
        <v>12</v>
      </c>
      <c r="AL59" s="255" t="s">
        <v>231</v>
      </c>
      <c r="BH59" s="801">
        <f t="shared" si="34"/>
        <v>0</v>
      </c>
      <c r="BI59" s="801">
        <f t="shared" si="35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6"/>
        <v>0</v>
      </c>
      <c r="BO59" s="801">
        <f t="shared" si="37"/>
        <v>0</v>
      </c>
      <c r="BP59" s="26">
        <f t="shared" si="38"/>
        <v>0</v>
      </c>
      <c r="BQ59" s="26">
        <v>560786</v>
      </c>
      <c r="BR59" s="183" t="e">
        <f t="shared" si="39"/>
        <v>#DIV/0!</v>
      </c>
      <c r="BS59" s="341">
        <f>49077.4/BQ59</f>
        <v>8.7515380198507103E-2</v>
      </c>
      <c r="BT59" s="341" t="e">
        <f>49077.4/BR59</f>
        <v>#DIV/0!</v>
      </c>
      <c r="BU59" s="341"/>
      <c r="BV59" s="341">
        <f>49077.4/BS59</f>
        <v>560786</v>
      </c>
      <c r="BW59" s="341" t="e">
        <f>49077.4/BT59</f>
        <v>#DIV/0!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41"/>
        <v>0</v>
      </c>
      <c r="E60" s="716">
        <v>0.01</v>
      </c>
      <c r="F60" s="311">
        <f t="shared" si="28"/>
        <v>9.1990000000000002E-2</v>
      </c>
      <c r="G60" s="716">
        <v>1.43E-2</v>
      </c>
      <c r="H60" s="311">
        <f t="shared" si="29"/>
        <v>0.13154569999999999</v>
      </c>
      <c r="I60" s="716">
        <v>0</v>
      </c>
      <c r="J60" s="311">
        <f t="shared" si="30"/>
        <v>0</v>
      </c>
      <c r="K60" s="888"/>
      <c r="L60" s="889">
        <f t="shared" si="30"/>
        <v>0</v>
      </c>
      <c r="M60" s="888">
        <f>4610.8/745600</f>
        <v>6.184012875536481E-3</v>
      </c>
      <c r="N60" s="889">
        <f t="shared" si="31"/>
        <v>5.6886734442060091E-2</v>
      </c>
      <c r="O60" s="716">
        <v>0</v>
      </c>
      <c r="P60" s="311">
        <f t="shared" si="32"/>
        <v>0</v>
      </c>
      <c r="Q60" s="901">
        <v>0</v>
      </c>
      <c r="R60" s="889">
        <f t="shared" si="33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40"/>
        <v>0</v>
      </c>
      <c r="AJ60" s="312">
        <f t="shared" si="42"/>
        <v>9199</v>
      </c>
      <c r="AK60" s="256" t="s">
        <v>12</v>
      </c>
      <c r="AL60" s="255" t="s">
        <v>232</v>
      </c>
      <c r="BH60" s="801">
        <f t="shared" si="34"/>
        <v>0</v>
      </c>
      <c r="BI60" s="801">
        <f t="shared" si="35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6"/>
        <v>0</v>
      </c>
      <c r="BO60" s="801">
        <f t="shared" si="37"/>
        <v>0</v>
      </c>
      <c r="BP60" s="26">
        <f t="shared" si="38"/>
        <v>0</v>
      </c>
      <c r="BQ60" s="26">
        <v>208883</v>
      </c>
      <c r="BR60" s="183" t="e">
        <f t="shared" si="39"/>
        <v>#DIV/0!</v>
      </c>
      <c r="BS60" s="341">
        <f>1269211.15/BQ60</f>
        <v>6.0761821210917111</v>
      </c>
      <c r="BT60" s="341" t="e">
        <f>1269211.15/BR60</f>
        <v>#DIV/0!</v>
      </c>
      <c r="BU60" s="341"/>
      <c r="BV60" s="341">
        <f>1269211.15/BS60</f>
        <v>208883</v>
      </c>
      <c r="BW60" s="341" t="e">
        <f>1269211.15/BT60</f>
        <v>#DIV/0!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41"/>
        <v>0</v>
      </c>
      <c r="E61" s="711">
        <v>0</v>
      </c>
      <c r="F61" s="311">
        <f t="shared" si="28"/>
        <v>0</v>
      </c>
      <c r="G61" s="711">
        <v>0</v>
      </c>
      <c r="H61" s="311">
        <f t="shared" si="29"/>
        <v>0</v>
      </c>
      <c r="I61" s="904">
        <v>4.0000000000000001E-3</v>
      </c>
      <c r="J61" s="311">
        <f t="shared" si="30"/>
        <v>0.10116</v>
      </c>
      <c r="K61" s="888">
        <v>0.16275833333333334</v>
      </c>
      <c r="L61" s="889">
        <f t="shared" si="30"/>
        <v>4.1161582499999998</v>
      </c>
      <c r="M61" s="888">
        <f>3511/745600</f>
        <v>4.7089592274678115E-3</v>
      </c>
      <c r="N61" s="889">
        <f t="shared" si="31"/>
        <v>0.11908957886266094</v>
      </c>
      <c r="O61" s="716">
        <v>0</v>
      </c>
      <c r="P61" s="311">
        <f t="shared" si="32"/>
        <v>0</v>
      </c>
      <c r="Q61" s="901">
        <v>0</v>
      </c>
      <c r="R61" s="889">
        <f t="shared" si="33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40"/>
        <v>9.063936</v>
      </c>
      <c r="AJ61" s="312">
        <f t="shared" si="42"/>
        <v>25290</v>
      </c>
      <c r="AK61" s="256" t="s">
        <v>12</v>
      </c>
      <c r="AL61" s="255" t="s">
        <v>472</v>
      </c>
      <c r="BH61" s="801">
        <f t="shared" si="34"/>
        <v>0</v>
      </c>
      <c r="BI61" s="801">
        <f t="shared" si="35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6"/>
        <v>0</v>
      </c>
      <c r="BO61" s="801">
        <f t="shared" si="37"/>
        <v>0</v>
      </c>
      <c r="BP61" s="26">
        <f t="shared" si="38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667.5518239999999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594.12862848000009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1261.68045248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292487.40671038616</v>
      </c>
      <c r="BB75" s="841">
        <f>($F$78+$F$80+$F$82+$F$86-$F$88)/$B$27*($E$26+$H$26)</f>
        <v>0</v>
      </c>
      <c r="BC75" s="841"/>
      <c r="BD75" s="841"/>
      <c r="BE75" s="841"/>
      <c r="BF75" s="841"/>
      <c r="BG75" s="841"/>
      <c r="BH75" s="841"/>
      <c r="BI75" s="841">
        <f>SUM(BA75:BB75)</f>
        <v>292487.40671038616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>
        <f>$BJ$77*BK77*$B$26</f>
        <v>0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#VALUE!</v>
      </c>
      <c r="BA77" s="933">
        <f>SUM(BA75:BA76)</f>
        <v>292487.40671038616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>
        <f>BA77/$B$26</f>
        <v>19.499160447359078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3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3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3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4">C80/(C78+C79-C81)</f>
        <v>0.27848817587006269</v>
      </c>
      <c r="D82" s="965">
        <f t="shared" si="44"/>
        <v>0.24311734130656118</v>
      </c>
      <c r="E82" s="965">
        <f t="shared" si="44"/>
        <v>0.27040870278453222</v>
      </c>
      <c r="F82" s="966">
        <f t="shared" si="44"/>
        <v>0.35847571684564966</v>
      </c>
      <c r="G82" s="966">
        <f t="shared" si="44"/>
        <v>0.25901477908247422</v>
      </c>
      <c r="H82" s="967">
        <f t="shared" si="44"/>
        <v>0.24352014958814844</v>
      </c>
      <c r="I82" s="26"/>
      <c r="AF82" s="240"/>
      <c r="AG82" s="240"/>
      <c r="AH82" s="819">
        <f t="shared" si="43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3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3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 t="e">
        <f>($B$79+$B$81+$B$84)/($E$26+$H$26)*($E$26+$H$26)</f>
        <v>#DIV/0!</v>
      </c>
      <c r="BC93" s="929"/>
      <c r="BD93" s="929"/>
      <c r="BE93" s="929"/>
      <c r="BF93" s="929"/>
      <c r="BG93" s="929"/>
      <c r="BH93" s="929"/>
      <c r="BI93" s="929" t="e">
        <f>SUM(BA93:BB93)</f>
        <v>#DIV/0!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2559196.1600000001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89028.64</v>
      </c>
      <c r="D108" s="347">
        <v>4.2</v>
      </c>
      <c r="F108" s="49" t="s">
        <v>109</v>
      </c>
      <c r="G108" s="147">
        <f>(B114*($B$26+$K$26+$T$26+$W$26)+F114*($E$26+$H$26+$Q$26))*1000</f>
        <v>0</v>
      </c>
      <c r="H108" s="753">
        <v>0.1</v>
      </c>
      <c r="L108" s="65"/>
    </row>
    <row r="109" spans="1:50">
      <c r="A109" s="48"/>
      <c r="B109" s="49"/>
      <c r="C109" s="49">
        <f>SUM(C107:C108)</f>
        <v>89028.64</v>
      </c>
      <c r="D109" s="80">
        <f>(C107*D107+C108*D108)/C109</f>
        <v>4.2</v>
      </c>
      <c r="F109" s="49"/>
      <c r="G109" s="49">
        <f>SUM(G107:G108)</f>
        <v>2559196.1600000001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5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6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5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6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5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6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5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6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7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5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6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7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5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6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5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6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5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6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5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6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8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8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9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8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9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8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9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8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9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8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9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8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9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8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9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3.6445714285714286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B111:D111"/>
    <mergeCell ref="F111:H111"/>
    <mergeCell ref="B164:C164"/>
    <mergeCell ref="B167:D167"/>
    <mergeCell ref="F167:H167"/>
    <mergeCell ref="B160:D160"/>
    <mergeCell ref="B161:C161"/>
    <mergeCell ref="B162:C162"/>
    <mergeCell ref="B163:C163"/>
    <mergeCell ref="B70:D70"/>
    <mergeCell ref="F70:H70"/>
    <mergeCell ref="B76:D76"/>
    <mergeCell ref="F76:H76"/>
    <mergeCell ref="E98:F98"/>
    <mergeCell ref="G98:H98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C30E-F1EA-481D-98D2-FFB46B19ED32}">
  <dimension ref="A1:BX176"/>
  <sheetViews>
    <sheetView topLeftCell="I1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0.17441579999999998</v>
      </c>
      <c r="F6" s="666">
        <v>0.25409999999999999</v>
      </c>
      <c r="G6" s="667">
        <v>0.14867672424785575</v>
      </c>
      <c r="H6" s="668">
        <f>IF(H26&lt;&gt;0,$H$66,0)</f>
        <v>0.80696570000000001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0.59611573333333334</v>
      </c>
      <c r="AB6" s="854">
        <f>AA6</f>
        <v>0.59611573333333334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7.6520000000000005E-2</v>
      </c>
      <c r="F7" s="251">
        <v>8.4099999999999994E-2</v>
      </c>
      <c r="G7" s="674">
        <v>8.8307347015228521E-2</v>
      </c>
      <c r="H7" s="672">
        <f>IF(H26&lt;&gt;0,$H$115,0)</f>
        <v>7.6520000000000005E-2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7.6520000000000005E-2</v>
      </c>
      <c r="AB7" s="857">
        <f>AA7</f>
        <v>7.6520000000000005E-2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>
        <f>ROUND(AY7/$E$26,3)</f>
        <v>0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2.9820000000000003E-2</v>
      </c>
      <c r="F8" s="251">
        <v>2.8799999999999999E-2</v>
      </c>
      <c r="G8" s="673">
        <v>4.3356204375992288E-2</v>
      </c>
      <c r="H8" s="675">
        <f>IF($H$26&lt;&gt;0,$H$120,0)</f>
        <v>2.9820000000000003E-2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2.9819999999999999E-2</v>
      </c>
      <c r="AB8" s="857">
        <f t="shared" ref="AB8:AB11" si="1">AA8</f>
        <v>2.9819999999999999E-2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>
        <f>ROUND(AY8/$E$26,3)</f>
        <v>0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4.3584139259259261E-2</v>
      </c>
      <c r="F9" s="251">
        <v>4.19E-2</v>
      </c>
      <c r="G9" s="673">
        <v>2.5157232704402517E-2</v>
      </c>
      <c r="H9" s="675">
        <f>IF(H26&lt;&gt;0,$B$133/$B$27/1000,0)</f>
        <v>4.3584139259259261E-2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4.3584139259259268E-2</v>
      </c>
      <c r="AB9" s="857">
        <f t="shared" si="1"/>
        <v>4.3584139259259268E-2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>
        <f>ROUND(AY9/$E$26,3)</f>
        <v>0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8.8836970370370361E-3</v>
      </c>
      <c r="F10" s="251">
        <v>4.1000000000000003E-3</v>
      </c>
      <c r="G10" s="673">
        <v>4.1928721174004195E-3</v>
      </c>
      <c r="H10" s="675">
        <f>IF(H26&lt;&gt;0,$B$134/$B$27/1000,0)</f>
        <v>8.8836970370370361E-3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8.8836970370370361E-3</v>
      </c>
      <c r="AB10" s="857">
        <f t="shared" si="1"/>
        <v>8.8836970370370361E-3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>
        <f>ROUND(AY10/$E$26,3)</f>
        <v>0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2.0984963703703705E-2</v>
      </c>
      <c r="F11" s="677">
        <v>2.8199999999999999E-2</v>
      </c>
      <c r="G11" s="680">
        <v>8.385744234800839E-3</v>
      </c>
      <c r="H11" s="677">
        <f>IF(H26&lt;&gt;0,$B$135/$B$27/1000,0)</f>
        <v>2.0984963703703705E-2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2.0984963703703705E-2</v>
      </c>
      <c r="AB11" s="875">
        <f t="shared" si="1"/>
        <v>2.0984963703703705E-2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>
        <f>ROUND(AY11/$E$26,3)</f>
        <v>0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0.35420859999999998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0.98675850000000009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0.77590853333333343</v>
      </c>
      <c r="AB12" s="857">
        <f>SUM(AB6:AB11)</f>
        <v>0.77590853333333343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5.4750443034647552E-2</v>
      </c>
      <c r="F14" s="251">
        <v>8.2100000000000006E-2</v>
      </c>
      <c r="G14" s="673">
        <v>1.509433962264151E-2</v>
      </c>
      <c r="H14" s="675">
        <f>IF(H26&lt;&gt;0,$F$91/$B$27/1000,0)</f>
        <v>5.4750443034647552E-2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5.4750443034647545E-2</v>
      </c>
      <c r="AB14" s="857">
        <f>AB22-AB12</f>
        <v>-3.1261333333334473E-3</v>
      </c>
      <c r="AC14" s="858">
        <f>AA14-AB14</f>
        <v>5.7876576367980992E-2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>
        <f t="shared" ref="BI14:BI19" si="15">ROUND(AY14/$E$26,3)</f>
        <v>0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1.857056012345679E-2</v>
      </c>
      <c r="F15" s="251">
        <v>2.64E-2</v>
      </c>
      <c r="G15" s="673">
        <v>5.1091398605179221E-3</v>
      </c>
      <c r="H15" s="675">
        <f>IF(H26&lt;&gt;0,$F$92/$B$27/1000,0)</f>
        <v>1.857056012345679E-2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1.857056012345679E-2</v>
      </c>
      <c r="AB15" s="857">
        <f>AB22-AB12-AB14</f>
        <v>0</v>
      </c>
      <c r="AC15" s="858">
        <f>AA15-AB15</f>
        <v>1.857056012345679E-2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>
        <f t="shared" si="15"/>
        <v>0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2.1263090915850259E-2</v>
      </c>
      <c r="F16" s="251">
        <v>2.9600000000000001E-2</v>
      </c>
      <c r="G16" s="674">
        <v>7.0087902615373447E-3</v>
      </c>
      <c r="H16" s="675">
        <f>IF(H26&lt;&gt;0,$F$94/$B$27/1000,0)</f>
        <v>2.1263090915850259E-2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2.1263090915850259E-2</v>
      </c>
      <c r="AB16" s="857">
        <f>AB22-AB12-AB14-AB15</f>
        <v>0</v>
      </c>
      <c r="AC16" s="858">
        <f t="shared" ref="AC16:AC19" si="20">AA16-AB16</f>
        <v>2.1263090915850259E-2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>
        <f t="shared" si="15"/>
        <v>0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>
        <f t="shared" si="15"/>
        <v>0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4.2165066666666673E-3</v>
      </c>
      <c r="F18" s="251">
        <v>8.0999999999999996E-3</v>
      </c>
      <c r="G18" s="673">
        <v>9.9233643942421633E-4</v>
      </c>
      <c r="H18" s="675">
        <f>IF(H26&lt;&gt;0,$B$148/$B$27/1000,0)</f>
        <v>4.2165066666666673E-3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4.2165066666666673E-3</v>
      </c>
      <c r="AB18" s="857">
        <f>AB22-AB12-AB14-AB15-AB16-AB17-AB19</f>
        <v>0</v>
      </c>
      <c r="AC18" s="858">
        <f>AA18-AB18</f>
        <v>4.2165066666666673E-3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>
        <f>ROUND(AY18/$E$26,3)</f>
        <v>0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7.8010333333333338E-3</v>
      </c>
      <c r="F19" s="252">
        <v>1.52E-2</v>
      </c>
      <c r="G19" s="680">
        <v>7.2955974842767298E-3</v>
      </c>
      <c r="H19" s="680">
        <f>IF(H26&lt;&gt;0,$B$149/$B$27/1000,0)</f>
        <v>7.8010333333333338E-3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7.8010333333333346E-3</v>
      </c>
      <c r="AB19" s="861">
        <f>AB22-AB12-AB14-AB15-AB16-AB17</f>
        <v>0</v>
      </c>
      <c r="AC19" s="862">
        <f t="shared" si="20"/>
        <v>7.8010333333333346E-3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>
        <f t="shared" si="15"/>
        <v>0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0.10660163407395459</v>
      </c>
      <c r="F20" s="251">
        <f t="shared" si="21"/>
        <v>0.16187209510473358</v>
      </c>
      <c r="G20" s="673">
        <v>3.7593788574058103E-2</v>
      </c>
      <c r="H20" s="675">
        <f t="shared" si="21"/>
        <v>0.10660163407395459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0.10660163407395458</v>
      </c>
      <c r="AB20" s="857">
        <f>SUM(AB14:AB19)</f>
        <v>-3.1261333333334473E-3</v>
      </c>
      <c r="AC20" s="858">
        <f>SUM(AC14:AC19)</f>
        <v>0.10972776740728803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0.46081023407395461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1.0933601340739547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0.88251016740728805</v>
      </c>
      <c r="AB22" s="946">
        <f>AB6+((0.084*(B26+K26+T26+W26))+(0.134*(E26+Q26))+(0.198*H26))/B27</f>
        <v>0.77278239999999998</v>
      </c>
      <c r="AC22" s="865">
        <f>AC12+AC20</f>
        <v>0.10972776740728803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0.46081023407395461</v>
      </c>
      <c r="F24" s="846">
        <f>+F22+F23</f>
        <v>0.58557609710011727</v>
      </c>
      <c r="G24" s="756"/>
      <c r="H24" s="669">
        <f>+H22+H23</f>
        <v>1.0933601340739547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0.88251016740728794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1500</v>
      </c>
      <c r="F26" s="26">
        <v>9975</v>
      </c>
      <c r="G26" s="77">
        <v>10100</v>
      </c>
      <c r="H26" s="331">
        <f>+B34</f>
        <v>3000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4500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4500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3477.5208000000002</v>
      </c>
      <c r="AC31" s="909">
        <f>AB12*$AA$26</f>
        <v>3491.5884000000005</v>
      </c>
      <c r="AD31" s="909">
        <f>AB20*$AA$26</f>
        <v>-14.067600000000514</v>
      </c>
      <c r="BJ31" s="837"/>
    </row>
    <row r="32" spans="1:76" ht="15">
      <c r="A32" s="48" t="s">
        <v>187</v>
      </c>
      <c r="B32" s="938">
        <f>'2025 Summary'!D6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>
        <f>SUM(AC32:AD32)</f>
        <v>493.77495333279614</v>
      </c>
      <c r="AC32" s="910">
        <f>AC12*AA26</f>
        <v>0</v>
      </c>
      <c r="AD32" s="910">
        <f>AC20*AA26</f>
        <v>493.77495333279614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Summary'!E6</f>
        <v>1500</v>
      </c>
      <c r="C33" s="183" t="e">
        <f t="shared" si="24"/>
        <v>#REF!</v>
      </c>
      <c r="D33" s="50">
        <f>B33*1000/150000</f>
        <v>10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Summary'!F6</f>
        <v>3000</v>
      </c>
      <c r="C34" s="183" t="e">
        <f t="shared" si="24"/>
        <v>#REF!</v>
      </c>
      <c r="D34" s="50">
        <f>B34*1000/150000</f>
        <v>20</v>
      </c>
      <c r="F34" s="709"/>
      <c r="AA34" s="912" t="s">
        <v>3</v>
      </c>
      <c r="AB34" s="913">
        <f>SUM(AB31:AB33)</f>
        <v>3971.2957533327963</v>
      </c>
      <c r="AC34" s="913">
        <f>SUM(AC31:AC33)</f>
        <v>3491.5884000000005</v>
      </c>
      <c r="AD34" s="913">
        <f>SUM(AD31:AD33)</f>
        <v>479.70735333279561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Summary'!G6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Summary'!H6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3952.3214733327964</v>
      </c>
      <c r="AC36" s="915">
        <f>SUM(AC34:AC35)</f>
        <v>3491.5884000000005</v>
      </c>
      <c r="AD36" s="915">
        <f>SUM(AD34:AD35)</f>
        <v>460.73307333279558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Summary'!I6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Summary'!J6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Summary'!K6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289.79339999999996</v>
      </c>
      <c r="AC39" s="909">
        <f t="shared" ref="AC39:AD41" si="25">AC31/12</f>
        <v>290.96570000000003</v>
      </c>
      <c r="AD39" s="909">
        <f t="shared" si="25"/>
        <v>-1.1723000000000428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41.147912777733012</v>
      </c>
      <c r="AC40" s="910">
        <f t="shared" si="25"/>
        <v>0</v>
      </c>
      <c r="AD40" s="910">
        <f t="shared" si="25"/>
        <v>41.147912777733012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30</v>
      </c>
      <c r="E41" s="1">
        <f>30-D41</f>
        <v>0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330.94131277773295</v>
      </c>
      <c r="AC42" s="913">
        <f>SUM(AC39:AC41)</f>
        <v>290.96570000000003</v>
      </c>
      <c r="AD42" s="913">
        <f>SUM(AD39:AD41)</f>
        <v>39.97561277773297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329.36012277773295</v>
      </c>
      <c r="AC44" s="915">
        <f>SUM(AC42:AC43)</f>
        <v>290.96570000000003</v>
      </c>
      <c r="AD44" s="915">
        <f>SUM(AD42:AD43)</f>
        <v>38.39442277773297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66.054000000000002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3270000</v>
      </c>
      <c r="BQ52" s="26">
        <v>202343432</v>
      </c>
      <c r="BR52" s="183">
        <f t="shared" ref="BR52:BR60" si="37">BQ52/BP52</f>
        <v>61.878725382262999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1800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7200000</v>
      </c>
      <c r="BQ53" s="26">
        <v>0</v>
      </c>
      <c r="BR53" s="183">
        <f t="shared" si="37"/>
        <v>0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127.12500000000001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169500.00000000003</v>
      </c>
      <c r="BQ57" s="26">
        <v>84108</v>
      </c>
      <c r="BR57" s="183">
        <f t="shared" si="37"/>
        <v>0.49621238938053086</v>
      </c>
      <c r="BS57" s="341">
        <f>38613.79/BQ57</f>
        <v>0.45909770770913588</v>
      </c>
      <c r="BT57" s="341">
        <f>38613.79/BR57</f>
        <v>77817.061456698546</v>
      </c>
      <c r="BU57" s="341"/>
      <c r="BV57" s="341">
        <f>38613.79/BS57</f>
        <v>84108</v>
      </c>
      <c r="BW57" s="341">
        <f>38613.79/BT57</f>
        <v>0.49621238938053086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4.0679999999999996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18000</v>
      </c>
      <c r="BQ58" s="26">
        <v>47388</v>
      </c>
      <c r="BR58" s="183">
        <f t="shared" si="37"/>
        <v>2.6326666666666667</v>
      </c>
      <c r="BS58" s="341">
        <f>2705.86/BQ58</f>
        <v>5.710010973242171E-2</v>
      </c>
      <c r="BT58" s="341">
        <f>2705.86/BR58</f>
        <v>1027.8019751835909</v>
      </c>
      <c r="BU58" s="341"/>
      <c r="BV58" s="341">
        <f>2705.86/BS58</f>
        <v>47388</v>
      </c>
      <c r="BW58" s="341">
        <f>2705.86/BT58</f>
        <v>2.6326666666666663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152.65170000000001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966150.00000000012</v>
      </c>
      <c r="BQ59" s="26">
        <v>560786</v>
      </c>
      <c r="BR59" s="183">
        <f t="shared" si="37"/>
        <v>0.58043368007038243</v>
      </c>
      <c r="BS59" s="341">
        <f>49077.4/BQ59</f>
        <v>8.7515380198507103E-2</v>
      </c>
      <c r="BT59" s="341">
        <f>49077.4/BR59</f>
        <v>84552.98457878764</v>
      </c>
      <c r="BU59" s="341"/>
      <c r="BV59" s="341">
        <f>49077.4/BS59</f>
        <v>560786</v>
      </c>
      <c r="BW59" s="341">
        <f>49077.4/BT59</f>
        <v>0.58043368007038243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532.62210000000005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57900</v>
      </c>
      <c r="BQ60" s="26">
        <v>208883</v>
      </c>
      <c r="BR60" s="183">
        <f t="shared" si="37"/>
        <v>3.6076511226252159</v>
      </c>
      <c r="BS60" s="341">
        <f>1269211.15/BQ60</f>
        <v>6.0761821210917111</v>
      </c>
      <c r="BT60" s="341">
        <f>1269211.15/BR60</f>
        <v>351810.94481121009</v>
      </c>
      <c r="BU60" s="341"/>
      <c r="BV60" s="341">
        <f>1269211.15/BS60</f>
        <v>208883</v>
      </c>
      <c r="BW60" s="341">
        <f>1269211.15/BT60</f>
        <v>3.6076511226252159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1866.0540000000001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816.46680000000003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2682.5208000000002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>
        <f>($B$79+$B$81+$B$84)/$E$26*($E$26+$H$26)</f>
        <v>265944.08999999997</v>
      </c>
      <c r="BC72" s="929"/>
      <c r="BD72" s="929"/>
      <c r="BE72" s="929"/>
      <c r="BF72" s="929"/>
      <c r="BG72" s="929"/>
      <c r="BH72" s="929"/>
      <c r="BI72" s="929">
        <f>SUM(BA72:BB72)</f>
        <v>265944.08999999997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0</v>
      </c>
      <c r="BB75" s="841">
        <f>($F$78+$F$80+$F$82+$F$86-$F$88)/$B$27*($E$26+$H$26)</f>
        <v>294234.53148646955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>
        <f>SUM(BA75:BA76)</f>
        <v>0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 t="e">
        <f>BA77/$B$26</f>
        <v>#DIV/0!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>
        <f>($B$79+$B$81+$B$84)/($E$26+$H$26)*($E$26+$H$26)</f>
        <v>88648.03</v>
      </c>
      <c r="BC93" s="929"/>
      <c r="BD93" s="929"/>
      <c r="BE93" s="929"/>
      <c r="BF93" s="929"/>
      <c r="BG93" s="929"/>
      <c r="BH93" s="929"/>
      <c r="BI93" s="929">
        <f>SUM(BA93:BB93)</f>
        <v>88648.03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31950.000000000004</v>
      </c>
      <c r="D108" s="347">
        <v>4.2</v>
      </c>
      <c r="F108" s="49" t="s">
        <v>109</v>
      </c>
      <c r="G108" s="147">
        <f>(B114*($B$26+$K$26+$T$26+$W$26)+F114*($E$26+$H$26+$Q$26))*1000</f>
        <v>3443400</v>
      </c>
      <c r="H108" s="753">
        <v>0.1</v>
      </c>
      <c r="L108" s="65"/>
    </row>
    <row r="109" spans="1:50">
      <c r="A109" s="48"/>
      <c r="B109" s="49"/>
      <c r="C109" s="49">
        <f>SUM(C107:C108)</f>
        <v>31950.000000000004</v>
      </c>
      <c r="D109" s="80">
        <f>(C107*D107+C108*D108)/C109</f>
        <v>4.2</v>
      </c>
      <c r="F109" s="49"/>
      <c r="G109" s="49">
        <f>SUM(G107:G108)</f>
        <v>3443400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4.2857142857142856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8645-DF35-4E70-A9FB-71067FC4A3C6}">
  <dimension ref="A1:BX176"/>
  <sheetViews>
    <sheetView topLeftCell="A73" workbookViewId="0">
      <selection activeCell="A88" sqref="A8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0.17441579999999998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0.17441579999999998</v>
      </c>
      <c r="AB6" s="854">
        <f>AA6</f>
        <v>0.17441579999999998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7.6520000000000005E-2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7.6520000000000005E-2</v>
      </c>
      <c r="AB7" s="857">
        <f>AA7</f>
        <v>7.6520000000000005E-2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>
        <f>ROUND(AY7/$E$26,3)</f>
        <v>0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2.9820000000000003E-2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2.9820000000000006E-2</v>
      </c>
      <c r="AB8" s="857">
        <f t="shared" ref="AB8:AB11" si="1">AA8</f>
        <v>2.9820000000000006E-2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>
        <f>ROUND(AY8/$E$26,3)</f>
        <v>0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4.3584139259259261E-2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4.3584139259259261E-2</v>
      </c>
      <c r="AB9" s="857">
        <f t="shared" si="1"/>
        <v>4.3584139259259261E-2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>
        <f>ROUND(AY9/$E$26,3)</f>
        <v>0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8.8836970370370361E-3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8.8836970370370361E-3</v>
      </c>
      <c r="AB10" s="857">
        <f t="shared" si="1"/>
        <v>8.8836970370370361E-3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>
        <f>ROUND(AY10/$E$26,3)</f>
        <v>0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2.0984963703703705E-2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2.0984963703703705E-2</v>
      </c>
      <c r="AB11" s="875">
        <f t="shared" si="1"/>
        <v>2.0984963703703705E-2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>
        <f>ROUND(AY11/$E$26,3)</f>
        <v>0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0.35420859999999998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0.35420859999999998</v>
      </c>
      <c r="AB12" s="857">
        <f>SUM(AB6:AB11)</f>
        <v>0.35420859999999998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5.4750443034647552E-2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5.4750443034647552E-2</v>
      </c>
      <c r="AB14" s="857">
        <f>AB22-AB12</f>
        <v>-4.5792799999999967E-2</v>
      </c>
      <c r="AC14" s="858">
        <f>AA14-AB14</f>
        <v>0.10054324303464751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>
        <f t="shared" ref="BI14:BI19" si="15">ROUND(AY14/$E$26,3)</f>
        <v>0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1.857056012345679E-2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1.857056012345679E-2</v>
      </c>
      <c r="AB15" s="857">
        <f>AB22-AB12-AB14</f>
        <v>0</v>
      </c>
      <c r="AC15" s="858">
        <f>AA15-AB15</f>
        <v>1.857056012345679E-2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>
        <f t="shared" si="15"/>
        <v>0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2.1263090915850259E-2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2.1263090915850259E-2</v>
      </c>
      <c r="AB16" s="857">
        <f>AB22-AB12-AB14-AB15</f>
        <v>0</v>
      </c>
      <c r="AC16" s="858">
        <f t="shared" ref="AC16:AC19" si="20">AA16-AB16</f>
        <v>2.1263090915850259E-2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>
        <f t="shared" si="15"/>
        <v>0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>
        <f t="shared" si="15"/>
        <v>0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4.2165066666666673E-3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4.2165066666666673E-3</v>
      </c>
      <c r="AB18" s="857">
        <f>AB22-AB12-AB14-AB15-AB16-AB17-AB19</f>
        <v>0</v>
      </c>
      <c r="AC18" s="858">
        <f>AA18-AB18</f>
        <v>4.2165066666666673E-3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>
        <f>ROUND(AY18/$E$26,3)</f>
        <v>0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7.8010333333333338E-3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7.8010333333333329E-3</v>
      </c>
      <c r="AB19" s="861">
        <f>AB22-AB12-AB14-AB15-AB16-AB17</f>
        <v>0</v>
      </c>
      <c r="AC19" s="862">
        <f t="shared" si="20"/>
        <v>7.8010333333333329E-3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>
        <f t="shared" si="15"/>
        <v>0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0.10660163407395459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0.10660163407395459</v>
      </c>
      <c r="AB20" s="857">
        <f>SUM(AB14:AB19)</f>
        <v>-4.5792799999999967E-2</v>
      </c>
      <c r="AC20" s="858">
        <f>SUM(AC14:AC19)</f>
        <v>0.15239443407395459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0.46081023407395461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0.46081023407395461</v>
      </c>
      <c r="AB22" s="946">
        <f>AB6+((0.084*(B26+K26+T26+W26))+(0.134*(E26+Q26))+(0.198*H26))/B27</f>
        <v>0.30841580000000002</v>
      </c>
      <c r="AC22" s="865">
        <f>AC12+AC20</f>
        <v>0.15239443407395459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0.46081023407395461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0.46081023407395466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4500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4500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4500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1387.8711000000001</v>
      </c>
      <c r="AC31" s="909">
        <f>AB12*$AA$26</f>
        <v>1593.9386999999999</v>
      </c>
      <c r="AD31" s="909">
        <f>AB20*$AA$26</f>
        <v>-206.06759999999986</v>
      </c>
      <c r="BJ31" s="837"/>
    </row>
    <row r="32" spans="1:76" ht="15">
      <c r="A32" s="48" t="s">
        <v>187</v>
      </c>
      <c r="B32" s="938">
        <f>'2025 Summary'!D7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>
        <f>SUM(AC32:AD32)</f>
        <v>685.77495333279569</v>
      </c>
      <c r="AC32" s="910">
        <f>AC12*AA26</f>
        <v>0</v>
      </c>
      <c r="AD32" s="910">
        <f>AC20*AA26</f>
        <v>685.77495333279569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Summary'!E7</f>
        <v>4500</v>
      </c>
      <c r="C33" s="183" t="e">
        <f t="shared" si="24"/>
        <v>#REF!</v>
      </c>
      <c r="D33" s="50">
        <f>B33*1000/150000</f>
        <v>30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Summary'!F7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>
        <f>SUM(AB31:AB33)</f>
        <v>2073.6460533327959</v>
      </c>
      <c r="AC34" s="913">
        <f>SUM(AC31:AC33)</f>
        <v>1593.9386999999999</v>
      </c>
      <c r="AD34" s="913">
        <f>SUM(AD31:AD33)</f>
        <v>479.70735333279583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Summary'!G7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Summary'!H7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2054.671773332796</v>
      </c>
      <c r="AC36" s="915">
        <f>SUM(AC34:AC35)</f>
        <v>1593.9386999999999</v>
      </c>
      <c r="AD36" s="915">
        <f>SUM(AD34:AD35)</f>
        <v>460.73307333279581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Summary'!I7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Summary'!J7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Summary'!K7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115.65592500000001</v>
      </c>
      <c r="AC39" s="909">
        <f t="shared" ref="AC39:AD41" si="25">AC31/12</f>
        <v>132.828225</v>
      </c>
      <c r="AD39" s="909">
        <f t="shared" si="25"/>
        <v>-17.172299999999989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57.147912777732977</v>
      </c>
      <c r="AC40" s="910">
        <f t="shared" si="25"/>
        <v>0</v>
      </c>
      <c r="AD40" s="910">
        <f t="shared" si="25"/>
        <v>57.147912777732977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30</v>
      </c>
      <c r="E41" s="1">
        <f>30-D41</f>
        <v>0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172.80383777773298</v>
      </c>
      <c r="AC42" s="913">
        <f>SUM(AC39:AC41)</f>
        <v>132.828225</v>
      </c>
      <c r="AD42" s="913">
        <f>SUM(AD39:AD41)</f>
        <v>39.975612777732991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171.22264777773299</v>
      </c>
      <c r="AC44" s="915">
        <f>SUM(AC42:AC43)</f>
        <v>132.828225</v>
      </c>
      <c r="AD44" s="915">
        <f>SUM(AD42:AD43)</f>
        <v>38.394422777732991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198.16200000000001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9810000</v>
      </c>
      <c r="BQ52" s="26">
        <v>202343432</v>
      </c>
      <c r="BR52" s="183">
        <f t="shared" ref="BR52:BR60" si="37">BQ52/BP52</f>
        <v>20.626241794087665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43.875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58500</v>
      </c>
      <c r="BQ57" s="26">
        <v>84108</v>
      </c>
      <c r="BR57" s="183">
        <f t="shared" si="37"/>
        <v>1.4377435897435897</v>
      </c>
      <c r="BS57" s="341">
        <f>38613.79/BQ57</f>
        <v>0.45909770770913588</v>
      </c>
      <c r="BT57" s="341">
        <f>38613.79/BR57</f>
        <v>26857.215900984451</v>
      </c>
      <c r="BU57" s="341"/>
      <c r="BV57" s="341">
        <f>38613.79/BS57</f>
        <v>84108</v>
      </c>
      <c r="BW57" s="341">
        <f>38613.79/BT57</f>
        <v>1.4377435897435897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12.204000000000001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54000</v>
      </c>
      <c r="BQ58" s="26">
        <v>47388</v>
      </c>
      <c r="BR58" s="183">
        <f t="shared" si="37"/>
        <v>0.87755555555555553</v>
      </c>
      <c r="BS58" s="341">
        <f>2705.86/BQ58</f>
        <v>5.710010973242171E-2</v>
      </c>
      <c r="BT58" s="341">
        <f>2705.86/BR58</f>
        <v>3083.4059255507727</v>
      </c>
      <c r="BU58" s="341"/>
      <c r="BV58" s="341">
        <f>2705.86/BS58</f>
        <v>47388</v>
      </c>
      <c r="BW58" s="341">
        <f>2705.86/BT58</f>
        <v>0.87755555555555553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116.6751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738450</v>
      </c>
      <c r="BQ59" s="26">
        <v>560786</v>
      </c>
      <c r="BR59" s="183">
        <f t="shared" si="37"/>
        <v>0.75940957410792875</v>
      </c>
      <c r="BS59" s="341">
        <f>49077.4/BQ59</f>
        <v>8.7515380198507103E-2</v>
      </c>
      <c r="BT59" s="341">
        <f>49077.4/BR59</f>
        <v>64625.732507587571</v>
      </c>
      <c r="BU59" s="341"/>
      <c r="BV59" s="341">
        <f>49077.4/BS59</f>
        <v>560786</v>
      </c>
      <c r="BW59" s="341">
        <f>49077.4/BT59</f>
        <v>0.75940957410792875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413.95499999999998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45000</v>
      </c>
      <c r="BQ60" s="26">
        <v>208883</v>
      </c>
      <c r="BR60" s="183">
        <f t="shared" si="37"/>
        <v>4.6418444444444447</v>
      </c>
      <c r="BS60" s="341">
        <f>1269211.15/BQ60</f>
        <v>6.0761821210917111</v>
      </c>
      <c r="BT60" s="341">
        <f>1269211.15/BR60</f>
        <v>273428.195449127</v>
      </c>
      <c r="BU60" s="341"/>
      <c r="BV60" s="341">
        <f>1269211.15/BS60</f>
        <v>208883</v>
      </c>
      <c r="BW60" s="341">
        <f>1269211.15/BT60</f>
        <v>4.6418444444444447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198.16200000000001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586.70910000000003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784.87110000000007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>
        <f>($B$79+$B$81+$B$84)/$E$26*($E$26+$H$26)</f>
        <v>88648.03</v>
      </c>
      <c r="BC72" s="929"/>
      <c r="BD72" s="929"/>
      <c r="BE72" s="929"/>
      <c r="BF72" s="929"/>
      <c r="BG72" s="929"/>
      <c r="BH72" s="929"/>
      <c r="BI72" s="929">
        <f>SUM(BA72:BB72)</f>
        <v>88648.03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F75" s="1">
        <f>SUM(F78:F81)</f>
        <v>385999.35000000003</v>
      </c>
      <c r="G75" s="1">
        <f t="shared" ref="G75:H75" si="41">SUM(G78:G81)</f>
        <v>346424.78</v>
      </c>
      <c r="H75" s="1">
        <f t="shared" si="41"/>
        <v>399794.41</v>
      </c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0</v>
      </c>
      <c r="BB75" s="841">
        <f>($F$78+$F$80+$F$82+$F$86-$F$88)/$B$27*($E$26+$H$26)</f>
        <v>294234.53148646955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>
        <f>SUM(BA75:BA76)</f>
        <v>0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 t="e">
        <f>BA77/$B$26</f>
        <v>#DIV/0!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2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2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2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3">C80/(C78+C79-C81)</f>
        <v>0.27848817587006269</v>
      </c>
      <c r="D82" s="965">
        <f t="shared" si="43"/>
        <v>0.24311734130656118</v>
      </c>
      <c r="E82" s="965">
        <f t="shared" si="43"/>
        <v>0.27040870278453222</v>
      </c>
      <c r="F82" s="966">
        <f t="shared" si="43"/>
        <v>0.35847571684564966</v>
      </c>
      <c r="G82" s="966">
        <f t="shared" si="43"/>
        <v>0.25901477908247422</v>
      </c>
      <c r="H82" s="967">
        <f t="shared" si="43"/>
        <v>0.24352014958814844</v>
      </c>
      <c r="I82" s="26"/>
      <c r="AF82" s="240"/>
      <c r="AG82" s="240"/>
      <c r="AH82" s="819">
        <f t="shared" si="42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2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2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>
        <f>($B$79+$B$81+$B$84)/($E$26+$H$26)*($E$26+$H$26)</f>
        <v>88648.03</v>
      </c>
      <c r="BC93" s="929"/>
      <c r="BD93" s="929"/>
      <c r="BE93" s="929"/>
      <c r="BF93" s="929"/>
      <c r="BG93" s="929"/>
      <c r="BH93" s="929"/>
      <c r="BI93" s="929">
        <f>SUM(BA93:BB93)</f>
        <v>88648.03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31950.000000000004</v>
      </c>
      <c r="D108" s="347">
        <v>4.2</v>
      </c>
      <c r="F108" s="49" t="s">
        <v>109</v>
      </c>
      <c r="G108" s="147">
        <f>(B114*($B$26+$K$26+$T$26+$W$26)+F114*($E$26+$H$26+$Q$26))*1000</f>
        <v>3443400</v>
      </c>
      <c r="H108" s="753">
        <v>0.1</v>
      </c>
      <c r="L108" s="65"/>
    </row>
    <row r="109" spans="1:50">
      <c r="A109" s="48"/>
      <c r="B109" s="49"/>
      <c r="C109" s="49">
        <f>SUM(C107:C108)</f>
        <v>31950.000000000004</v>
      </c>
      <c r="D109" s="80">
        <f>(C107*D107+C108*D108)/C109</f>
        <v>4.2</v>
      </c>
      <c r="F109" s="49"/>
      <c r="G109" s="49">
        <f>SUM(G107:G108)</f>
        <v>3443400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4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5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4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5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4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5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4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5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6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4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5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6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4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5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4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5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4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5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4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5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7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7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8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7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8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7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8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7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8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7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8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7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8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7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8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4.2857142857142856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EE6D-E1EF-4081-A234-68A17E9E9201}">
  <dimension ref="A1:BX176"/>
  <sheetViews>
    <sheetView topLeftCell="M2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0.80696570000000001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0.26576726689914165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0.68207375389980196</v>
      </c>
      <c r="AB6" s="854">
        <f>AA6</f>
        <v>0.68207375389980196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7.6519999999999991E-2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7.6519999999999991E-2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7.6520000000000005E-2</v>
      </c>
      <c r="AB7" s="857">
        <f>AA7</f>
        <v>7.6520000000000005E-2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2.9820000000000003E-2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2.9820000000000003E-2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2.9819999999999999E-2</v>
      </c>
      <c r="AB8" s="857">
        <f t="shared" ref="AB8:AB11" si="1">AA8</f>
        <v>2.9819999999999999E-2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5.0289391452991453E-2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5.0289391452991453E-2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5.0289391452991453E-2</v>
      </c>
      <c r="AB9" s="857">
        <f t="shared" si="1"/>
        <v>5.0289391452991453E-2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1.0250419658119658E-2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1.0250419658119658E-2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1.0250419658119658E-2</v>
      </c>
      <c r="AB10" s="857">
        <f t="shared" si="1"/>
        <v>1.0250419658119658E-2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2.4213419658119659E-2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2.4213419658119659E-2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2.4213419658119656E-2</v>
      </c>
      <c r="AB11" s="875">
        <f t="shared" si="1"/>
        <v>2.4213419658119656E-2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0.9980589307692308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0.45686049766837245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0.87316698466903275</v>
      </c>
      <c r="AB12" s="857">
        <f>SUM(AB6:AB11)</f>
        <v>0.87316698466903275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6.3173588116901019E-2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6.3173588116901019E-2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6.3173588116901019E-2</v>
      </c>
      <c r="AB14" s="857">
        <f>AB22-AB12</f>
        <v>-7.8624615384615959E-3</v>
      </c>
      <c r="AC14" s="858">
        <f>AA14-AB14</f>
        <v>7.1036049655362615E-2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2.1427569373219373E-2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2.1427569373219373E-2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2.1427569373219376E-2</v>
      </c>
      <c r="AB15" s="857">
        <f>AB22-AB12-AB14</f>
        <v>0</v>
      </c>
      <c r="AC15" s="858">
        <f>AA15-AB15</f>
        <v>2.1427569373219376E-2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2.4534335672134915E-2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2.4534335672134915E-2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2.4534335672134915E-2</v>
      </c>
      <c r="AB16" s="857">
        <f>AB22-AB12-AB14-AB15</f>
        <v>0</v>
      </c>
      <c r="AC16" s="858">
        <f t="shared" ref="AC16:AC19" si="20">AA16-AB16</f>
        <v>2.4534335672134915E-2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4.8652000000000009E-3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4.8652000000000009E-3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4.8652000000000009E-3</v>
      </c>
      <c r="AB18" s="857">
        <f>AB22-AB12-AB14-AB15-AB16-AB17-AB19</f>
        <v>0</v>
      </c>
      <c r="AC18" s="858">
        <f>AA18-AB18</f>
        <v>4.8652000000000009E-3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9.001192307692309E-3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9.001192307692309E-3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9.001192307692309E-3</v>
      </c>
      <c r="AB19" s="861">
        <f>AB22-AB12-AB14-AB15-AB16-AB17</f>
        <v>0</v>
      </c>
      <c r="AC19" s="862">
        <f t="shared" si="20"/>
        <v>9.001192307692309E-3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0.12300188546994763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0.12300188546994763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0.12300188546994763</v>
      </c>
      <c r="AB20" s="857">
        <f>SUM(AB14:AB19)</f>
        <v>-7.8624615384615959E-3</v>
      </c>
      <c r="AC20" s="858">
        <f>SUM(AC14:AC19)</f>
        <v>0.13086434700840924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1.1210608162391784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0.57986238313832006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0.99616887013898037</v>
      </c>
      <c r="AB22" s="946">
        <f>AB6+((0.084*(B26+K26+T26+W26))+(0.134*(E26+Q26))+(0.198*H26))/B27</f>
        <v>0.86530452313057116</v>
      </c>
      <c r="AC22" s="865">
        <f>AC12+AC20</f>
        <v>0.13086434700840924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-0.1800951162391784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-4.1560411439810374E-2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1.1210608162391784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0.39976726689914166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0.95460845869916999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3000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900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3900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3900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3374.6876402092275</v>
      </c>
      <c r="AC31" s="909">
        <f>AB12*$AA$26</f>
        <v>3405.3512402092279</v>
      </c>
      <c r="AD31" s="909">
        <f>AB20*$AA$26</f>
        <v>-30.663600000000223</v>
      </c>
      <c r="BJ31" s="837"/>
    </row>
    <row r="32" spans="1:76" ht="15">
      <c r="A32" s="48" t="s">
        <v>187</v>
      </c>
      <c r="B32" s="938">
        <f>'2025 Summary'!D8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>
        <f>SUM(AC32:AD32)</f>
        <v>510.37095333279603</v>
      </c>
      <c r="AC32" s="910">
        <f>AC12*AA26</f>
        <v>0</v>
      </c>
      <c r="AD32" s="910">
        <f>AC20*AA26</f>
        <v>510.37095333279603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Summary'!E8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Summary'!F8</f>
        <v>3000</v>
      </c>
      <c r="C34" s="183" t="e">
        <f t="shared" si="24"/>
        <v>#REF!</v>
      </c>
      <c r="D34" s="50">
        <f>B34*1000/150000</f>
        <v>20</v>
      </c>
      <c r="F34" s="709"/>
      <c r="AA34" s="912" t="s">
        <v>3</v>
      </c>
      <c r="AB34" s="913">
        <f>SUM(AB31:AB33)</f>
        <v>3885.0585935420236</v>
      </c>
      <c r="AC34" s="913">
        <f>SUM(AC31:AC33)</f>
        <v>3405.3512402092279</v>
      </c>
      <c r="AD34" s="913">
        <f>SUM(AD31:AD33)</f>
        <v>479.70735333279583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Summary'!G8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Summary'!H8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3866.0843135420237</v>
      </c>
      <c r="AC36" s="915">
        <f>SUM(AC34:AC35)</f>
        <v>3405.3512402092279</v>
      </c>
      <c r="AD36" s="915">
        <f>SUM(AD34:AD35)</f>
        <v>460.73307333279581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Summary'!I8</f>
        <v>900</v>
      </c>
      <c r="C37" s="183" t="e">
        <f t="shared" si="24"/>
        <v>#REF!</v>
      </c>
      <c r="D37" s="50">
        <f>B37*1000/150000</f>
        <v>6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Summary'!J8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Summary'!K8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281.22397001743559</v>
      </c>
      <c r="AC39" s="909">
        <f t="shared" ref="AC39:AD41" si="25">AC31/12</f>
        <v>283.77927001743564</v>
      </c>
      <c r="AD39" s="909">
        <f t="shared" si="25"/>
        <v>-2.5553000000000186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42.530912777733</v>
      </c>
      <c r="AC40" s="910">
        <f t="shared" si="25"/>
        <v>0</v>
      </c>
      <c r="AD40" s="910">
        <f t="shared" si="25"/>
        <v>42.530912777733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26</v>
      </c>
      <c r="E41" s="1">
        <f>30-D41</f>
        <v>4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323.75488279516861</v>
      </c>
      <c r="AC42" s="913">
        <f>SUM(AC39:AC41)</f>
        <v>283.77927001743564</v>
      </c>
      <c r="AD42" s="913">
        <f>SUM(AD39:AD41)</f>
        <v>39.975612777732984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322.17369279516862</v>
      </c>
      <c r="AC44" s="915">
        <f>SUM(AC42:AC43)</f>
        <v>283.77927001743564</v>
      </c>
      <c r="AD44" s="915">
        <f>SUM(AD42:AD43)</f>
        <v>38.394422777732984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43.433253782188835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0</v>
      </c>
      <c r="BQ52" s="26">
        <v>202343432</v>
      </c>
      <c r="BR52" s="183" t="e">
        <f t="shared" ref="BR52:BR60" si="37">BQ52/BP52</f>
        <v>#DIV/0!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1800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7200000</v>
      </c>
      <c r="BQ53" s="26">
        <v>0</v>
      </c>
      <c r="BR53" s="183">
        <f t="shared" si="37"/>
        <v>0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123.41008583690989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150000.00000000003</v>
      </c>
      <c r="BQ57" s="26">
        <v>84108</v>
      </c>
      <c r="BR57" s="183">
        <f t="shared" si="37"/>
        <v>0.56071999999999989</v>
      </c>
      <c r="BS57" s="341">
        <f>38613.79/BQ57</f>
        <v>0.45909770770913588</v>
      </c>
      <c r="BT57" s="341">
        <f>38613.79/BR57</f>
        <v>68864.656156370402</v>
      </c>
      <c r="BU57" s="341"/>
      <c r="BV57" s="341">
        <f>38613.79/BS57</f>
        <v>84108</v>
      </c>
      <c r="BW57" s="341">
        <f>38613.79/BT57</f>
        <v>0.56071999999999989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2.2468388948497853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0</v>
      </c>
      <c r="BQ58" s="26">
        <v>47388</v>
      </c>
      <c r="BR58" s="183" t="e">
        <f t="shared" si="37"/>
        <v>#DIV/0!</v>
      </c>
      <c r="BS58" s="341">
        <f>2705.86/BQ58</f>
        <v>5.710010973242171E-2</v>
      </c>
      <c r="BT58" s="341" t="e">
        <f>2705.86/BR58</f>
        <v>#DIV/0!</v>
      </c>
      <c r="BU58" s="341"/>
      <c r="BV58" s="341">
        <f>2705.86/BS58</f>
        <v>47388</v>
      </c>
      <c r="BW58" s="341" t="e">
        <f>2705.86/BT58</f>
        <v>#DIV/0!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137.98167972103005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720000.00000000012</v>
      </c>
      <c r="BQ59" s="26">
        <v>560786</v>
      </c>
      <c r="BR59" s="183">
        <f t="shared" si="37"/>
        <v>0.77886944444444428</v>
      </c>
      <c r="BS59" s="341">
        <f>49077.4/BQ59</f>
        <v>8.7515380198507103E-2</v>
      </c>
      <c r="BT59" s="341">
        <f>49077.4/BR59</f>
        <v>63011.073742925124</v>
      </c>
      <c r="BU59" s="341"/>
      <c r="BV59" s="341">
        <f>49077.4/BS59</f>
        <v>560786</v>
      </c>
      <c r="BW59" s="341">
        <f>49077.4/BT59</f>
        <v>0.77886944444444428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445.83516099785408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42900</v>
      </c>
      <c r="BQ60" s="26">
        <v>208883</v>
      </c>
      <c r="BR60" s="183">
        <f t="shared" si="37"/>
        <v>4.8690675990675993</v>
      </c>
      <c r="BS60" s="341">
        <f>1269211.15/BQ60</f>
        <v>6.0761821210917111</v>
      </c>
      <c r="BT60" s="341">
        <f>1269211.15/BR60</f>
        <v>260668.21299483441</v>
      </c>
      <c r="BU60" s="341"/>
      <c r="BV60" s="341">
        <f>1269211.15/BS60</f>
        <v>208883</v>
      </c>
      <c r="BW60" s="341">
        <f>1269211.15/BT60</f>
        <v>4.8690675990675993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107.18062097639485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1843.4332537821888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816.65438642703862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2660.0876402092272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0</v>
      </c>
      <c r="BB75" s="841">
        <f>($F$78+$F$80+$F$82+$F$86-$F$88)/$B$27*($E$26+$H$26)</f>
        <v>226334.25498959198</v>
      </c>
      <c r="BC75" s="841"/>
      <c r="BD75" s="841"/>
      <c r="BE75" s="841"/>
      <c r="BF75" s="841"/>
      <c r="BG75" s="841"/>
      <c r="BH75" s="841"/>
      <c r="BI75" s="841">
        <f>SUM(BA75:BB75)</f>
        <v>226334.25498959198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>
        <f>SUM(BA75:BA76)</f>
        <v>0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 t="e">
        <f>BA77/$B$26</f>
        <v>#DIV/0!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>
        <f>($B$79+$B$81+$B$84)/($E$26+$H$26)*($E$26+$H$26)</f>
        <v>88648.03</v>
      </c>
      <c r="BC93" s="929"/>
      <c r="BD93" s="929"/>
      <c r="BE93" s="929"/>
      <c r="BF93" s="929"/>
      <c r="BG93" s="929"/>
      <c r="BH93" s="929"/>
      <c r="BI93" s="929">
        <f>SUM(BA93:BB93)</f>
        <v>88648.03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27690</v>
      </c>
      <c r="D108" s="347">
        <v>4.2</v>
      </c>
      <c r="F108" s="49" t="s">
        <v>109</v>
      </c>
      <c r="G108" s="147">
        <f>(B114*($B$26+$K$26+$T$26+$W$26)+F114*($E$26+$H$26+$Q$26))*1000</f>
        <v>2984279.9999999995</v>
      </c>
      <c r="H108" s="753">
        <v>0.1</v>
      </c>
      <c r="L108" s="65"/>
    </row>
    <row r="109" spans="1:50">
      <c r="A109" s="48"/>
      <c r="B109" s="49"/>
      <c r="C109" s="49">
        <f>SUM(C107:C108)</f>
        <v>27690</v>
      </c>
      <c r="D109" s="80">
        <f>(C107*D107+C108*D108)/C109</f>
        <v>4.2</v>
      </c>
      <c r="F109" s="49"/>
      <c r="G109" s="49">
        <f>SUM(G107:G108)</f>
        <v>2984279.9999999995</v>
      </c>
      <c r="H109" s="173">
        <f>(G107*H107+G108*H108)/G109</f>
        <v>9.9999999999999992E-2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9.9999999999999992E-2</v>
      </c>
      <c r="D113" s="174">
        <f>B113*C113</f>
        <v>1.6959999999999999E-2</v>
      </c>
      <c r="F113" s="843"/>
      <c r="G113" s="172">
        <f>$H$109</f>
        <v>9.9999999999999992E-2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9.9999999999999992E-2</v>
      </c>
      <c r="D114" s="174">
        <f>B114*C114</f>
        <v>0</v>
      </c>
      <c r="F114" s="843">
        <v>0.76519999999999999</v>
      </c>
      <c r="G114" s="172">
        <f>$H$109</f>
        <v>9.9999999999999992E-2</v>
      </c>
      <c r="H114" s="175">
        <f>F114*G114</f>
        <v>7.6519999999999991E-2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9.9999999999999992E-2</v>
      </c>
      <c r="H115" s="225">
        <f>SUM(H113:H114)</f>
        <v>7.6519999999999991E-2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0.10633999999999999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3.7142857142857144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3E87-10E3-4650-9AF3-25CD8FD1167F}">
  <dimension ref="A1:BX176"/>
  <sheetViews>
    <sheetView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0.17441579999999998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0.17441579999999998</v>
      </c>
      <c r="AB6" s="854">
        <f>AA6</f>
        <v>0.17441579999999998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7.6520000000000005E-2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7.6520000000000005E-2</v>
      </c>
      <c r="AB7" s="857">
        <f>AA7</f>
        <v>7.6520000000000005E-2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>
        <f>ROUND(AY7/$E$26,3)</f>
        <v>0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2.9820000000000003E-2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2.9820000000000006E-2</v>
      </c>
      <c r="AB8" s="857">
        <f t="shared" ref="AB8:AB11" si="1">AA8</f>
        <v>2.9820000000000006E-2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>
        <f>ROUND(AY8/$E$26,3)</f>
        <v>0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4.3584139259259261E-2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4.3584139259259261E-2</v>
      </c>
      <c r="AB9" s="857">
        <f t="shared" si="1"/>
        <v>4.3584139259259261E-2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>
        <f>ROUND(AY9/$E$26,3)</f>
        <v>0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8.8836970370370361E-3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8.8836970370370361E-3</v>
      </c>
      <c r="AB10" s="857">
        <f t="shared" si="1"/>
        <v>8.8836970370370361E-3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>
        <f>ROUND(AY10/$E$26,3)</f>
        <v>0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2.0984963703703705E-2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2.0984963703703705E-2</v>
      </c>
      <c r="AB11" s="875">
        <f t="shared" si="1"/>
        <v>2.0984963703703705E-2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>
        <f>ROUND(AY11/$E$26,3)</f>
        <v>0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0.35420859999999998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0.35420859999999998</v>
      </c>
      <c r="AB12" s="857">
        <f>SUM(AB6:AB11)</f>
        <v>0.35420859999999998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5.4750443034647552E-2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5.4750443034647552E-2</v>
      </c>
      <c r="AB14" s="857">
        <f>AB22-AB12</f>
        <v>-4.5792799999999967E-2</v>
      </c>
      <c r="AC14" s="858">
        <f>AA14-AB14</f>
        <v>0.10054324303464751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>
        <f t="shared" ref="BI14:BI19" si="15">ROUND(AY14/$E$26,3)</f>
        <v>0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1.857056012345679E-2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1.857056012345679E-2</v>
      </c>
      <c r="AB15" s="857">
        <f>AB22-AB12-AB14</f>
        <v>0</v>
      </c>
      <c r="AC15" s="858">
        <f>AA15-AB15</f>
        <v>1.857056012345679E-2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>
        <f t="shared" si="15"/>
        <v>0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2.1263090915850259E-2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2.1263090915850259E-2</v>
      </c>
      <c r="AB16" s="857">
        <f>AB22-AB12-AB14-AB15</f>
        <v>0</v>
      </c>
      <c r="AC16" s="858">
        <f t="shared" ref="AC16:AC19" si="20">AA16-AB16</f>
        <v>2.1263090915850259E-2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>
        <f t="shared" si="15"/>
        <v>0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>
        <f t="shared" si="15"/>
        <v>0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4.2165066666666673E-3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4.2165066666666673E-3</v>
      </c>
      <c r="AB18" s="857">
        <f>AB22-AB12-AB14-AB15-AB16-AB17-AB19</f>
        <v>0</v>
      </c>
      <c r="AC18" s="858">
        <f>AA18-AB18</f>
        <v>4.2165066666666673E-3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>
        <f>ROUND(AY18/$E$26,3)</f>
        <v>0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7.8010333333333338E-3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7.8010333333333329E-3</v>
      </c>
      <c r="AB19" s="861">
        <f>AB22-AB12-AB14-AB15-AB16-AB17</f>
        <v>0</v>
      </c>
      <c r="AC19" s="862">
        <f t="shared" si="20"/>
        <v>7.8010333333333329E-3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>
        <f t="shared" si="15"/>
        <v>0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0.10660163407395459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0.10660163407395459</v>
      </c>
      <c r="AB20" s="857">
        <f>SUM(AB14:AB19)</f>
        <v>-4.5792799999999967E-2</v>
      </c>
      <c r="AC20" s="858">
        <f>SUM(AC14:AC19)</f>
        <v>0.15239443407395459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0.46081023407395461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0.46081023407395461</v>
      </c>
      <c r="AB22" s="946">
        <f>AB6+((0.084*(B26+K26+T26+W26))+(0.134*(E26+Q26))+(0.198*H26))/B27</f>
        <v>0.30841580000000002</v>
      </c>
      <c r="AC22" s="865">
        <f>AC12+AC20</f>
        <v>0.15239443407395459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0.46081023407395461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0.46081023407395466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4500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4500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4500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1387.8711000000001</v>
      </c>
      <c r="AC31" s="909">
        <f>AB12*$AA$26</f>
        <v>1593.9386999999999</v>
      </c>
      <c r="AD31" s="909">
        <f>AB20*$AA$26</f>
        <v>-206.06759999999986</v>
      </c>
      <c r="BJ31" s="837"/>
    </row>
    <row r="32" spans="1:76" ht="15">
      <c r="A32" s="48" t="s">
        <v>187</v>
      </c>
      <c r="B32" s="938">
        <f>'2025 Summary'!$D$9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>
        <f>SUM(AC32:AD32)</f>
        <v>685.77495333279569</v>
      </c>
      <c r="AC32" s="910">
        <f>AC12*AA26</f>
        <v>0</v>
      </c>
      <c r="AD32" s="910">
        <f>AC20*AA26</f>
        <v>685.77495333279569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Summary'!$E$9</f>
        <v>4500</v>
      </c>
      <c r="C33" s="183" t="e">
        <f t="shared" si="24"/>
        <v>#REF!</v>
      </c>
      <c r="D33" s="50">
        <f>B33*1000/150000</f>
        <v>30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Summary'!$F$9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>
        <f>SUM(AB31:AB33)</f>
        <v>2073.6460533327959</v>
      </c>
      <c r="AC34" s="913">
        <f>SUM(AC31:AC33)</f>
        <v>1593.9386999999999</v>
      </c>
      <c r="AD34" s="913">
        <f>SUM(AD31:AD33)</f>
        <v>479.70735333279583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Summary'!$G$9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Summary'!$H$9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2054.671773332796</v>
      </c>
      <c r="AC36" s="915">
        <f>SUM(AC34:AC35)</f>
        <v>1593.9386999999999</v>
      </c>
      <c r="AD36" s="915">
        <f>SUM(AD34:AD35)</f>
        <v>460.73307333279581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Summary'!$I$9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Summary'!$J$9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Summary'!$K$9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115.65592500000001</v>
      </c>
      <c r="AC39" s="909">
        <f t="shared" ref="AC39:AD41" si="25">AC31/12</f>
        <v>132.828225</v>
      </c>
      <c r="AD39" s="909">
        <f t="shared" si="25"/>
        <v>-17.172299999999989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57.147912777732977</v>
      </c>
      <c r="AC40" s="910">
        <f t="shared" si="25"/>
        <v>0</v>
      </c>
      <c r="AD40" s="910">
        <f t="shared" si="25"/>
        <v>57.147912777732977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30</v>
      </c>
      <c r="E41" s="1">
        <f>30-D41</f>
        <v>0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172.80383777773298</v>
      </c>
      <c r="AC42" s="913">
        <f>SUM(AC39:AC41)</f>
        <v>132.828225</v>
      </c>
      <c r="AD42" s="913">
        <f>SUM(AD39:AD41)</f>
        <v>39.975612777732991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171.22264777773299</v>
      </c>
      <c r="AC44" s="915">
        <f>SUM(AC42:AC43)</f>
        <v>132.828225</v>
      </c>
      <c r="AD44" s="915">
        <f>SUM(AD42:AD43)</f>
        <v>38.394422777732991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198.16200000000001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9810000</v>
      </c>
      <c r="BQ52" s="26">
        <v>202343432</v>
      </c>
      <c r="BR52" s="183">
        <f t="shared" ref="BR52:BR60" si="37">BQ52/BP52</f>
        <v>20.626241794087665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43.875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58500</v>
      </c>
      <c r="BQ57" s="26">
        <v>84108</v>
      </c>
      <c r="BR57" s="183">
        <f t="shared" si="37"/>
        <v>1.4377435897435897</v>
      </c>
      <c r="BS57" s="341">
        <f>38613.79/BQ57</f>
        <v>0.45909770770913588</v>
      </c>
      <c r="BT57" s="341">
        <f>38613.79/BR57</f>
        <v>26857.215900984451</v>
      </c>
      <c r="BU57" s="341"/>
      <c r="BV57" s="341">
        <f>38613.79/BS57</f>
        <v>84108</v>
      </c>
      <c r="BW57" s="341">
        <f>38613.79/BT57</f>
        <v>1.4377435897435897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12.204000000000001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54000</v>
      </c>
      <c r="BQ58" s="26">
        <v>47388</v>
      </c>
      <c r="BR58" s="183">
        <f t="shared" si="37"/>
        <v>0.87755555555555553</v>
      </c>
      <c r="BS58" s="341">
        <f>2705.86/BQ58</f>
        <v>5.710010973242171E-2</v>
      </c>
      <c r="BT58" s="341">
        <f>2705.86/BR58</f>
        <v>3083.4059255507727</v>
      </c>
      <c r="BU58" s="341"/>
      <c r="BV58" s="341">
        <f>2705.86/BS58</f>
        <v>47388</v>
      </c>
      <c r="BW58" s="341">
        <f>2705.86/BT58</f>
        <v>0.87755555555555553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116.6751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738450</v>
      </c>
      <c r="BQ59" s="26">
        <v>560786</v>
      </c>
      <c r="BR59" s="183">
        <f t="shared" si="37"/>
        <v>0.75940957410792875</v>
      </c>
      <c r="BS59" s="341">
        <f>49077.4/BQ59</f>
        <v>8.7515380198507103E-2</v>
      </c>
      <c r="BT59" s="341">
        <f>49077.4/BR59</f>
        <v>64625.732507587571</v>
      </c>
      <c r="BU59" s="341"/>
      <c r="BV59" s="341">
        <f>49077.4/BS59</f>
        <v>560786</v>
      </c>
      <c r="BW59" s="341">
        <f>49077.4/BT59</f>
        <v>0.75940957410792875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413.95499999999998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45000</v>
      </c>
      <c r="BQ60" s="26">
        <v>208883</v>
      </c>
      <c r="BR60" s="183">
        <f t="shared" si="37"/>
        <v>4.6418444444444447</v>
      </c>
      <c r="BS60" s="341">
        <f>1269211.15/BQ60</f>
        <v>6.0761821210917111</v>
      </c>
      <c r="BT60" s="341">
        <f>1269211.15/BR60</f>
        <v>273428.195449127</v>
      </c>
      <c r="BU60" s="341"/>
      <c r="BV60" s="341">
        <f>1269211.15/BS60</f>
        <v>208883</v>
      </c>
      <c r="BW60" s="341">
        <f>1269211.15/BT60</f>
        <v>4.6418444444444447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198.16200000000001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586.70910000000003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784.87110000000007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>
        <f>($B$79+$B$81+$B$84)/$E$26*($E$26+$H$26)</f>
        <v>88648.03</v>
      </c>
      <c r="BC72" s="929"/>
      <c r="BD72" s="929"/>
      <c r="BE72" s="929"/>
      <c r="BF72" s="929"/>
      <c r="BG72" s="929"/>
      <c r="BH72" s="929"/>
      <c r="BI72" s="929">
        <f>SUM(BA72:BB72)</f>
        <v>88648.03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0</v>
      </c>
      <c r="BB75" s="841">
        <f>($F$78+$F$80+$F$82+$F$86-$F$88)/$B$27*($E$26+$H$26)</f>
        <v>294234.53148646955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>
        <f>SUM(BA75:BA76)</f>
        <v>0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 t="e">
        <f>BA77/$B$26</f>
        <v>#DIV/0!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>
        <f>($B$79+$B$81+$B$84)/($E$26+$H$26)*($E$26+$H$26)</f>
        <v>88648.03</v>
      </c>
      <c r="BC93" s="929"/>
      <c r="BD93" s="929"/>
      <c r="BE93" s="929"/>
      <c r="BF93" s="929"/>
      <c r="BG93" s="929"/>
      <c r="BH93" s="929"/>
      <c r="BI93" s="929">
        <f>SUM(BA93:BB93)</f>
        <v>88648.03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31950.000000000004</v>
      </c>
      <c r="D108" s="347">
        <v>4.2</v>
      </c>
      <c r="F108" s="49" t="s">
        <v>109</v>
      </c>
      <c r="G108" s="147">
        <f>(B114*($B$26+$K$26+$T$26+$W$26)+F114*($E$26+$H$26+$Q$26))*1000</f>
        <v>3443400</v>
      </c>
      <c r="H108" s="753">
        <v>0.1</v>
      </c>
      <c r="L108" s="65"/>
    </row>
    <row r="109" spans="1:50">
      <c r="A109" s="48"/>
      <c r="B109" s="49"/>
      <c r="C109" s="49">
        <f>SUM(C107:C108)</f>
        <v>31950.000000000004</v>
      </c>
      <c r="D109" s="80">
        <f>(C107*D107+C108*D108)/C109</f>
        <v>4.2</v>
      </c>
      <c r="F109" s="49"/>
      <c r="G109" s="49">
        <f>SUM(G107:G108)</f>
        <v>3443400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4.2857142857142856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FE38-2A3B-4418-9A4D-55487413ACAC}">
  <dimension ref="A1:BX176"/>
  <sheetViews>
    <sheetView topLeftCell="H1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0.80696570000000001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0.80696570000000001</v>
      </c>
      <c r="AB6" s="854">
        <f>AA6</f>
        <v>0.80696570000000001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7.6520000000000005E-2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7.6520000000000005E-2</v>
      </c>
      <c r="AB7" s="857">
        <f>AA7</f>
        <v>7.6520000000000005E-2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2.9820000000000003E-2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2.9820000000000006E-2</v>
      </c>
      <c r="AB8" s="857">
        <f t="shared" ref="AB8:AB11" si="1">AA8</f>
        <v>2.9820000000000006E-2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4.3584139259259261E-2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4.3584139259259261E-2</v>
      </c>
      <c r="AB9" s="857">
        <f t="shared" si="1"/>
        <v>4.3584139259259261E-2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8.8836970370370361E-3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8.8836970370370361E-3</v>
      </c>
      <c r="AB10" s="857">
        <f t="shared" si="1"/>
        <v>8.8836970370370361E-3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2.0984963703703705E-2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2.0984963703703705E-2</v>
      </c>
      <c r="AB11" s="875">
        <f t="shared" si="1"/>
        <v>2.0984963703703705E-2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0.98675850000000009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0.98675850000000009</v>
      </c>
      <c r="AB12" s="857">
        <f>SUM(AB6:AB11)</f>
        <v>0.98675850000000009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5.4750443034647552E-2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5.4750443034647552E-2</v>
      </c>
      <c r="AB14" s="857">
        <f>AB22-AB12</f>
        <v>1.8207199999999979E-2</v>
      </c>
      <c r="AC14" s="858">
        <f>AA14-AB14</f>
        <v>3.6543243034647573E-2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1.857056012345679E-2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1.857056012345679E-2</v>
      </c>
      <c r="AB15" s="857">
        <f>AB22-AB12-AB14</f>
        <v>0</v>
      </c>
      <c r="AC15" s="858">
        <f>AA15-AB15</f>
        <v>1.857056012345679E-2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2.1263090915850259E-2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2.1263090915850259E-2</v>
      </c>
      <c r="AB16" s="857">
        <f>AB22-AB12-AB14-AB15</f>
        <v>0</v>
      </c>
      <c r="AC16" s="858">
        <f t="shared" ref="AC16:AC19" si="20">AA16-AB16</f>
        <v>2.1263090915850259E-2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4.2165066666666673E-3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4.2165066666666673E-3</v>
      </c>
      <c r="AB18" s="857">
        <f>AB22-AB12-AB14-AB15-AB16-AB17-AB19</f>
        <v>0</v>
      </c>
      <c r="AC18" s="858">
        <f>AA18-AB18</f>
        <v>4.2165066666666673E-3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7.8010333333333338E-3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7.8010333333333329E-3</v>
      </c>
      <c r="AB19" s="861">
        <f>AB22-AB12-AB14-AB15-AB16-AB17</f>
        <v>0</v>
      </c>
      <c r="AC19" s="862">
        <f t="shared" si="20"/>
        <v>7.8010333333333329E-3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0.10660163407395459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0.10660163407395459</v>
      </c>
      <c r="AB20" s="857">
        <f>SUM(AB14:AB19)</f>
        <v>1.8207199999999979E-2</v>
      </c>
      <c r="AC20" s="858">
        <f>SUM(AC14:AC19)</f>
        <v>8.8394434073954614E-2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1.0933601340739547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1.0933601340739547</v>
      </c>
      <c r="AB22" s="946">
        <f>AB6+((0.084*(B26+K26+T26+W26))+(0.134*(E26+Q26))+(0.198*H26))/B27</f>
        <v>1.0049657000000001</v>
      </c>
      <c r="AC22" s="865">
        <f>AC12+AC20</f>
        <v>8.8394434073954614E-2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1.0933601340739547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1.0933601340739547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4500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4500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4500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4522.3456500000002</v>
      </c>
      <c r="AC31" s="909">
        <f>AB12*$AA$26</f>
        <v>4440.4132500000005</v>
      </c>
      <c r="AD31" s="909">
        <f>AB20*$AA$26</f>
        <v>81.932399999999902</v>
      </c>
      <c r="BJ31" s="837"/>
    </row>
    <row r="32" spans="1:76" ht="15">
      <c r="A32" s="48" t="s">
        <v>187</v>
      </c>
      <c r="B32" s="938">
        <f>'2025 Summary'!$D$10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>
        <f>SUM(AC32:AD32)</f>
        <v>397.77495333279575</v>
      </c>
      <c r="AC32" s="910">
        <f>AC12*AA26</f>
        <v>0</v>
      </c>
      <c r="AD32" s="910">
        <f>AC20*AA26</f>
        <v>397.77495333279575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Summary'!$E$10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Summary'!$F$10</f>
        <v>4500</v>
      </c>
      <c r="C34" s="183" t="e">
        <f t="shared" si="24"/>
        <v>#REF!</v>
      </c>
      <c r="D34" s="50">
        <f>B34*1000/150000</f>
        <v>30</v>
      </c>
      <c r="F34" s="709"/>
      <c r="AA34" s="912" t="s">
        <v>3</v>
      </c>
      <c r="AB34" s="913">
        <f>SUM(AB31:AB33)</f>
        <v>4920.1206033327962</v>
      </c>
      <c r="AC34" s="913">
        <f>SUM(AC31:AC33)</f>
        <v>4440.4132500000005</v>
      </c>
      <c r="AD34" s="913">
        <f>SUM(AD31:AD33)</f>
        <v>479.70735333279566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Summary'!$G$10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Summary'!$H$10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4901.1463233327959</v>
      </c>
      <c r="AC36" s="915">
        <f>SUM(AC34:AC35)</f>
        <v>4440.4132500000005</v>
      </c>
      <c r="AD36" s="915">
        <f>SUM(AD34:AD35)</f>
        <v>460.73307333279564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Summary'!$I$10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Summary'!$J$10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Summary'!$K$10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376.86213750000002</v>
      </c>
      <c r="AC39" s="909">
        <f t="shared" ref="AC39:AD41" si="25">AC31/12</f>
        <v>370.03443750000002</v>
      </c>
      <c r="AD39" s="909">
        <f t="shared" si="25"/>
        <v>6.8276999999999921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33.147912777732977</v>
      </c>
      <c r="AC40" s="910">
        <f t="shared" si="25"/>
        <v>0</v>
      </c>
      <c r="AD40" s="910">
        <f t="shared" si="25"/>
        <v>33.147912777732977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30</v>
      </c>
      <c r="E41" s="1">
        <f>30-D41</f>
        <v>0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410.010050277733</v>
      </c>
      <c r="AC42" s="913">
        <f>SUM(AC39:AC41)</f>
        <v>370.03443750000002</v>
      </c>
      <c r="AD42" s="913">
        <f>SUM(AD39:AD41)</f>
        <v>39.97561277773297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408.42886027773301</v>
      </c>
      <c r="AC44" s="915">
        <f>SUM(AC42:AC43)</f>
        <v>370.03443750000002</v>
      </c>
      <c r="AD44" s="915">
        <f>SUM(AD42:AD43)</f>
        <v>38.39442277773297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0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0</v>
      </c>
      <c r="BQ52" s="26">
        <v>202343432</v>
      </c>
      <c r="BR52" s="183" t="e">
        <f t="shared" ref="BR52:BR60" si="37">BQ52/BP52</f>
        <v>#DIV/0!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2700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10800000</v>
      </c>
      <c r="BQ53" s="26">
        <v>0</v>
      </c>
      <c r="BR53" s="183">
        <f t="shared" si="37"/>
        <v>0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168.75000000000003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225000.00000000003</v>
      </c>
      <c r="BQ57" s="26">
        <v>84108</v>
      </c>
      <c r="BR57" s="183">
        <f t="shared" si="37"/>
        <v>0.37381333333333328</v>
      </c>
      <c r="BS57" s="341">
        <f>38613.79/BQ57</f>
        <v>0.45909770770913588</v>
      </c>
      <c r="BT57" s="341">
        <f>38613.79/BR57</f>
        <v>103296.9842345556</v>
      </c>
      <c r="BU57" s="341"/>
      <c r="BV57" s="341">
        <f>38613.79/BS57</f>
        <v>84108</v>
      </c>
      <c r="BW57" s="341">
        <f>38613.79/BT57</f>
        <v>0.37381333333333328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0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0</v>
      </c>
      <c r="BQ58" s="26">
        <v>47388</v>
      </c>
      <c r="BR58" s="183" t="e">
        <f t="shared" si="37"/>
        <v>#DIV/0!</v>
      </c>
      <c r="BS58" s="341">
        <f>2705.86/BQ58</f>
        <v>5.710010973242171E-2</v>
      </c>
      <c r="BT58" s="341" t="e">
        <f>2705.86/BR58</f>
        <v>#DIV/0!</v>
      </c>
      <c r="BU58" s="341"/>
      <c r="BV58" s="341">
        <f>2705.86/BS58</f>
        <v>47388</v>
      </c>
      <c r="BW58" s="341" t="e">
        <f>2705.86/BT58</f>
        <v>#DIV/0!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170.64000000000001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1080000.0000000002</v>
      </c>
      <c r="BQ59" s="26">
        <v>560786</v>
      </c>
      <c r="BR59" s="183">
        <f t="shared" si="37"/>
        <v>0.51924629629629615</v>
      </c>
      <c r="BS59" s="341">
        <f>49077.4/BQ59</f>
        <v>8.7515380198507103E-2</v>
      </c>
      <c r="BT59" s="341">
        <f>49077.4/BR59</f>
        <v>94516.610614387697</v>
      </c>
      <c r="BU59" s="341"/>
      <c r="BV59" s="341">
        <f>49077.4/BS59</f>
        <v>560786</v>
      </c>
      <c r="BW59" s="341">
        <f>49077.4/BT59</f>
        <v>0.51924629629629615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591.95564999999999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64349.999999999993</v>
      </c>
      <c r="BQ60" s="26">
        <v>208883</v>
      </c>
      <c r="BR60" s="183">
        <f t="shared" si="37"/>
        <v>3.2460450660450664</v>
      </c>
      <c r="BS60" s="341">
        <f>1269211.15/BQ60</f>
        <v>6.0761821210917111</v>
      </c>
      <c r="BT60" s="341">
        <f>1269211.15/BR60</f>
        <v>391002.31949225155</v>
      </c>
      <c r="BU60" s="341"/>
      <c r="BV60" s="341">
        <f>1269211.15/BS60</f>
        <v>208883</v>
      </c>
      <c r="BW60" s="341">
        <f>1269211.15/BT60</f>
        <v>3.2460450660450664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2700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931.34564999999998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3631.3456500000002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0</v>
      </c>
      <c r="BB75" s="841">
        <f>($F$78+$F$80+$F$82+$F$86-$F$88)/$B$27*($E$26+$H$26)</f>
        <v>294234.53148646955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>
        <f>SUM(BA75:BA76)</f>
        <v>0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 t="e">
        <f>BA77/$B$26</f>
        <v>#DIV/0!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>
        <f>($B$79+$B$81+$B$84)/($E$26+$H$26)*($E$26+$H$26)</f>
        <v>88648.03</v>
      </c>
      <c r="BC93" s="929"/>
      <c r="BD93" s="929"/>
      <c r="BE93" s="929"/>
      <c r="BF93" s="929"/>
      <c r="BG93" s="929"/>
      <c r="BH93" s="929"/>
      <c r="BI93" s="929">
        <f>SUM(BA93:BB93)</f>
        <v>88648.03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31950.000000000004</v>
      </c>
      <c r="D108" s="347">
        <v>4.2</v>
      </c>
      <c r="F108" s="49" t="s">
        <v>109</v>
      </c>
      <c r="G108" s="147">
        <f>(B114*($B$26+$K$26+$T$26+$W$26)+F114*($E$26+$H$26+$Q$26))*1000</f>
        <v>3443400</v>
      </c>
      <c r="H108" s="753">
        <v>0.1</v>
      </c>
      <c r="L108" s="65"/>
    </row>
    <row r="109" spans="1:50">
      <c r="A109" s="48"/>
      <c r="B109" s="49"/>
      <c r="C109" s="49">
        <f>SUM(C107:C108)</f>
        <v>31950.000000000004</v>
      </c>
      <c r="D109" s="80">
        <f>(C107*D107+C108*D108)/C109</f>
        <v>4.2</v>
      </c>
      <c r="F109" s="49"/>
      <c r="G109" s="49">
        <f>SUM(G107:G108)</f>
        <v>3443400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4.2857142857142856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5410-C533-4579-A193-3B057E4BA9B8}">
  <dimension ref="A1:BX176"/>
  <sheetViews>
    <sheetView topLeftCell="G1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8.3033999999999997E-2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0.80696570000000001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0.28073051510291958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0.25614658940304585</v>
      </c>
      <c r="AB6" s="854">
        <f>AA6</f>
        <v>0.25614658940304585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1.6959999999999999E-2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7.6520000000000005E-2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1.6959999999999999E-2</v>
      </c>
      <c r="U7" s="251">
        <v>0</v>
      </c>
      <c r="V7" s="673">
        <v>8.8307347015228521E-2</v>
      </c>
      <c r="W7" s="672">
        <f>IF(WB$26&lt;&gt;0,$D$115,0)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2.7989629629629628E-2</v>
      </c>
      <c r="AB7" s="857">
        <f>AA7</f>
        <v>2.7989629629629628E-2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>
        <f>ROUND(AX7/$B$26,3)</f>
        <v>0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>
        <f>ROUND(BD7/$T$26,3)</f>
        <v>0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2.478E-2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2.9820000000000003E-2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2.478E-2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2.5713333333333331E-2</v>
      </c>
      <c r="AB8" s="857">
        <f t="shared" ref="AB8:AB11" si="1">AA8</f>
        <v>2.5713333333333331E-2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>
        <f>ROUND(AX8/$B$26,3)</f>
        <v>0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>
        <f>ROUND(BD8/$T$26,3)</f>
        <v>0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2.4213410699588479E-2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2.4213410699588479E-2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2.4213410699588479E-2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2.4213410699588479E-2</v>
      </c>
      <c r="AB9" s="857">
        <f t="shared" si="1"/>
        <v>2.4213410699588479E-2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>
        <f>ROUND(AX9/$B$26,3)</f>
        <v>0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>
        <f>ROUND(BD9/$T$26,3)</f>
        <v>0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4.9353872427983538E-3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4.9353872427983538E-3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4.9353872427983538E-3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4.9353872427983538E-3</v>
      </c>
      <c r="AB10" s="857">
        <f t="shared" si="1"/>
        <v>4.9353872427983538E-3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>
        <f>ROUND(AX10/$B$26,3)</f>
        <v>0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>
        <f>ROUND(BD10/$T$26,3)</f>
        <v>0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1.1658313168724281E-2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1.1658313168724281E-2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1.1658313168724281E-2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1.1658313168724283E-2</v>
      </c>
      <c r="AB11" s="875">
        <f t="shared" si="1"/>
        <v>1.1658313168724283E-2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>
        <f>ROUND(AX11/$B$26,3)</f>
        <v>0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>
        <f>ROUND(BD11/$T$26,3)</f>
        <v>0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0.16558111111111112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0.95411281111111113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0.3632776262140307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0.35065666347711993</v>
      </c>
      <c r="AB12" s="857">
        <f>SUM(AB6:AB11)</f>
        <v>0.35065666347711993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3.0416912797026418E-2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3.0416912797026418E-2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3.0416912797026418E-2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3.0416912797026418E-2</v>
      </c>
      <c r="AB14" s="857">
        <f>AB22-AB12</f>
        <v>1.060103703703702E-2</v>
      </c>
      <c r="AC14" s="858">
        <f>AA14-AB14</f>
        <v>1.9815875759989398E-2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>
        <f t="shared" ref="BH14:BH19" si="14">ROUND(AX14/$B$26,3)</f>
        <v>0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>
        <f t="shared" ref="BN14:BN19" si="18">ROUND(BD14/$T$26,3)</f>
        <v>0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1.0316977846364884E-2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1.0316977846364884E-2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1.0316977846364884E-2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1.0316977846364884E-2</v>
      </c>
      <c r="AB15" s="857">
        <f>AB22-AB12-AB14</f>
        <v>0</v>
      </c>
      <c r="AC15" s="858">
        <f>AA15-AB15</f>
        <v>1.0316977846364884E-2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>
        <f t="shared" si="14"/>
        <v>0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>
        <f t="shared" si="18"/>
        <v>0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1.1812828286583478E-2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1.1812828286583478E-2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1.1812828286583478E-2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1.1812828286583477E-2</v>
      </c>
      <c r="AB16" s="857">
        <f>AB22-AB12-AB14-AB15</f>
        <v>0</v>
      </c>
      <c r="AC16" s="858">
        <f t="shared" ref="AC16:AC19" si="20">AA16-AB16</f>
        <v>1.1812828286583477E-2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>
        <f t="shared" si="14"/>
        <v>0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>
        <f t="shared" si="18"/>
        <v>0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>
        <f t="shared" si="14"/>
        <v>0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>
        <f t="shared" si="18"/>
        <v>0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2.3425037037037039E-3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2.3425037037037039E-3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2.3425037037037039E-3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2.3425037037037044E-3</v>
      </c>
      <c r="AB18" s="857">
        <f>AB22-AB12-AB14-AB15-AB16-AB17-AB19</f>
        <v>0</v>
      </c>
      <c r="AC18" s="858">
        <f>AA18-AB18</f>
        <v>2.3425037037037044E-3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>
        <f t="shared" si="14"/>
        <v>0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>
        <f t="shared" si="18"/>
        <v>0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4.333907407407407E-3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4.333907407407407E-3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4.333907407407407E-3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4.3339074074074061E-3</v>
      </c>
      <c r="AB19" s="861">
        <f>AB22-AB12-AB14-AB15-AB16-AB17</f>
        <v>0</v>
      </c>
      <c r="AC19" s="862">
        <f t="shared" si="20"/>
        <v>4.3339074074074061E-3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>
        <f t="shared" si="14"/>
        <v>0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>
        <f t="shared" si="18"/>
        <v>0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5.9223130041085884E-2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5.9223130041085884E-2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5.9223130041085884E-2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5.9223130041085884E-2</v>
      </c>
      <c r="AB20" s="857">
        <f>SUM(AB14:AB19)</f>
        <v>1.060103703703702E-2</v>
      </c>
      <c r="AC20" s="858">
        <f>SUM(AC14:AC19)</f>
        <v>4.8622093004048864E-2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0.22480424115219699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1.0133359411521969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0.42250075625511657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0.4098797935182058</v>
      </c>
      <c r="AB22" s="946">
        <f>AB6+((0.084*(B26+K26+T26+W26))+(0.134*(E26+Q26))+(0.198*H26))/B27</f>
        <v>0.36125770051415695</v>
      </c>
      <c r="AC22" s="865">
        <f>AC12+AC20</f>
        <v>4.8622093004048864E-2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0.22480424115219699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1.0133359411521969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0.42250075625511657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0.4098797935182058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5000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1500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1600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8100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8100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2926.1873741646714</v>
      </c>
      <c r="AC31" s="909">
        <f>AB12*$AA$26</f>
        <v>2840.3189741646715</v>
      </c>
      <c r="AD31" s="909">
        <f>AB20*$AA$26</f>
        <v>85.868399999999866</v>
      </c>
      <c r="BJ31" s="837"/>
    </row>
    <row r="32" spans="1:76" ht="15">
      <c r="A32" s="48" t="s">
        <v>187</v>
      </c>
      <c r="B32" s="938">
        <f>'2025 Summary'!$D$11</f>
        <v>5000</v>
      </c>
      <c r="C32" s="183" t="e">
        <f t="shared" si="24"/>
        <v>#REF!</v>
      </c>
      <c r="D32" s="50">
        <f>B32*1000/600000</f>
        <v>8.3333333333333339</v>
      </c>
      <c r="F32" s="709"/>
      <c r="AA32" s="906" t="s">
        <v>316</v>
      </c>
      <c r="AB32" s="910">
        <f>SUM(AC32:AD32)</f>
        <v>393.83895333279577</v>
      </c>
      <c r="AC32" s="910">
        <f>AC12*AA26</f>
        <v>0</v>
      </c>
      <c r="AD32" s="910">
        <f>AC20*AA26</f>
        <v>393.83895333279577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Summary'!$E$11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Summary'!$F$11</f>
        <v>1500</v>
      </c>
      <c r="C34" s="183" t="e">
        <f t="shared" si="24"/>
        <v>#REF!</v>
      </c>
      <c r="D34" s="50">
        <f>B34*1000/150000</f>
        <v>10</v>
      </c>
      <c r="F34" s="709"/>
      <c r="AA34" s="912" t="s">
        <v>3</v>
      </c>
      <c r="AB34" s="913">
        <f>SUM(AB31:AB33)</f>
        <v>3320.0263274974673</v>
      </c>
      <c r="AC34" s="913">
        <f>SUM(AC31:AC33)</f>
        <v>2840.3189741646715</v>
      </c>
      <c r="AD34" s="913">
        <f>SUM(AD31:AD33)</f>
        <v>479.70735333279561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Summary'!$G$11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Summary'!$H$11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3301.0520474974674</v>
      </c>
      <c r="AC36" s="915">
        <f>SUM(AC34:AC35)</f>
        <v>2840.3189741646715</v>
      </c>
      <c r="AD36" s="915">
        <f>SUM(AD34:AD35)</f>
        <v>460.73307333279558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Summary'!$I$11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Summary'!$J$11</f>
        <v>1600</v>
      </c>
      <c r="C38" s="183" t="e">
        <f t="shared" si="24"/>
        <v>#REF!</v>
      </c>
      <c r="D38" s="50">
        <f>B38*1000/150000</f>
        <v>10.666666666666666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Summary'!$K$11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243.84894784705597</v>
      </c>
      <c r="AC39" s="909">
        <f t="shared" ref="AC39:AD41" si="25">AC31/12</f>
        <v>236.69324784705597</v>
      </c>
      <c r="AD39" s="909">
        <f t="shared" si="25"/>
        <v>7.1556999999999888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32.819912777732981</v>
      </c>
      <c r="AC40" s="910">
        <f t="shared" si="25"/>
        <v>0</v>
      </c>
      <c r="AD40" s="910">
        <f t="shared" si="25"/>
        <v>32.819912777732981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29</v>
      </c>
      <c r="E41" s="1">
        <f>30-D41</f>
        <v>1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276.66886062478898</v>
      </c>
      <c r="AC42" s="913">
        <f>SUM(AC39:AC41)</f>
        <v>236.69324784705597</v>
      </c>
      <c r="AD42" s="913">
        <f>SUM(AD39:AD41)</f>
        <v>39.97561277773297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275.08767062478898</v>
      </c>
      <c r="AC44" s="915">
        <f>SUM(AC42:AC43)</f>
        <v>236.69324784705597</v>
      </c>
      <c r="AD44" s="915">
        <f>SUM(AD42:AD43)</f>
        <v>38.39442277773297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291.9173359336358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10950000</v>
      </c>
      <c r="BQ52" s="26">
        <v>202343432</v>
      </c>
      <c r="BR52" s="183">
        <f t="shared" ref="BR52:BR60" si="37">BQ52/BP52</f>
        <v>18.478852237442922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1185.3224677429569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3600000</v>
      </c>
      <c r="BQ53" s="26">
        <v>0</v>
      </c>
      <c r="BR53" s="183">
        <f t="shared" si="37"/>
        <v>0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189.27208466329279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60000</v>
      </c>
      <c r="BQ56" s="26">
        <v>101933</v>
      </c>
      <c r="BR56" s="183">
        <f t="shared" si="37"/>
        <v>1.6988833333333333</v>
      </c>
      <c r="BS56" s="341">
        <f>143105.19/BQ56</f>
        <v>1.4039142377836422</v>
      </c>
      <c r="BT56" s="341">
        <f>143105.19/BR56</f>
        <v>84234.854267018542</v>
      </c>
      <c r="BU56" s="341"/>
      <c r="BV56" s="341">
        <f>143105.19/BS56</f>
        <v>101933</v>
      </c>
      <c r="BW56" s="341">
        <f>143105.19/BT56</f>
        <v>1.6988833333333331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134.88050260914511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135000.00000000003</v>
      </c>
      <c r="BQ57" s="26">
        <v>84108</v>
      </c>
      <c r="BR57" s="183">
        <f t="shared" si="37"/>
        <v>0.62302222222222203</v>
      </c>
      <c r="BS57" s="341">
        <f>38613.79/BQ57</f>
        <v>0.45909770770913588</v>
      </c>
      <c r="BT57" s="341">
        <f>38613.79/BR57</f>
        <v>61978.190540733362</v>
      </c>
      <c r="BU57" s="341"/>
      <c r="BV57" s="341">
        <f>38613.79/BS57</f>
        <v>84108</v>
      </c>
      <c r="BW57" s="341">
        <f>38613.79/BT57</f>
        <v>0.62302222222222203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19.196433215640837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60000</v>
      </c>
      <c r="BQ58" s="26">
        <v>47388</v>
      </c>
      <c r="BR58" s="183">
        <f t="shared" si="37"/>
        <v>0.78979999999999995</v>
      </c>
      <c r="BS58" s="341">
        <f>2705.86/BQ58</f>
        <v>5.710010973242171E-2</v>
      </c>
      <c r="BT58" s="341">
        <f>2705.86/BR58</f>
        <v>3426.0065839453032</v>
      </c>
      <c r="BU58" s="341"/>
      <c r="BV58" s="341">
        <f>2705.86/BS58</f>
        <v>47388</v>
      </c>
      <c r="BW58" s="341">
        <f>2705.86/BT58</f>
        <v>0.78979999999999995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56.88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360000.00000000006</v>
      </c>
      <c r="BQ59" s="26">
        <v>560786</v>
      </c>
      <c r="BR59" s="183">
        <f t="shared" si="37"/>
        <v>1.5577388888888886</v>
      </c>
      <c r="BS59" s="341">
        <f>49077.4/BQ59</f>
        <v>8.7515380198507103E-2</v>
      </c>
      <c r="BT59" s="341">
        <f>49077.4/BR59</f>
        <v>31505.536871462562</v>
      </c>
      <c r="BU59" s="341"/>
      <c r="BV59" s="341">
        <f>49077.4/BS59</f>
        <v>560786</v>
      </c>
      <c r="BW59" s="341">
        <f>49077.4/BT59</f>
        <v>1.5577388888888886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197.31854999999999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21450</v>
      </c>
      <c r="BQ60" s="26">
        <v>208883</v>
      </c>
      <c r="BR60" s="183">
        <f t="shared" si="37"/>
        <v>9.7381351981351987</v>
      </c>
      <c r="BS60" s="341">
        <f>1269211.15/BQ60</f>
        <v>6.0761821210917111</v>
      </c>
      <c r="BT60" s="341">
        <f>1269211.15/BR60</f>
        <v>130334.1064974172</v>
      </c>
      <c r="BU60" s="341"/>
      <c r="BV60" s="341">
        <f>1269211.15/BS60</f>
        <v>208883</v>
      </c>
      <c r="BW60" s="341">
        <f>1269211.15/BT60</f>
        <v>9.7381351981351987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1477.2398036765926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597.54757048807869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2074.7873741646713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181626.25400399356</v>
      </c>
      <c r="BB75" s="841">
        <f>($F$78+$F$80+$F$82+$F$86-$F$88)/$B$27*($E$26+$H$26)</f>
        <v>54487.876201198073</v>
      </c>
      <c r="BC75" s="841"/>
      <c r="BD75" s="841"/>
      <c r="BE75" s="841"/>
      <c r="BF75" s="841"/>
      <c r="BG75" s="841"/>
      <c r="BH75" s="841"/>
      <c r="BI75" s="841">
        <f>SUM(BA75:BB75)</f>
        <v>236114.13020519161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>
        <f>$BJ$77*BK77*$B$26</f>
        <v>0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#VALUE!</v>
      </c>
      <c r="BA77" s="933">
        <f>SUM(BA75:BA76)</f>
        <v>181626.25400399356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>
        <f>BA77/$B$26</f>
        <v>36.325250800798713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>
        <f>($B$79+$B$81+$B$84)/($E$26+$H$26)*($E$26+$H$26)</f>
        <v>88648.03</v>
      </c>
      <c r="BC93" s="929"/>
      <c r="BD93" s="929"/>
      <c r="BE93" s="929"/>
      <c r="BF93" s="929"/>
      <c r="BG93" s="929"/>
      <c r="BH93" s="929"/>
      <c r="BI93" s="929">
        <f>SUM(BA93:BB93)</f>
        <v>88648.03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1119360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49590</v>
      </c>
      <c r="D108" s="347">
        <v>4.2</v>
      </c>
      <c r="F108" s="49" t="s">
        <v>109</v>
      </c>
      <c r="G108" s="147">
        <f>(B114*($B$26+$K$26+$T$26+$W$26)+F114*($E$26+$H$26+$Q$26))*1000</f>
        <v>1147800</v>
      </c>
      <c r="H108" s="753">
        <v>0.1</v>
      </c>
      <c r="L108" s="65"/>
    </row>
    <row r="109" spans="1:50">
      <c r="A109" s="48"/>
      <c r="B109" s="49"/>
      <c r="C109" s="49">
        <f>SUM(C107:C108)</f>
        <v>49590</v>
      </c>
      <c r="D109" s="80">
        <f>(C107*D107+C108*D108)/C109</f>
        <v>4.2</v>
      </c>
      <c r="F109" s="49"/>
      <c r="G109" s="49">
        <f>SUM(G107:G108)</f>
        <v>2267160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4.1428571428571432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E554-33B5-4430-BA7E-9D76A25B6B77}">
  <dimension ref="A1:BX176"/>
  <sheetViews>
    <sheetView topLeftCell="P1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8.3033999999999997E-2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8.3033999999999997E-2</v>
      </c>
      <c r="AB6" s="854">
        <f>AA6</f>
        <v>8.3033999999999997E-2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1.6959999999999999E-2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1.6959999999999999E-2</v>
      </c>
      <c r="AB7" s="857">
        <f>AA7</f>
        <v>1.6959999999999999E-2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>
        <f>ROUND(AX7/$B$26,3)</f>
        <v>0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2.478E-2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2.478E-2</v>
      </c>
      <c r="AB8" s="857">
        <f t="shared" ref="AB8:AB11" si="1">AA8</f>
        <v>2.478E-2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>
        <f>ROUND(AX8/$B$26,3)</f>
        <v>0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1.3075241777777778E-2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1.3075241777777778E-2</v>
      </c>
      <c r="AB9" s="857">
        <f t="shared" si="1"/>
        <v>1.3075241777777778E-2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>
        <f>ROUND(AX9/$B$26,3)</f>
        <v>0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2.6651091111111113E-3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2.6651091111111113E-3</v>
      </c>
      <c r="AB10" s="857">
        <f t="shared" si="1"/>
        <v>2.6651091111111113E-3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>
        <f>ROUND(AX10/$B$26,3)</f>
        <v>0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6.2954891111111112E-3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6.2954891111111112E-3</v>
      </c>
      <c r="AB11" s="875">
        <f t="shared" si="1"/>
        <v>6.2954891111111112E-3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>
        <f>ROUND(AX11/$B$26,3)</f>
        <v>0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0.14680984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0.14680984</v>
      </c>
      <c r="AB12" s="857">
        <f>SUM(AB6:AB11)</f>
        <v>0.14680984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1.6425132910394265E-2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1.6425132910394265E-2</v>
      </c>
      <c r="AB14" s="857">
        <f>AB22-AB12</f>
        <v>2.0224160000000019E-2</v>
      </c>
      <c r="AC14" s="858">
        <f>AA14-AB14</f>
        <v>-3.7990270896057533E-3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>
        <f t="shared" ref="BH14:BH19" si="14">ROUND(AX14/$B$26,3)</f>
        <v>0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5.571168037037038E-3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5.571168037037038E-3</v>
      </c>
      <c r="AB15" s="857">
        <f>AB22-AB12-AB14</f>
        <v>0</v>
      </c>
      <c r="AC15" s="858">
        <f>AA15-AB15</f>
        <v>5.571168037037038E-3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>
        <f t="shared" si="14"/>
        <v>0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6.3789272747550784E-3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6.3789272747550784E-3</v>
      </c>
      <c r="AB16" s="857">
        <f>AB22-AB12-AB14-AB15</f>
        <v>0</v>
      </c>
      <c r="AC16" s="858">
        <f t="shared" ref="AC16:AC19" si="20">AA16-AB16</f>
        <v>6.3789272747550784E-3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>
        <f t="shared" si="14"/>
        <v>0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>
        <f t="shared" si="14"/>
        <v>0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1.2649520000000002E-3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1.2649520000000002E-3</v>
      </c>
      <c r="AB18" s="857">
        <f>AB22-AB12-AB14-AB15-AB16-AB17-AB19</f>
        <v>0</v>
      </c>
      <c r="AC18" s="858">
        <f>AA18-AB18</f>
        <v>1.2649520000000002E-3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>
        <f t="shared" si="14"/>
        <v>0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2.34031E-3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2.34031E-3</v>
      </c>
      <c r="AB19" s="861">
        <f>AB22-AB12-AB14-AB15-AB16-AB17</f>
        <v>0</v>
      </c>
      <c r="AC19" s="862">
        <f t="shared" si="20"/>
        <v>2.34031E-3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>
        <f t="shared" si="14"/>
        <v>0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3.1980490222186381E-2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3.1980490222186381E-2</v>
      </c>
      <c r="AB20" s="857">
        <f>SUM(AB14:AB19)</f>
        <v>2.0224160000000019E-2</v>
      </c>
      <c r="AC20" s="858">
        <f>SUM(AC14:AC19)</f>
        <v>1.1756330222186364E-2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0.17879033022218638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0.17879033022218638</v>
      </c>
      <c r="AB22" s="946">
        <f>AB6+((0.084*(B26+K26+T26+W26))+(0.134*(E26+Q26))+(0.198*H26))/B27</f>
        <v>0.16703400000000002</v>
      </c>
      <c r="AC22" s="865">
        <f>AC12+AC20</f>
        <v>1.1756330222186364E-2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0.17879033022218638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0.17879033022218638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15000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15000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15000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2505.5100000000002</v>
      </c>
      <c r="AC31" s="909">
        <f>AB12*$AA$26</f>
        <v>2202.1475999999998</v>
      </c>
      <c r="AD31" s="909">
        <f>AB20*$AA$26</f>
        <v>303.36240000000026</v>
      </c>
      <c r="BJ31" s="837"/>
    </row>
    <row r="32" spans="1:76" ht="15">
      <c r="A32" s="48" t="s">
        <v>187</v>
      </c>
      <c r="B32" s="938">
        <f>'2025 Summary'!$D$12</f>
        <v>15000</v>
      </c>
      <c r="C32" s="183" t="e">
        <f t="shared" si="24"/>
        <v>#REF!</v>
      </c>
      <c r="D32" s="50">
        <f>B32*1000/600000</f>
        <v>25</v>
      </c>
      <c r="F32" s="709"/>
      <c r="AA32" s="906" t="s">
        <v>316</v>
      </c>
      <c r="AB32" s="910">
        <f>SUM(AC32:AD32)</f>
        <v>176.34495333279546</v>
      </c>
      <c r="AC32" s="910">
        <f>AC12*AA26</f>
        <v>0</v>
      </c>
      <c r="AD32" s="910">
        <f>AC20*AA26</f>
        <v>176.34495333279546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Summary'!$E$12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Summary'!$F$12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>
        <f>SUM(AB31:AB33)</f>
        <v>2681.8549533327955</v>
      </c>
      <c r="AC34" s="913">
        <f>SUM(AC31:AC33)</f>
        <v>2202.1475999999998</v>
      </c>
      <c r="AD34" s="913">
        <f>SUM(AD31:AD33)</f>
        <v>479.70735333279572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Summary'!$G$12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Summary'!$H$12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2662.8806733327956</v>
      </c>
      <c r="AC36" s="915">
        <f>SUM(AC34:AC35)</f>
        <v>2202.1475999999998</v>
      </c>
      <c r="AD36" s="915">
        <f>SUM(AD34:AD35)</f>
        <v>460.7330733327957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Summary'!$I$12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Summary'!$J$12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Summary'!$K$12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208.79250000000002</v>
      </c>
      <c r="AC39" s="909">
        <f t="shared" ref="AC39:AD41" si="25">AC31/12</f>
        <v>183.51229999999998</v>
      </c>
      <c r="AD39" s="909">
        <f t="shared" si="25"/>
        <v>25.280200000000022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14.695412777732955</v>
      </c>
      <c r="AC40" s="910">
        <f t="shared" si="25"/>
        <v>0</v>
      </c>
      <c r="AD40" s="910">
        <f t="shared" si="25"/>
        <v>14.695412777732955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25</v>
      </c>
      <c r="E41" s="1">
        <f>30-D41</f>
        <v>5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223.48791277773296</v>
      </c>
      <c r="AC42" s="913">
        <f>SUM(AC39:AC41)</f>
        <v>183.51229999999998</v>
      </c>
      <c r="AD42" s="913">
        <f>SUM(AD39:AD41)</f>
        <v>39.975612777732977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221.90672277773297</v>
      </c>
      <c r="AC44" s="915">
        <f>SUM(AC42:AC43)</f>
        <v>183.51229999999998</v>
      </c>
      <c r="AD44" s="915">
        <f>SUM(AD42:AD43)</f>
        <v>38.394422777732977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663.56999999999994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32850000</v>
      </c>
      <c r="BQ52" s="26">
        <v>202343432</v>
      </c>
      <c r="BR52" s="183">
        <f t="shared" ref="BR52:BR60" si="37">BQ52/BP52</f>
        <v>6.1596174124809737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406.26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180000</v>
      </c>
      <c r="BQ56" s="26">
        <v>101933</v>
      </c>
      <c r="BR56" s="183">
        <f t="shared" si="37"/>
        <v>0.56629444444444443</v>
      </c>
      <c r="BS56" s="341">
        <f>143105.19/BQ56</f>
        <v>1.4039142377836422</v>
      </c>
      <c r="BT56" s="341">
        <f>143105.19/BR56</f>
        <v>252704.56280105561</v>
      </c>
      <c r="BU56" s="341"/>
      <c r="BV56" s="341">
        <f>143105.19/BS56</f>
        <v>101933</v>
      </c>
      <c r="BW56" s="341">
        <f>143105.19/BT56</f>
        <v>0.56629444444444443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135.00000000000003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180000.00000000003</v>
      </c>
      <c r="BQ57" s="26">
        <v>84108</v>
      </c>
      <c r="BR57" s="183">
        <f t="shared" si="37"/>
        <v>0.46726666666666661</v>
      </c>
      <c r="BS57" s="341">
        <f>38613.79/BQ57</f>
        <v>0.45909770770913588</v>
      </c>
      <c r="BT57" s="341">
        <f>38613.79/BR57</f>
        <v>82637.587387644468</v>
      </c>
      <c r="BU57" s="341"/>
      <c r="BV57" s="341">
        <f>38613.79/BS57</f>
        <v>84108</v>
      </c>
      <c r="BW57" s="341">
        <f>38613.79/BT57</f>
        <v>0.46726666666666661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40.68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180000</v>
      </c>
      <c r="BQ58" s="26">
        <v>47388</v>
      </c>
      <c r="BR58" s="183">
        <f t="shared" si="37"/>
        <v>0.26326666666666665</v>
      </c>
      <c r="BS58" s="341">
        <f>2705.86/BQ58</f>
        <v>5.710010973242171E-2</v>
      </c>
      <c r="BT58" s="341">
        <f>2705.86/BR58</f>
        <v>10278.019751835909</v>
      </c>
      <c r="BU58" s="341"/>
      <c r="BV58" s="341">
        <f>2705.86/BS58</f>
        <v>47388</v>
      </c>
      <c r="BW58" s="341">
        <f>2705.86/BT58</f>
        <v>0.26326666666666665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0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0</v>
      </c>
      <c r="BQ59" s="26">
        <v>560786</v>
      </c>
      <c r="BR59" s="183" t="e">
        <f t="shared" si="37"/>
        <v>#DIV/0!</v>
      </c>
      <c r="BS59" s="341">
        <f>49077.4/BQ59</f>
        <v>8.7515380198507103E-2</v>
      </c>
      <c r="BT59" s="341" t="e">
        <f>49077.4/BR59</f>
        <v>#DIV/0!</v>
      </c>
      <c r="BU59" s="341"/>
      <c r="BV59" s="341">
        <f>49077.4/BS59</f>
        <v>560786</v>
      </c>
      <c r="BW59" s="341" t="e">
        <f>49077.4/BT59</f>
        <v>#DIV/0!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0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0</v>
      </c>
      <c r="BQ60" s="26">
        <v>208883</v>
      </c>
      <c r="BR60" s="183" t="e">
        <f t="shared" si="37"/>
        <v>#DIV/0!</v>
      </c>
      <c r="BS60" s="341">
        <f>1269211.15/BQ60</f>
        <v>6.0761821210917111</v>
      </c>
      <c r="BT60" s="341" t="e">
        <f>1269211.15/BR60</f>
        <v>#DIV/0!</v>
      </c>
      <c r="BU60" s="341"/>
      <c r="BV60" s="341">
        <f>1269211.15/BS60</f>
        <v>208883</v>
      </c>
      <c r="BW60" s="341" t="e">
        <f>1269211.15/BT60</f>
        <v>#DIV/0!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663.56999999999994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581.93999999999994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1245.5099999999998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294234.53148646955</v>
      </c>
      <c r="BB75" s="841">
        <f>($F$78+$F$80+$F$82+$F$86-$F$88)/$B$27*($E$26+$H$26)</f>
        <v>0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>
        <f>$BJ$77*BK77*$B$26</f>
        <v>0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#VALUE!</v>
      </c>
      <c r="BA77" s="933">
        <f>SUM(BA75:BA76)</f>
        <v>294234.53148646955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>
        <f>BA77/$B$26</f>
        <v>19.615635432431304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 t="e">
        <f>($B$79+$B$81+$B$84)/($E$26+$H$26)*($E$26+$H$26)</f>
        <v>#DIV/0!</v>
      </c>
      <c r="BC93" s="929"/>
      <c r="BD93" s="929"/>
      <c r="BE93" s="929"/>
      <c r="BF93" s="929"/>
      <c r="BG93" s="929"/>
      <c r="BH93" s="929"/>
      <c r="BI93" s="929" t="e">
        <f>SUM(BA93:BB93)</f>
        <v>#DIV/0!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2544000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88500</v>
      </c>
      <c r="D108" s="347">
        <v>4.2</v>
      </c>
      <c r="F108" s="49" t="s">
        <v>109</v>
      </c>
      <c r="G108" s="147">
        <f>(B114*($B$26+$K$26+$T$26+$W$26)+F114*($E$26+$H$26+$Q$26))*1000</f>
        <v>0</v>
      </c>
      <c r="H108" s="753">
        <v>0.1</v>
      </c>
      <c r="L108" s="65"/>
    </row>
    <row r="109" spans="1:50">
      <c r="A109" s="48"/>
      <c r="B109" s="49"/>
      <c r="C109" s="49">
        <f>SUM(C107:C108)</f>
        <v>88500</v>
      </c>
      <c r="D109" s="80">
        <f>(C107*D107+C108*D108)/C109</f>
        <v>4.2</v>
      </c>
      <c r="F109" s="49"/>
      <c r="G109" s="49">
        <f>SUM(G107:G108)</f>
        <v>2544000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3.5714285714285716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73E7-8F88-41B6-A0C0-D9201C6620AD}">
  <dimension ref="A1:BX176"/>
  <sheetViews>
    <sheetView topLeftCell="M3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8.3033999999999997E-2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8.3033999999999997E-2</v>
      </c>
      <c r="AB6" s="854">
        <f>AA6</f>
        <v>8.3033999999999997E-2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1.6959999999999999E-2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1.6959999999999999E-2</v>
      </c>
      <c r="AB7" s="857">
        <f>AA7</f>
        <v>1.6959999999999999E-2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>
        <f>ROUND(AX7/$B$26,3)</f>
        <v>0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2.478E-2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2.478E-2</v>
      </c>
      <c r="AB8" s="857">
        <f t="shared" ref="AB8:AB11" si="1">AA8</f>
        <v>2.478E-2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>
        <f>ROUND(AX8/$B$26,3)</f>
        <v>0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1.3075241777777778E-2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1.3075241777777778E-2</v>
      </c>
      <c r="AB9" s="857">
        <f t="shared" si="1"/>
        <v>1.3075241777777778E-2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>
        <f>ROUND(AX9/$B$26,3)</f>
        <v>0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2.6651091111111113E-3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2.6651091111111113E-3</v>
      </c>
      <c r="AB10" s="857">
        <f t="shared" si="1"/>
        <v>2.6651091111111113E-3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>
        <f>ROUND(AX10/$B$26,3)</f>
        <v>0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6.2954891111111112E-3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6.2954891111111112E-3</v>
      </c>
      <c r="AB11" s="875">
        <f t="shared" si="1"/>
        <v>6.2954891111111112E-3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>
        <f>ROUND(AX11/$B$26,3)</f>
        <v>0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0.14680984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0.14680984</v>
      </c>
      <c r="AB12" s="857">
        <f>SUM(AB6:AB11)</f>
        <v>0.14680984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1.6425132910394265E-2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1.6425132910394265E-2</v>
      </c>
      <c r="AB14" s="857">
        <f>AB22-AB12</f>
        <v>2.0224160000000019E-2</v>
      </c>
      <c r="AC14" s="858">
        <f>AA14-AB14</f>
        <v>-3.7990270896057533E-3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>
        <f t="shared" ref="BH14:BH19" si="14">ROUND(AX14/$B$26,3)</f>
        <v>0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5.571168037037038E-3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5.571168037037038E-3</v>
      </c>
      <c r="AB15" s="857">
        <f>AB22-AB12-AB14</f>
        <v>0</v>
      </c>
      <c r="AC15" s="858">
        <f>AA15-AB15</f>
        <v>5.571168037037038E-3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>
        <f t="shared" si="14"/>
        <v>0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6.3789272747550784E-3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6.3789272747550784E-3</v>
      </c>
      <c r="AB16" s="857">
        <f>AB22-AB12-AB14-AB15</f>
        <v>0</v>
      </c>
      <c r="AC16" s="858">
        <f t="shared" ref="AC16:AC19" si="20">AA16-AB16</f>
        <v>6.3789272747550784E-3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>
        <f t="shared" si="14"/>
        <v>0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>
        <f t="shared" si="14"/>
        <v>0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1.2649520000000002E-3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1.2649520000000002E-3</v>
      </c>
      <c r="AB18" s="857">
        <f>AB22-AB12-AB14-AB15-AB16-AB17-AB19</f>
        <v>0</v>
      </c>
      <c r="AC18" s="858">
        <f>AA18-AB18</f>
        <v>1.2649520000000002E-3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>
        <f t="shared" si="14"/>
        <v>0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2.34031E-3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2.34031E-3</v>
      </c>
      <c r="AB19" s="861">
        <f>AB22-AB12-AB14-AB15-AB16-AB17</f>
        <v>0</v>
      </c>
      <c r="AC19" s="862">
        <f t="shared" si="20"/>
        <v>2.34031E-3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>
        <f t="shared" si="14"/>
        <v>0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3.1980490222186381E-2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3.1980490222186381E-2</v>
      </c>
      <c r="AB20" s="857">
        <f>SUM(AB14:AB19)</f>
        <v>2.0224160000000019E-2</v>
      </c>
      <c r="AC20" s="858">
        <f>SUM(AC14:AC19)</f>
        <v>1.1756330222186364E-2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0.17879033022218638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0.17879033022218638</v>
      </c>
      <c r="AB22" s="946">
        <f>AB6+((0.084*(B26+K26+T26+W26))+(0.134*(E26+Q26))+(0.198*H26))/B27</f>
        <v>0.16703400000000002</v>
      </c>
      <c r="AC22" s="865">
        <f>AC12+AC20</f>
        <v>1.1756330222186364E-2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0.17879033022218638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0.17879033022218638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15000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15000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15000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2505.5100000000002</v>
      </c>
      <c r="AC31" s="909">
        <f>AB12*$AA$26</f>
        <v>2202.1475999999998</v>
      </c>
      <c r="AD31" s="909">
        <f>AB20*$AA$26</f>
        <v>303.36240000000026</v>
      </c>
      <c r="BJ31" s="837"/>
    </row>
    <row r="32" spans="1:76" ht="15">
      <c r="A32" s="48" t="s">
        <v>187</v>
      </c>
      <c r="B32" s="938">
        <f>'2025 Summary'!$D$13</f>
        <v>15000</v>
      </c>
      <c r="C32" s="183" t="e">
        <f t="shared" si="24"/>
        <v>#REF!</v>
      </c>
      <c r="D32" s="50">
        <f>B32*1000/600000</f>
        <v>25</v>
      </c>
      <c r="F32" s="709"/>
      <c r="AA32" s="906" t="s">
        <v>316</v>
      </c>
      <c r="AB32" s="910">
        <f>SUM(AC32:AD32)</f>
        <v>176.34495333279546</v>
      </c>
      <c r="AC32" s="910">
        <f>AC12*AA26</f>
        <v>0</v>
      </c>
      <c r="AD32" s="910">
        <f>AC20*AA26</f>
        <v>176.34495333279546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Summary'!$E$13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Summary'!$F$13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>
        <f>SUM(AB31:AB33)</f>
        <v>2681.8549533327955</v>
      </c>
      <c r="AC34" s="913">
        <f>SUM(AC31:AC33)</f>
        <v>2202.1475999999998</v>
      </c>
      <c r="AD34" s="913">
        <f>SUM(AD31:AD33)</f>
        <v>479.70735333279572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Summary'!$G$13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Summary'!$H$13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2662.8806733327956</v>
      </c>
      <c r="AC36" s="915">
        <f>SUM(AC34:AC35)</f>
        <v>2202.1475999999998</v>
      </c>
      <c r="AD36" s="915">
        <f>SUM(AD34:AD35)</f>
        <v>460.7330733327957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Summary'!$I$13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Summary'!$J$13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Summary'!$K$13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208.79250000000002</v>
      </c>
      <c r="AC39" s="909">
        <f t="shared" ref="AC39:AD41" si="25">AC31/12</f>
        <v>183.51229999999998</v>
      </c>
      <c r="AD39" s="909">
        <f t="shared" si="25"/>
        <v>25.280200000000022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14.695412777732955</v>
      </c>
      <c r="AC40" s="910">
        <f t="shared" si="25"/>
        <v>0</v>
      </c>
      <c r="AD40" s="910">
        <f t="shared" si="25"/>
        <v>14.695412777732955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25</v>
      </c>
      <c r="E41" s="1">
        <f>30-D41</f>
        <v>5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223.48791277773296</v>
      </c>
      <c r="AC42" s="913">
        <f>SUM(AC39:AC41)</f>
        <v>183.51229999999998</v>
      </c>
      <c r="AD42" s="913">
        <f>SUM(AD39:AD41)</f>
        <v>39.975612777732977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221.90672277773297</v>
      </c>
      <c r="AC44" s="915">
        <f>SUM(AC42:AC43)</f>
        <v>183.51229999999998</v>
      </c>
      <c r="AD44" s="915">
        <f>SUM(AD42:AD43)</f>
        <v>38.394422777732977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663.56999999999994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32850000</v>
      </c>
      <c r="BQ52" s="26">
        <v>202343432</v>
      </c>
      <c r="BR52" s="183">
        <f t="shared" ref="BR52:BR60" si="37">BQ52/BP52</f>
        <v>6.1596174124809737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406.26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180000</v>
      </c>
      <c r="BQ56" s="26">
        <v>101933</v>
      </c>
      <c r="BR56" s="183">
        <f t="shared" si="37"/>
        <v>0.56629444444444443</v>
      </c>
      <c r="BS56" s="341">
        <f>143105.19/BQ56</f>
        <v>1.4039142377836422</v>
      </c>
      <c r="BT56" s="341">
        <f>143105.19/BR56</f>
        <v>252704.56280105561</v>
      </c>
      <c r="BU56" s="341"/>
      <c r="BV56" s="341">
        <f>143105.19/BS56</f>
        <v>101933</v>
      </c>
      <c r="BW56" s="341">
        <f>143105.19/BT56</f>
        <v>0.56629444444444443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135.00000000000003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180000.00000000003</v>
      </c>
      <c r="BQ57" s="26">
        <v>84108</v>
      </c>
      <c r="BR57" s="183">
        <f t="shared" si="37"/>
        <v>0.46726666666666661</v>
      </c>
      <c r="BS57" s="341">
        <f>38613.79/BQ57</f>
        <v>0.45909770770913588</v>
      </c>
      <c r="BT57" s="341">
        <f>38613.79/BR57</f>
        <v>82637.587387644468</v>
      </c>
      <c r="BU57" s="341"/>
      <c r="BV57" s="341">
        <f>38613.79/BS57</f>
        <v>84108</v>
      </c>
      <c r="BW57" s="341">
        <f>38613.79/BT57</f>
        <v>0.46726666666666661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40.68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180000</v>
      </c>
      <c r="BQ58" s="26">
        <v>47388</v>
      </c>
      <c r="BR58" s="183">
        <f t="shared" si="37"/>
        <v>0.26326666666666665</v>
      </c>
      <c r="BS58" s="341">
        <f>2705.86/BQ58</f>
        <v>5.710010973242171E-2</v>
      </c>
      <c r="BT58" s="341">
        <f>2705.86/BR58</f>
        <v>10278.019751835909</v>
      </c>
      <c r="BU58" s="341"/>
      <c r="BV58" s="341">
        <f>2705.86/BS58</f>
        <v>47388</v>
      </c>
      <c r="BW58" s="341">
        <f>2705.86/BT58</f>
        <v>0.26326666666666665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0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0</v>
      </c>
      <c r="BQ59" s="26">
        <v>560786</v>
      </c>
      <c r="BR59" s="183" t="e">
        <f t="shared" si="37"/>
        <v>#DIV/0!</v>
      </c>
      <c r="BS59" s="341">
        <f>49077.4/BQ59</f>
        <v>8.7515380198507103E-2</v>
      </c>
      <c r="BT59" s="341" t="e">
        <f>49077.4/BR59</f>
        <v>#DIV/0!</v>
      </c>
      <c r="BU59" s="341"/>
      <c r="BV59" s="341">
        <f>49077.4/BS59</f>
        <v>560786</v>
      </c>
      <c r="BW59" s="341" t="e">
        <f>49077.4/BT59</f>
        <v>#DIV/0!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0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0</v>
      </c>
      <c r="BQ60" s="26">
        <v>208883</v>
      </c>
      <c r="BR60" s="183" t="e">
        <f t="shared" si="37"/>
        <v>#DIV/0!</v>
      </c>
      <c r="BS60" s="341">
        <f>1269211.15/BQ60</f>
        <v>6.0761821210917111</v>
      </c>
      <c r="BT60" s="341" t="e">
        <f>1269211.15/BR60</f>
        <v>#DIV/0!</v>
      </c>
      <c r="BU60" s="341"/>
      <c r="BV60" s="341">
        <f>1269211.15/BS60</f>
        <v>208883</v>
      </c>
      <c r="BW60" s="341" t="e">
        <f>1269211.15/BT60</f>
        <v>#DIV/0!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663.56999999999994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581.93999999999994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1245.5099999999998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294234.53148646955</v>
      </c>
      <c r="BB75" s="841">
        <f>($F$78+$F$80+$F$82+$F$86-$F$88)/$B$27*($E$26+$H$26)</f>
        <v>0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>
        <f>$BJ$77*BK77*$B$26</f>
        <v>0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#VALUE!</v>
      </c>
      <c r="BA77" s="933">
        <f>SUM(BA75:BA76)</f>
        <v>294234.53148646955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>
        <f>BA77/$B$26</f>
        <v>19.615635432431304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 t="e">
        <f>($B$79+$B$81+$B$84)/($E$26+$H$26)*($E$26+$H$26)</f>
        <v>#DIV/0!</v>
      </c>
      <c r="BC93" s="929"/>
      <c r="BD93" s="929"/>
      <c r="BE93" s="929"/>
      <c r="BF93" s="929"/>
      <c r="BG93" s="929"/>
      <c r="BH93" s="929"/>
      <c r="BI93" s="929" t="e">
        <f>SUM(BA93:BB93)</f>
        <v>#DIV/0!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2544000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88500</v>
      </c>
      <c r="D108" s="347">
        <v>4.2</v>
      </c>
      <c r="F108" s="49" t="s">
        <v>109</v>
      </c>
      <c r="G108" s="147">
        <f>(B114*($B$26+$K$26+$T$26+$W$26)+F114*($E$26+$H$26+$Q$26))*1000</f>
        <v>0</v>
      </c>
      <c r="H108" s="753">
        <v>0.1</v>
      </c>
      <c r="L108" s="65"/>
    </row>
    <row r="109" spans="1:50">
      <c r="A109" s="48"/>
      <c r="B109" s="49"/>
      <c r="C109" s="49">
        <f>SUM(C107:C108)</f>
        <v>88500</v>
      </c>
      <c r="D109" s="80">
        <f>(C107*D107+C108*D108)/C109</f>
        <v>4.2</v>
      </c>
      <c r="F109" s="49"/>
      <c r="G109" s="49">
        <f>SUM(G107:G108)</f>
        <v>2544000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3.5714285714285716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7B3A-5133-4236-969E-3DEB3C381E63}">
  <dimension ref="A1:BX176"/>
  <sheetViews>
    <sheetView topLeftCell="M2"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8.3033999999999997E-2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>
        <f>(B6*B$26+E6*E$26+H6*H$26+K6*K$26+N6*N$26+Q6*Q$26+T6*T$26+W6*W$26)/AA$26</f>
        <v>8.3033999999999997E-2</v>
      </c>
      <c r="AB6" s="854">
        <f>AA6</f>
        <v>8.3033999999999997E-2</v>
      </c>
      <c r="AC6" s="855">
        <f t="shared" ref="AC6:AC11" si="0">AA6-AB6</f>
        <v>0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1.6959999999999999E-2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>
        <f>(B7*B$26+E7*E$26+H7*H$26+K7*K$26+N7*N$26+Q7*Q$26+T7*T$26+W7*W$26)/AA$26</f>
        <v>1.6959999999999999E-2</v>
      </c>
      <c r="AB7" s="857">
        <f>AA7</f>
        <v>1.6959999999999999E-2</v>
      </c>
      <c r="AC7" s="858">
        <f t="shared" si="0"/>
        <v>0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>
        <f>ROUND(AX7/$B$26,3)</f>
        <v>0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2.478E-2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>
        <f>(B8*B$26+E8*E$26+H8*H$26+K8*K$26+N8*N$26+Q8*Q$26+T8*T$26+W8*W$26)/AA$26</f>
        <v>2.478E-2</v>
      </c>
      <c r="AB8" s="857">
        <f t="shared" ref="AB8:AB11" si="1">AA8</f>
        <v>2.478E-2</v>
      </c>
      <c r="AC8" s="858">
        <f t="shared" si="0"/>
        <v>0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>
        <f>ROUND(AX8/$B$26,3)</f>
        <v>0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1.3075241777777778E-2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>
        <f>(B9*B$26+E9*E$26+H9*H$26+K9*K$26+N9*N$26+Q9*Q$26+T9*T$26+W9*W$26)/AA$26</f>
        <v>1.3075241777777778E-2</v>
      </c>
      <c r="AB9" s="857">
        <f t="shared" si="1"/>
        <v>1.3075241777777778E-2</v>
      </c>
      <c r="AC9" s="858">
        <f t="shared" si="0"/>
        <v>0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>
        <f>ROUND(AX9/$B$26,3)</f>
        <v>0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2.6651091111111113E-3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>
        <f>(B10*B$26+E10*E$26+H10*H$26+K10*K$26+N10*N$26+Q10*Q$26+T10*T$26+W10*W$26)/AA$26</f>
        <v>2.6651091111111113E-3</v>
      </c>
      <c r="AB10" s="857">
        <f t="shared" si="1"/>
        <v>2.6651091111111113E-3</v>
      </c>
      <c r="AC10" s="858">
        <f t="shared" si="0"/>
        <v>0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>
        <f>ROUND(AX10/$B$26,3)</f>
        <v>0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6.2954891111111112E-3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>
        <f t="shared" ref="AA11" si="2">(B11*B$26+E11*E$26+H11*H$26+K11*K$26+N11*N$26+Q11*Q$26+T11*T$26+W11*W$26)/AA$26</f>
        <v>6.2954891111111112E-3</v>
      </c>
      <c r="AB11" s="875">
        <f t="shared" si="1"/>
        <v>6.2954891111111112E-3</v>
      </c>
      <c r="AC11" s="862">
        <f t="shared" si="0"/>
        <v>0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>
        <f>ROUND(AX11/$B$26,3)</f>
        <v>0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0.14680984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>
        <f>SUM(AA6:AA11)</f>
        <v>0.14680984</v>
      </c>
      <c r="AB12" s="857">
        <f>SUM(AB6:AB11)</f>
        <v>0.14680984</v>
      </c>
      <c r="AC12" s="858">
        <f>SUM(AC6:AC11)</f>
        <v>0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1.6425132910394265E-2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>
        <f t="shared" ref="AA14:AA19" si="13">(B14*B$26+E14*E$26+H14*H$26+K14*K$26+N14*N$26+Q14*Q$26+T14*T$26+W14*W$26)/AA$26</f>
        <v>1.6425132910394265E-2</v>
      </c>
      <c r="AB14" s="857">
        <f>AB22-AB12</f>
        <v>2.0224160000000019E-2</v>
      </c>
      <c r="AC14" s="858">
        <f>AA14-AB14</f>
        <v>-3.7990270896057533E-3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>
        <f t="shared" ref="BH14:BH19" si="14">ROUND(AX14/$B$26,3)</f>
        <v>0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5.571168037037038E-3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>
        <f t="shared" si="13"/>
        <v>5.571168037037038E-3</v>
      </c>
      <c r="AB15" s="857">
        <f>AB22-AB12-AB14</f>
        <v>0</v>
      </c>
      <c r="AC15" s="858">
        <f>AA15-AB15</f>
        <v>5.571168037037038E-3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>
        <f t="shared" si="14"/>
        <v>0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6.3789272747550784E-3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>
        <f t="shared" si="13"/>
        <v>6.3789272747550784E-3</v>
      </c>
      <c r="AB16" s="857">
        <f>AB22-AB12-AB14-AB15</f>
        <v>0</v>
      </c>
      <c r="AC16" s="858">
        <f t="shared" ref="AC16:AC19" si="20">AA16-AB16</f>
        <v>6.3789272747550784E-3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>
        <f t="shared" si="14"/>
        <v>0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>
        <f t="shared" si="13"/>
        <v>0</v>
      </c>
      <c r="AB17" s="857">
        <f>AB22-AB12-AB14-AB15-AB16</f>
        <v>0</v>
      </c>
      <c r="AC17" s="858">
        <f t="shared" si="20"/>
        <v>0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>
        <f t="shared" si="14"/>
        <v>0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1.2649520000000002E-3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>
        <f t="shared" si="13"/>
        <v>1.2649520000000002E-3</v>
      </c>
      <c r="AB18" s="857">
        <f>AB22-AB12-AB14-AB15-AB16-AB17-AB19</f>
        <v>0</v>
      </c>
      <c r="AC18" s="858">
        <f>AA18-AB18</f>
        <v>1.2649520000000002E-3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>
        <f t="shared" si="14"/>
        <v>0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2.34031E-3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>
        <f t="shared" si="13"/>
        <v>2.34031E-3</v>
      </c>
      <c r="AB19" s="861">
        <f>AB22-AB12-AB14-AB15-AB16-AB17</f>
        <v>0</v>
      </c>
      <c r="AC19" s="862">
        <f t="shared" si="20"/>
        <v>2.34031E-3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>
        <f t="shared" si="14"/>
        <v>0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3.1980490222186381E-2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>
        <f>SUM(AA14:AA19)</f>
        <v>3.1980490222186381E-2</v>
      </c>
      <c r="AB20" s="857">
        <f>SUM(AB14:AB19)</f>
        <v>2.0224160000000019E-2</v>
      </c>
      <c r="AC20" s="858">
        <f>SUM(AC14:AC19)</f>
        <v>1.1756330222186364E-2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0.17879033022218638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>
        <f>AA12+AA20</f>
        <v>0.17879033022218638</v>
      </c>
      <c r="AB22" s="946">
        <f>AB6+((0.084*(B26+K26+T26+W26))+(0.134*(E26+Q26))+(0.198*H26))/B27</f>
        <v>0.16703400000000002</v>
      </c>
      <c r="AC22" s="865">
        <f>AC12+AC20</f>
        <v>1.1756330222186364E-2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>
        <f>+AA24-AA22</f>
        <v>0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0.17879033022218638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>
        <f>(B24*B$26+E24*E$26+H24*H$26+K24*K$26+N24*N$26+Q24*Q$26+T24*T$26+W24*W$26)/AA$26</f>
        <v>0.17879033022218638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15000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15000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15000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>
        <f>SUM(AC31:AD31)</f>
        <v>2505.5100000000002</v>
      </c>
      <c r="AC31" s="909">
        <f>AB12*$AA$26</f>
        <v>2202.1475999999998</v>
      </c>
      <c r="AD31" s="909">
        <f>AB20*$AA$26</f>
        <v>303.36240000000026</v>
      </c>
      <c r="BJ31" s="837"/>
    </row>
    <row r="32" spans="1:76" ht="15">
      <c r="A32" s="48" t="s">
        <v>187</v>
      </c>
      <c r="B32" s="938">
        <f>'2025 Summary'!$D$14</f>
        <v>15000</v>
      </c>
      <c r="C32" s="183" t="e">
        <f t="shared" si="24"/>
        <v>#REF!</v>
      </c>
      <c r="D32" s="50">
        <f>B32*1000/600000</f>
        <v>25</v>
      </c>
      <c r="F32" s="709"/>
      <c r="AA32" s="906" t="s">
        <v>316</v>
      </c>
      <c r="AB32" s="910">
        <f>SUM(AC32:AD32)</f>
        <v>176.34495333279546</v>
      </c>
      <c r="AC32" s="910">
        <f>AC12*AA26</f>
        <v>0</v>
      </c>
      <c r="AD32" s="910">
        <f>AC20*AA26</f>
        <v>176.34495333279546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Summary'!$E$14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0</v>
      </c>
      <c r="AC33" s="911">
        <f>IF(C108&lt;&gt;0,0,(((((D107/1.06564)-0.33)*0.974)-D108)*(240000-C107))/1000)</f>
        <v>0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Summary'!$F$14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>
        <f>SUM(AB31:AB33)</f>
        <v>2681.8549533327955</v>
      </c>
      <c r="AC34" s="913">
        <f>SUM(AC31:AC33)</f>
        <v>2202.1475999999998</v>
      </c>
      <c r="AD34" s="913">
        <f>SUM(AD31:AD33)</f>
        <v>479.70735333279572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Summary'!$G$14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>
        <f>SUM(AC35:AD35)</f>
        <v>-18.974280000000004</v>
      </c>
      <c r="AC35" s="914">
        <v>0</v>
      </c>
      <c r="AD35" s="914">
        <f>-AA18*AA26</f>
        <v>-18.974280000000004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Summary'!$H$14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>
        <f>SUM(AB34:AB35)</f>
        <v>2662.8806733327956</v>
      </c>
      <c r="AC36" s="915">
        <f>SUM(AC34:AC35)</f>
        <v>2202.1475999999998</v>
      </c>
      <c r="AD36" s="915">
        <f>SUM(AD34:AD35)</f>
        <v>460.7330733327957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Summary'!$I$14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Summary'!$J$14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Summary'!$K$14</f>
        <v>0</v>
      </c>
      <c r="C39" s="183" t="e">
        <f t="shared" si="24"/>
        <v>#REF!</v>
      </c>
      <c r="D39" s="50"/>
      <c r="F39" s="51"/>
      <c r="AA39" s="906" t="s">
        <v>315</v>
      </c>
      <c r="AB39" s="909">
        <f>SUM(AC39:AD39)</f>
        <v>208.79250000000002</v>
      </c>
      <c r="AC39" s="909">
        <f t="shared" ref="AC39:AD41" si="25">AC31/12</f>
        <v>183.51229999999998</v>
      </c>
      <c r="AD39" s="909">
        <f t="shared" si="25"/>
        <v>25.280200000000022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>
        <f>SUM(AC40:AD40)</f>
        <v>14.695412777732955</v>
      </c>
      <c r="AC40" s="910">
        <f t="shared" si="25"/>
        <v>0</v>
      </c>
      <c r="AD40" s="910">
        <f t="shared" si="25"/>
        <v>14.695412777732955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25</v>
      </c>
      <c r="E41" s="1">
        <f>30-D41</f>
        <v>5</v>
      </c>
      <c r="F41" s="51"/>
      <c r="AA41" s="906" t="s">
        <v>314</v>
      </c>
      <c r="AB41" s="911">
        <f>SUM(AC41:AD41)</f>
        <v>0</v>
      </c>
      <c r="AC41" s="911">
        <f t="shared" si="25"/>
        <v>0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>
        <f>SUM(AB39:AB41)</f>
        <v>223.48791277773296</v>
      </c>
      <c r="AC42" s="913">
        <f>SUM(AC39:AC41)</f>
        <v>183.51229999999998</v>
      </c>
      <c r="AD42" s="913">
        <f>SUM(AD39:AD41)</f>
        <v>39.975612777732977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>
        <f>SUM(AC43:AD43)</f>
        <v>-1.5811900000000003</v>
      </c>
      <c r="AC43" s="917">
        <f>AC35/12</f>
        <v>0</v>
      </c>
      <c r="AD43" s="917">
        <f>AD35/12</f>
        <v>-1.5811900000000003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>
        <f>SUM(AB42:AB43)</f>
        <v>221.90672277773297</v>
      </c>
      <c r="AC44" s="915">
        <f>SUM(AC42:AC43)</f>
        <v>183.51229999999998</v>
      </c>
      <c r="AD44" s="915">
        <f>SUM(AD42:AD43)</f>
        <v>38.394422777732977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663.56999999999994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32850000</v>
      </c>
      <c r="BQ52" s="26">
        <v>202343432</v>
      </c>
      <c r="BR52" s="183">
        <f t="shared" ref="BR52:BR60" si="37">BQ52/BP52</f>
        <v>6.1596174124809737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406.26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180000</v>
      </c>
      <c r="BQ56" s="26">
        <v>101933</v>
      </c>
      <c r="BR56" s="183">
        <f t="shared" si="37"/>
        <v>0.56629444444444443</v>
      </c>
      <c r="BS56" s="341">
        <f>143105.19/BQ56</f>
        <v>1.4039142377836422</v>
      </c>
      <c r="BT56" s="341">
        <f>143105.19/BR56</f>
        <v>252704.56280105561</v>
      </c>
      <c r="BU56" s="341"/>
      <c r="BV56" s="341">
        <f>143105.19/BS56</f>
        <v>101933</v>
      </c>
      <c r="BW56" s="341">
        <f>143105.19/BT56</f>
        <v>0.56629444444444443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135.00000000000003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180000.00000000003</v>
      </c>
      <c r="BQ57" s="26">
        <v>84108</v>
      </c>
      <c r="BR57" s="183">
        <f t="shared" si="37"/>
        <v>0.46726666666666661</v>
      </c>
      <c r="BS57" s="341">
        <f>38613.79/BQ57</f>
        <v>0.45909770770913588</v>
      </c>
      <c r="BT57" s="341">
        <f>38613.79/BR57</f>
        <v>82637.587387644468</v>
      </c>
      <c r="BU57" s="341"/>
      <c r="BV57" s="341">
        <f>38613.79/BS57</f>
        <v>84108</v>
      </c>
      <c r="BW57" s="341">
        <f>38613.79/BT57</f>
        <v>0.46726666666666661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40.68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180000</v>
      </c>
      <c r="BQ58" s="26">
        <v>47388</v>
      </c>
      <c r="BR58" s="183">
        <f t="shared" si="37"/>
        <v>0.26326666666666665</v>
      </c>
      <c r="BS58" s="341">
        <f>2705.86/BQ58</f>
        <v>5.710010973242171E-2</v>
      </c>
      <c r="BT58" s="341">
        <f>2705.86/BR58</f>
        <v>10278.019751835909</v>
      </c>
      <c r="BU58" s="341"/>
      <c r="BV58" s="341">
        <f>2705.86/BS58</f>
        <v>47388</v>
      </c>
      <c r="BW58" s="341">
        <f>2705.86/BT58</f>
        <v>0.26326666666666665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0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0</v>
      </c>
      <c r="BQ59" s="26">
        <v>560786</v>
      </c>
      <c r="BR59" s="183" t="e">
        <f t="shared" si="37"/>
        <v>#DIV/0!</v>
      </c>
      <c r="BS59" s="341">
        <f>49077.4/BQ59</f>
        <v>8.7515380198507103E-2</v>
      </c>
      <c r="BT59" s="341" t="e">
        <f>49077.4/BR59</f>
        <v>#DIV/0!</v>
      </c>
      <c r="BU59" s="341"/>
      <c r="BV59" s="341">
        <f>49077.4/BS59</f>
        <v>560786</v>
      </c>
      <c r="BW59" s="341" t="e">
        <f>49077.4/BT59</f>
        <v>#DIV/0!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0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0</v>
      </c>
      <c r="BQ60" s="26">
        <v>208883</v>
      </c>
      <c r="BR60" s="183" t="e">
        <f t="shared" si="37"/>
        <v>#DIV/0!</v>
      </c>
      <c r="BS60" s="341">
        <f>1269211.15/BQ60</f>
        <v>6.0761821210917111</v>
      </c>
      <c r="BT60" s="341" t="e">
        <f>1269211.15/BR60</f>
        <v>#DIV/0!</v>
      </c>
      <c r="BU60" s="341"/>
      <c r="BV60" s="341">
        <f>1269211.15/BS60</f>
        <v>208883</v>
      </c>
      <c r="BW60" s="341" t="e">
        <f>1269211.15/BT60</f>
        <v>#DIV/0!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663.56999999999994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581.93999999999994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1245.5099999999998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>
        <f>($F$78+$F$80+$F$82+$F$86-$F$88)/$B$27*$B$26</f>
        <v>294234.53148646955</v>
      </c>
      <c r="BB75" s="841">
        <f>($F$78+$F$80+$F$82+$F$86-$F$88)/$B$27*($E$26+$H$26)</f>
        <v>0</v>
      </c>
      <c r="BC75" s="841"/>
      <c r="BD75" s="841"/>
      <c r="BE75" s="841"/>
      <c r="BF75" s="841"/>
      <c r="BG75" s="841"/>
      <c r="BH75" s="841"/>
      <c r="BI75" s="841">
        <f>SUM(BA75:BB75)</f>
        <v>294234.53148646955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>
        <f>$BJ$77*BK77*$B$26</f>
        <v>0</v>
      </c>
      <c r="AS77" s="931" t="e">
        <f>$BJ$77*BL77*($E$26+$H$26)</f>
        <v>#VALUE!</v>
      </c>
      <c r="AT77" s="931"/>
      <c r="AU77" s="931"/>
      <c r="AV77" s="931"/>
      <c r="AW77" s="931"/>
      <c r="AX77" s="931"/>
      <c r="AY77" s="931"/>
      <c r="AZ77" s="932" t="e">
        <f>SUM(AR77:AS77)</f>
        <v>#VALUE!</v>
      </c>
      <c r="BA77" s="933">
        <f>SUM(BA75:BA76)</f>
        <v>294234.53148646955</v>
      </c>
      <c r="BB77" s="933" t="e">
        <f>SUM(BB75:BB76)</f>
        <v>#VALUE!</v>
      </c>
      <c r="BC77" s="933"/>
      <c r="BD77" s="933"/>
      <c r="BE77" s="933"/>
      <c r="BF77" s="933"/>
      <c r="BG77" s="933"/>
      <c r="BH77" s="933"/>
      <c r="BI77" s="933" t="e">
        <f>SUM(BI75:BI76)</f>
        <v>#VALUE!</v>
      </c>
      <c r="BJ77" s="934">
        <f>$BG$15</f>
        <v>0</v>
      </c>
      <c r="BK77" s="935">
        <f>BA77/$B$26</f>
        <v>19.615635432431304</v>
      </c>
      <c r="BL77" s="936" t="e">
        <f>BB77/($E$26+$H$26)</f>
        <v>#VALUE!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 t="e">
        <f>($B$79+$B$81+$B$84)/($E$26+$H$26)*($E$26+$H$26)</f>
        <v>#DIV/0!</v>
      </c>
      <c r="BC93" s="929"/>
      <c r="BD93" s="929"/>
      <c r="BE93" s="929"/>
      <c r="BF93" s="929"/>
      <c r="BG93" s="929"/>
      <c r="BH93" s="929"/>
      <c r="BI93" s="929" t="e">
        <f>SUM(BA93:BB93)</f>
        <v>#DIV/0!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2544000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88500</v>
      </c>
      <c r="D108" s="347">
        <v>4.2</v>
      </c>
      <c r="F108" s="49" t="s">
        <v>109</v>
      </c>
      <c r="G108" s="147">
        <f>(B114*($B$26+$K$26+$T$26+$W$26)+F114*($E$26+$H$26+$Q$26))*1000</f>
        <v>0</v>
      </c>
      <c r="H108" s="753">
        <v>0.1</v>
      </c>
      <c r="L108" s="65"/>
    </row>
    <row r="109" spans="1:50">
      <c r="A109" s="48"/>
      <c r="B109" s="49"/>
      <c r="C109" s="49">
        <f>SUM(C107:C108)</f>
        <v>88500</v>
      </c>
      <c r="D109" s="80">
        <f>(C107*D107+C108*D108)/C109</f>
        <v>4.2</v>
      </c>
      <c r="F109" s="49"/>
      <c r="G109" s="49">
        <f>SUM(G107:G108)</f>
        <v>2544000</v>
      </c>
      <c r="H109" s="173">
        <f>(G107*H107+G108*H108)/G109</f>
        <v>0.1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>
        <f>$H$109</f>
        <v>0.1</v>
      </c>
      <c r="D113" s="174">
        <f>B113*C113</f>
        <v>1.6959999999999999E-2</v>
      </c>
      <c r="F113" s="843"/>
      <c r="G113" s="172">
        <f>$H$109</f>
        <v>0.1</v>
      </c>
      <c r="H113" s="175">
        <f>F113*G113</f>
        <v>0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>
        <f>$H$109</f>
        <v>0.1</v>
      </c>
      <c r="D114" s="174">
        <f>B114*C114</f>
        <v>0</v>
      </c>
      <c r="F114" s="843">
        <v>0.76519999999999999</v>
      </c>
      <c r="G114" s="172">
        <f>$H$109</f>
        <v>0.1</v>
      </c>
      <c r="H114" s="175">
        <f>F114*G114</f>
        <v>7.6520000000000005E-2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>
        <f>D115/B115</f>
        <v>9.9999999999999992E-2</v>
      </c>
      <c r="D115" s="224">
        <f>SUM(D113:D114)</f>
        <v>1.6959999999999999E-2</v>
      </c>
      <c r="F115" s="222">
        <f>SUM(F113:F114)</f>
        <v>0.76519999999999999</v>
      </c>
      <c r="G115" s="223">
        <f>H115/F115</f>
        <v>0.1</v>
      </c>
      <c r="H115" s="225">
        <f>SUM(H113:H114)</f>
        <v>7.6520000000000005E-2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>
        <f>$D$109</f>
        <v>4.2</v>
      </c>
      <c r="D117" s="174">
        <f>B117*C117</f>
        <v>1.239E-2</v>
      </c>
      <c r="F117" s="843">
        <f>0.0071/2</f>
        <v>3.5500000000000002E-3</v>
      </c>
      <c r="G117" s="212">
        <f>$D$109</f>
        <v>4.2</v>
      </c>
      <c r="H117" s="175">
        <f>F117*G117</f>
        <v>1.4910000000000001E-2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>
        <f>$D$109</f>
        <v>4.2</v>
      </c>
      <c r="D118" s="174">
        <f>B118*C118</f>
        <v>1.239E-2</v>
      </c>
      <c r="F118" s="843">
        <v>0</v>
      </c>
      <c r="G118" s="212">
        <f>$D$109</f>
        <v>4.2</v>
      </c>
      <c r="H118" s="175">
        <f>F118*G118</f>
        <v>0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>
        <f>$D$109</f>
        <v>4.2</v>
      </c>
      <c r="D119" s="219">
        <f>B119*C119</f>
        <v>0</v>
      </c>
      <c r="F119" s="843">
        <f>0.0071/2</f>
        <v>3.5500000000000002E-3</v>
      </c>
      <c r="G119" s="212">
        <f>$D$109</f>
        <v>4.2</v>
      </c>
      <c r="H119" s="220">
        <f>F119*G119</f>
        <v>1.4910000000000001E-2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>
        <f>D120/B120</f>
        <v>4.2</v>
      </c>
      <c r="D120" s="226">
        <f>SUM(D117:D119)</f>
        <v>2.478E-2</v>
      </c>
      <c r="F120" s="222">
        <f>SUM(F117:F119)</f>
        <v>7.1000000000000004E-3</v>
      </c>
      <c r="G120" s="229">
        <f>H120/F120</f>
        <v>4.2</v>
      </c>
      <c r="H120" s="227">
        <f>SUM(H117:H119)</f>
        <v>2.9820000000000003E-2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>
        <f>D115+D120</f>
        <v>4.1739999999999999E-2</v>
      </c>
      <c r="F122" s="218"/>
      <c r="G122" s="13"/>
      <c r="H122" s="233">
        <f>H115+H120</f>
        <v>0.10634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3.5714285714285716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BD42-128D-45FC-BC1C-19948C61BB0C}">
  <dimension ref="A1:BX176"/>
  <sheetViews>
    <sheetView workbookViewId="0">
      <selection activeCell="W8" sqref="W8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 t="e">
        <f>(B6*B$26+E6*E$26+H6*H$26+K6*K$26+N6*N$26+Q6*Q$26+T6*T$26+W6*W$26)/AA$26</f>
        <v>#DIV/0!</v>
      </c>
      <c r="AB6" s="854" t="e">
        <f>AA6</f>
        <v>#DIV/0!</v>
      </c>
      <c r="AC6" s="855" t="e">
        <f t="shared" ref="AC6:AC11" si="0">AA6-AB6</f>
        <v>#DIV/0!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IF($W$26&lt;&gt;0,$D$115,0)</f>
        <v>0</v>
      </c>
      <c r="X7" s="857">
        <v>6.3876043883493413E-3</v>
      </c>
      <c r="Y7" s="858">
        <v>2.2101421224788535E-2</v>
      </c>
      <c r="Z7" s="23"/>
      <c r="AA7" s="856" t="e">
        <f>(B7*B$26+E7*E$26+H7*H$26+K7*K$26+N7*N$26+Q7*Q$26+T7*T$26+W7*W$26)/AA$26</f>
        <v>#DIV/0!</v>
      </c>
      <c r="AB7" s="857" t="e">
        <f>AA7</f>
        <v>#DIV/0!</v>
      </c>
      <c r="AC7" s="858" t="e">
        <f t="shared" si="0"/>
        <v>#DIV/0!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 t="e">
        <f>(B8*B$26+E8*E$26+H8*H$26+K8*K$26+N8*N$26+Q8*Q$26+T8*T$26+W8*W$26)/AA$26</f>
        <v>#DIV/0!</v>
      </c>
      <c r="AB8" s="857" t="e">
        <f t="shared" ref="AB8:AB11" si="1">AA8</f>
        <v>#DIV/0!</v>
      </c>
      <c r="AC8" s="858" t="e">
        <f t="shared" si="0"/>
        <v>#DIV/0!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 t="e">
        <f>(B9*B$26+E9*E$26+H9*H$26+K9*K$26+N9*N$26+Q9*Q$26+T9*T$26+W9*W$26)/AA$26</f>
        <v>#DIV/0!</v>
      </c>
      <c r="AB9" s="857" t="e">
        <f t="shared" si="1"/>
        <v>#DIV/0!</v>
      </c>
      <c r="AC9" s="858" t="e">
        <f t="shared" si="0"/>
        <v>#DIV/0!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 t="e">
        <f>(B10*B$26+E10*E$26+H10*H$26+K10*K$26+N10*N$26+Q10*Q$26+T10*T$26+W10*W$26)/AA$26</f>
        <v>#DIV/0!</v>
      </c>
      <c r="AB10" s="857" t="e">
        <f t="shared" si="1"/>
        <v>#DIV/0!</v>
      </c>
      <c r="AC10" s="858" t="e">
        <f t="shared" si="0"/>
        <v>#DIV/0!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 t="e">
        <f t="shared" ref="AA11" si="2">(B11*B$26+E11*E$26+H11*H$26+K11*K$26+N11*N$26+Q11*Q$26+T11*T$26+W11*W$26)/AA$26</f>
        <v>#DIV/0!</v>
      </c>
      <c r="AB11" s="875" t="e">
        <f t="shared" si="1"/>
        <v>#DIV/0!</v>
      </c>
      <c r="AC11" s="862" t="e">
        <f t="shared" si="0"/>
        <v>#DIV/0!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 t="e">
        <f>SUM(AA6:AA11)</f>
        <v>#DIV/0!</v>
      </c>
      <c r="AB12" s="857" t="e">
        <f>SUM(AB6:AB11)</f>
        <v>#DIV/0!</v>
      </c>
      <c r="AC12" s="858" t="e">
        <f>SUM(AC6:AC11)</f>
        <v>#DIV/0!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 t="e">
        <f t="shared" ref="AA14:AA19" si="13">(B14*B$26+E14*E$26+H14*H$26+K14*K$26+N14*N$26+Q14*Q$26+T14*T$26+W14*W$26)/AA$26</f>
        <v>#DIV/0!</v>
      </c>
      <c r="AB14" s="857" t="e">
        <f>AB22-AB12</f>
        <v>#DIV/0!</v>
      </c>
      <c r="AC14" s="858" t="e">
        <f>AA14-AB14</f>
        <v>#DIV/0!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 t="e">
        <f t="shared" si="13"/>
        <v>#DIV/0!</v>
      </c>
      <c r="AB15" s="857" t="e">
        <f>AB22-AB12-AB14</f>
        <v>#DIV/0!</v>
      </c>
      <c r="AC15" s="858" t="e">
        <f>AA15-AB15</f>
        <v>#DIV/0!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 t="e">
        <f t="shared" si="13"/>
        <v>#DIV/0!</v>
      </c>
      <c r="AB16" s="857" t="e">
        <f>AB22-AB12-AB14-AB15</f>
        <v>#DIV/0!</v>
      </c>
      <c r="AC16" s="858" t="e">
        <f t="shared" ref="AC16:AC19" si="20">AA16-AB16</f>
        <v>#DIV/0!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 t="e">
        <f t="shared" si="13"/>
        <v>#DIV/0!</v>
      </c>
      <c r="AB17" s="857" t="e">
        <f>AB22-AB12-AB14-AB15-AB16</f>
        <v>#DIV/0!</v>
      </c>
      <c r="AC17" s="858" t="e">
        <f t="shared" si="20"/>
        <v>#DIV/0!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 t="e">
        <f t="shared" si="13"/>
        <v>#DIV/0!</v>
      </c>
      <c r="AB18" s="857" t="e">
        <f>AB22-AB12-AB14-AB15-AB16-AB17-AB19</f>
        <v>#DIV/0!</v>
      </c>
      <c r="AC18" s="858" t="e">
        <f>AA18-AB18</f>
        <v>#DIV/0!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 t="e">
        <f t="shared" si="13"/>
        <v>#DIV/0!</v>
      </c>
      <c r="AB19" s="861" t="e">
        <f>AB22-AB12-AB14-AB15-AB16-AB17</f>
        <v>#DIV/0!</v>
      </c>
      <c r="AC19" s="862" t="e">
        <f t="shared" si="20"/>
        <v>#DIV/0!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 t="e">
        <f>SUM(AA14:AA19)</f>
        <v>#DIV/0!</v>
      </c>
      <c r="AB20" s="857" t="e">
        <f>SUM(AB14:AB19)</f>
        <v>#DIV/0!</v>
      </c>
      <c r="AC20" s="858" t="e">
        <f>SUM(AC14:AC19)</f>
        <v>#DIV/0!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 t="e">
        <f>AA12+AA20</f>
        <v>#DIV/0!</v>
      </c>
      <c r="AB22" s="946" t="e">
        <f>AB6+((0.084*(B26+K26+T26+W26))+(0.134*(E26+Q26))+(0.198*H26))/B27</f>
        <v>#DIV/0!</v>
      </c>
      <c r="AC22" s="865" t="e">
        <f>AC12+AC20</f>
        <v>#DIV/0!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 t="e">
        <f>+AA24-AA22</f>
        <v>#DIV/0!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 t="e">
        <f>(B24*B$26+E24*E$26+H24*H$26+K24*K$26+N24*N$26+Q24*Q$26+T24*T$26+W24*W$26)/AA$26</f>
        <v>#DIV/0!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 t="e">
        <f>SUM(AC31:AD31)</f>
        <v>#DIV/0!</v>
      </c>
      <c r="AC31" s="909" t="e">
        <f>AB12*$AA$26</f>
        <v>#DIV/0!</v>
      </c>
      <c r="AD31" s="909" t="e">
        <f>AB20*$AA$26</f>
        <v>#DIV/0!</v>
      </c>
      <c r="BJ31" s="837"/>
    </row>
    <row r="32" spans="1:76" ht="15">
      <c r="A32" s="48" t="s">
        <v>187</v>
      </c>
      <c r="B32" s="938">
        <f>'2025 Summary'!$D$15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 t="e">
        <f>SUM(AC32:AD32)</f>
        <v>#DIV/0!</v>
      </c>
      <c r="AC32" s="910" t="e">
        <f>AC12*AA26</f>
        <v>#DIV/0!</v>
      </c>
      <c r="AD32" s="910" t="e">
        <f>AC20*AA26</f>
        <v>#DIV/0!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Summary'!$E$15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-1085.1408000000001</v>
      </c>
      <c r="AC33" s="911">
        <f>IF(C108&lt;&gt;0,0,(((((D107/1.06564)-0.33)*0.974)-D108)*(240000-C107))/1000)</f>
        <v>-1085.1408000000001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Summary'!$F$15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 t="e">
        <f>SUM(AB31:AB33)</f>
        <v>#DIV/0!</v>
      </c>
      <c r="AC34" s="913" t="e">
        <f>SUM(AC31:AC33)</f>
        <v>#DIV/0!</v>
      </c>
      <c r="AD34" s="913" t="e">
        <f>SUM(AD31:AD33)</f>
        <v>#DIV/0!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Summary'!$G$15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 t="e">
        <f>SUM(AC35:AD35)</f>
        <v>#DIV/0!</v>
      </c>
      <c r="AC35" s="914">
        <v>0</v>
      </c>
      <c r="AD35" s="914" t="e">
        <f>-AA18*AA26</f>
        <v>#DIV/0!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Summary'!$H$15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 t="e">
        <f>SUM(AB34:AB35)</f>
        <v>#DIV/0!</v>
      </c>
      <c r="AC36" s="915" t="e">
        <f>SUM(AC34:AC35)</f>
        <v>#DIV/0!</v>
      </c>
      <c r="AD36" s="915" t="e">
        <f>SUM(AD34:AD35)</f>
        <v>#DIV/0!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Summary'!$I$15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Summary'!$J$15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Summary'!$K$15</f>
        <v>0</v>
      </c>
      <c r="C39" s="183" t="e">
        <f t="shared" si="24"/>
        <v>#REF!</v>
      </c>
      <c r="D39" s="50"/>
      <c r="F39" s="51"/>
      <c r="AA39" s="906" t="s">
        <v>315</v>
      </c>
      <c r="AB39" s="909" t="e">
        <f>SUM(AC39:AD39)</f>
        <v>#DIV/0!</v>
      </c>
      <c r="AC39" s="909" t="e">
        <f t="shared" ref="AC39:AD41" si="25">AC31/12</f>
        <v>#DIV/0!</v>
      </c>
      <c r="AD39" s="909" t="e">
        <f t="shared" si="25"/>
        <v>#DIV/0!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 t="e">
        <f>SUM(AC40:AD40)</f>
        <v>#DIV/0!</v>
      </c>
      <c r="AC40" s="910" t="e">
        <f t="shared" si="25"/>
        <v>#DIV/0!</v>
      </c>
      <c r="AD40" s="910" t="e">
        <f t="shared" si="25"/>
        <v>#DIV/0!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0</v>
      </c>
      <c r="E41" s="1">
        <f>30-D41</f>
        <v>30</v>
      </c>
      <c r="F41" s="51"/>
      <c r="AA41" s="906" t="s">
        <v>314</v>
      </c>
      <c r="AB41" s="911">
        <f>SUM(AC41:AD41)</f>
        <v>-90.428400000000011</v>
      </c>
      <c r="AC41" s="911">
        <f t="shared" si="25"/>
        <v>-90.428400000000011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 t="e">
        <f>SUM(AB39:AB41)</f>
        <v>#DIV/0!</v>
      </c>
      <c r="AC42" s="913" t="e">
        <f>SUM(AC39:AC41)</f>
        <v>#DIV/0!</v>
      </c>
      <c r="AD42" s="913" t="e">
        <f>SUM(AD39:AD41)</f>
        <v>#DIV/0!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 t="e">
        <f>SUM(AC43:AD43)</f>
        <v>#DIV/0!</v>
      </c>
      <c r="AC43" s="917">
        <f>AC35/12</f>
        <v>0</v>
      </c>
      <c r="AD43" s="917" t="e">
        <f>AD35/12</f>
        <v>#DIV/0!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 t="e">
        <f>SUM(AB42:AB43)</f>
        <v>#DIV/0!</v>
      </c>
      <c r="AC44" s="915" t="e">
        <f>SUM(AC42:AC43)</f>
        <v>#DIV/0!</v>
      </c>
      <c r="AD44" s="915" t="e">
        <f>SUM(AD42:AD43)</f>
        <v>#DIV/0!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0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0</v>
      </c>
      <c r="BQ52" s="26">
        <v>202343432</v>
      </c>
      <c r="BR52" s="183" t="e">
        <f t="shared" ref="BR52:BR60" si="37">BQ52/BP52</f>
        <v>#DIV/0!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0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0</v>
      </c>
      <c r="BQ57" s="26">
        <v>84108</v>
      </c>
      <c r="BR57" s="183" t="e">
        <f t="shared" si="37"/>
        <v>#DIV/0!</v>
      </c>
      <c r="BS57" s="341">
        <f>38613.79/BQ57</f>
        <v>0.45909770770913588</v>
      </c>
      <c r="BT57" s="341" t="e">
        <f>38613.79/BR57</f>
        <v>#DIV/0!</v>
      </c>
      <c r="BU57" s="341"/>
      <c r="BV57" s="341">
        <f>38613.79/BS57</f>
        <v>84108</v>
      </c>
      <c r="BW57" s="341" t="e">
        <f>38613.79/BT57</f>
        <v>#DIV/0!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0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0</v>
      </c>
      <c r="BQ58" s="26">
        <v>47388</v>
      </c>
      <c r="BR58" s="183" t="e">
        <f t="shared" si="37"/>
        <v>#DIV/0!</v>
      </c>
      <c r="BS58" s="341">
        <f>2705.86/BQ58</f>
        <v>5.710010973242171E-2</v>
      </c>
      <c r="BT58" s="341" t="e">
        <f>2705.86/BR58</f>
        <v>#DIV/0!</v>
      </c>
      <c r="BU58" s="341"/>
      <c r="BV58" s="341">
        <f>2705.86/BS58</f>
        <v>47388</v>
      </c>
      <c r="BW58" s="341" t="e">
        <f>2705.86/BT58</f>
        <v>#DIV/0!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0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0</v>
      </c>
      <c r="BQ59" s="26">
        <v>560786</v>
      </c>
      <c r="BR59" s="183" t="e">
        <f t="shared" si="37"/>
        <v>#DIV/0!</v>
      </c>
      <c r="BS59" s="341">
        <f>49077.4/BQ59</f>
        <v>8.7515380198507103E-2</v>
      </c>
      <c r="BT59" s="341" t="e">
        <f>49077.4/BR59</f>
        <v>#DIV/0!</v>
      </c>
      <c r="BU59" s="341"/>
      <c r="BV59" s="341">
        <f>49077.4/BS59</f>
        <v>560786</v>
      </c>
      <c r="BW59" s="341" t="e">
        <f>49077.4/BT59</f>
        <v>#DIV/0!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0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0</v>
      </c>
      <c r="BQ60" s="26">
        <v>208883</v>
      </c>
      <c r="BR60" s="183" t="e">
        <f t="shared" si="37"/>
        <v>#DIV/0!</v>
      </c>
      <c r="BS60" s="341">
        <f>1269211.15/BQ60</f>
        <v>6.0761821210917111</v>
      </c>
      <c r="BT60" s="341" t="e">
        <f>1269211.15/BR60</f>
        <v>#DIV/0!</v>
      </c>
      <c r="BU60" s="341"/>
      <c r="BV60" s="341">
        <f>1269211.15/BS60</f>
        <v>208883</v>
      </c>
      <c r="BW60" s="341" t="e">
        <f>1269211.15/BT60</f>
        <v>#DIV/0!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0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0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0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 t="e">
        <f>($F$78+$F$80+$F$82+$F$86-$F$88)/$B$27*$B$26</f>
        <v>#DIV/0!</v>
      </c>
      <c r="BB75" s="841" t="e">
        <f>($F$78+$F$80+$F$82+$F$86-$F$88)/$B$27*($E$26+$H$26)</f>
        <v>#DIV/0!</v>
      </c>
      <c r="BC75" s="841"/>
      <c r="BD75" s="841"/>
      <c r="BE75" s="841"/>
      <c r="BF75" s="841"/>
      <c r="BG75" s="841"/>
      <c r="BH75" s="841"/>
      <c r="BI75" s="841" t="e">
        <f>SUM(BA75:BB75)</f>
        <v>#DIV/0!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#DIV/0!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 t="e">
        <f>SUM(BA75:BA76)</f>
        <v>#DIV/0!</v>
      </c>
      <c r="BB77" s="933" t="e">
        <f>SUM(BB75:BB76)</f>
        <v>#DIV/0!</v>
      </c>
      <c r="BC77" s="933"/>
      <c r="BD77" s="933"/>
      <c r="BE77" s="933"/>
      <c r="BF77" s="933"/>
      <c r="BG77" s="933"/>
      <c r="BH77" s="933"/>
      <c r="BI77" s="933" t="e">
        <f>SUM(BI75:BI76)</f>
        <v>#DIV/0!</v>
      </c>
      <c r="BJ77" s="934">
        <f>$BG$15</f>
        <v>0</v>
      </c>
      <c r="BK77" s="935" t="e">
        <f>BA77/$B$26</f>
        <v>#DIV/0!</v>
      </c>
      <c r="BL77" s="936" t="e">
        <f>BB77/($E$26+$H$26)</f>
        <v>#DIV/0!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 t="e">
        <f>($B$79+$B$81+$B$84)/($E$26+$H$26)*($E$26+$H$26)</f>
        <v>#DIV/0!</v>
      </c>
      <c r="BC93" s="929"/>
      <c r="BD93" s="929"/>
      <c r="BE93" s="929"/>
      <c r="BF93" s="929"/>
      <c r="BG93" s="929"/>
      <c r="BH93" s="929"/>
      <c r="BI93" s="929" t="e">
        <f>SUM(BA93:BB93)</f>
        <v>#DIV/0!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0</v>
      </c>
      <c r="D108" s="347">
        <v>4.2</v>
      </c>
      <c r="F108" s="49" t="s">
        <v>109</v>
      </c>
      <c r="G108" s="147">
        <f>(B114*($B$26+$K$26+$T$26+$W$26)+F114*($E$26+$H$26+$Q$26))*1000</f>
        <v>0</v>
      </c>
      <c r="H108" s="753">
        <v>0.1</v>
      </c>
      <c r="L108" s="65"/>
    </row>
    <row r="109" spans="1:50">
      <c r="A109" s="48"/>
      <c r="B109" s="49"/>
      <c r="C109" s="49">
        <f>SUM(C107:C108)</f>
        <v>0</v>
      </c>
      <c r="D109" s="80" t="e">
        <f>(C107*D107+C108*D108)/C109</f>
        <v>#DIV/0!</v>
      </c>
      <c r="F109" s="49"/>
      <c r="G109" s="49">
        <f>SUM(G107:G108)</f>
        <v>0</v>
      </c>
      <c r="H109" s="173" t="e">
        <f>(G107*H107+G108*H108)/G109</f>
        <v>#DIV/0!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 t="e">
        <f>$H$109</f>
        <v>#DIV/0!</v>
      </c>
      <c r="D113" s="174" t="e">
        <f>B113*C113</f>
        <v>#DIV/0!</v>
      </c>
      <c r="F113" s="843"/>
      <c r="G113" s="172" t="e">
        <f>$H$109</f>
        <v>#DIV/0!</v>
      </c>
      <c r="H113" s="175" t="e">
        <f>F113*G113</f>
        <v>#DIV/0!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 t="e">
        <f>$H$109</f>
        <v>#DIV/0!</v>
      </c>
      <c r="D114" s="174" t="e">
        <f>B114*C114</f>
        <v>#DIV/0!</v>
      </c>
      <c r="F114" s="843">
        <v>0.76519999999999999</v>
      </c>
      <c r="G114" s="172" t="e">
        <f>$H$109</f>
        <v>#DIV/0!</v>
      </c>
      <c r="H114" s="175" t="e">
        <f>F114*G114</f>
        <v>#DIV/0!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 t="e">
        <f>D115/B115</f>
        <v>#DIV/0!</v>
      </c>
      <c r="D115" s="224" t="e">
        <f>SUM(D113:D114)</f>
        <v>#DIV/0!</v>
      </c>
      <c r="F115" s="222">
        <f>SUM(F113:F114)</f>
        <v>0.76519999999999999</v>
      </c>
      <c r="G115" s="223" t="e">
        <f>H115/F115</f>
        <v>#DIV/0!</v>
      </c>
      <c r="H115" s="225" t="e">
        <f>SUM(H113:H114)</f>
        <v>#DIV/0!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 t="e">
        <f>$D$109</f>
        <v>#DIV/0!</v>
      </c>
      <c r="D117" s="174" t="e">
        <f>B117*C117</f>
        <v>#DIV/0!</v>
      </c>
      <c r="F117" s="843">
        <f>0.0071/2</f>
        <v>3.5500000000000002E-3</v>
      </c>
      <c r="G117" s="212" t="e">
        <f>$D$109</f>
        <v>#DIV/0!</v>
      </c>
      <c r="H117" s="175" t="e">
        <f>F117*G117</f>
        <v>#DIV/0!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 t="e">
        <f>$D$109</f>
        <v>#DIV/0!</v>
      </c>
      <c r="D118" s="174" t="e">
        <f>B118*C118</f>
        <v>#DIV/0!</v>
      </c>
      <c r="F118" s="843">
        <v>0</v>
      </c>
      <c r="G118" s="212" t="e">
        <f>$D$109</f>
        <v>#DIV/0!</v>
      </c>
      <c r="H118" s="175" t="e">
        <f>F118*G118</f>
        <v>#DIV/0!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 t="e">
        <f>$D$109</f>
        <v>#DIV/0!</v>
      </c>
      <c r="D119" s="219" t="e">
        <f>B119*C119</f>
        <v>#DIV/0!</v>
      </c>
      <c r="F119" s="843">
        <f>0.0071/2</f>
        <v>3.5500000000000002E-3</v>
      </c>
      <c r="G119" s="212" t="e">
        <f>$D$109</f>
        <v>#DIV/0!</v>
      </c>
      <c r="H119" s="220" t="e">
        <f>F119*G119</f>
        <v>#DIV/0!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 t="e">
        <f>D120/B120</f>
        <v>#DIV/0!</v>
      </c>
      <c r="D120" s="226" t="e">
        <f>SUM(D117:D119)</f>
        <v>#DIV/0!</v>
      </c>
      <c r="F120" s="222">
        <f>SUM(F117:F119)</f>
        <v>7.1000000000000004E-3</v>
      </c>
      <c r="G120" s="229" t="e">
        <f>H120/F120</f>
        <v>#DIV/0!</v>
      </c>
      <c r="H120" s="227" t="e">
        <f>SUM(H117:H119)</f>
        <v>#DIV/0!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 t="e">
        <f>D115+D120</f>
        <v>#DIV/0!</v>
      </c>
      <c r="F122" s="218"/>
      <c r="G122" s="13"/>
      <c r="H122" s="233" t="e">
        <f>H115+H120</f>
        <v>#DIV/0!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0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82C6-1651-4043-98A8-46D37231C430}">
  <dimension ref="A1:BX176"/>
  <sheetViews>
    <sheetView workbookViewId="0">
      <selection activeCell="B31" sqref="B31"/>
    </sheetView>
  </sheetViews>
  <sheetFormatPr defaultColWidth="10.5703125" defaultRowHeight="12.75" outlineLevelCol="1"/>
  <cols>
    <col min="1" max="1" width="46.7109375" style="1" bestFit="1" customWidth="1"/>
    <col min="2" max="2" width="15.42578125" style="1" customWidth="1"/>
    <col min="3" max="4" width="14.28515625" style="1" customWidth="1"/>
    <col min="5" max="5" width="13.28515625" style="1" customWidth="1"/>
    <col min="6" max="6" width="14" style="1" customWidth="1"/>
    <col min="7" max="8" width="12.2851562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12.28515625" style="1" customWidth="1"/>
    <col min="13" max="13" width="12.28515625" style="1" bestFit="1" customWidth="1"/>
    <col min="14" max="14" width="13.140625" style="1" customWidth="1"/>
    <col min="15" max="15" width="12.28515625" style="1" customWidth="1"/>
    <col min="16" max="16" width="12.42578125" style="1" customWidth="1"/>
    <col min="17" max="17" width="11.7109375" style="1" customWidth="1"/>
    <col min="18" max="18" width="12.28515625" style="1" customWidth="1"/>
    <col min="19" max="19" width="8.42578125" style="1" customWidth="1"/>
    <col min="20" max="20" width="12.42578125" style="1" customWidth="1"/>
    <col min="21" max="21" width="9.42578125" style="1" customWidth="1"/>
    <col min="22" max="22" width="11.5703125" style="1" customWidth="1"/>
    <col min="23" max="23" width="13.140625" style="1" bestFit="1" customWidth="1"/>
    <col min="24" max="24" width="8.7109375" style="1" customWidth="1"/>
    <col min="25" max="25" width="10.28515625" style="1" customWidth="1"/>
    <col min="26" max="26" width="5.5703125" style="1" customWidth="1"/>
    <col min="27" max="27" width="15.28515625" style="1" customWidth="1"/>
    <col min="28" max="28" width="11.28515625" style="1" customWidth="1"/>
    <col min="29" max="29" width="13.7109375" style="1" customWidth="1"/>
    <col min="30" max="30" width="10.5703125" style="1"/>
    <col min="31" max="31" width="8.42578125" style="1" customWidth="1"/>
    <col min="32" max="32" width="12.5703125" style="1" customWidth="1" outlineLevel="1"/>
    <col min="33" max="33" width="9.7109375" style="1" customWidth="1" outlineLevel="1"/>
    <col min="34" max="34" width="12.5703125" style="1" customWidth="1" outlineLevel="1"/>
    <col min="35" max="35" width="11.7109375" style="1" customWidth="1" outlineLevel="1"/>
    <col min="36" max="36" width="12.28515625" style="1" customWidth="1" outlineLevel="1"/>
    <col min="37" max="37" width="5.28515625" style="62" customWidth="1" outlineLevel="1"/>
    <col min="38" max="38" width="10.5703125" style="1" outlineLevel="1"/>
    <col min="39" max="40" width="9.28515625" style="1" customWidth="1" outlineLevel="1"/>
    <col min="41" max="42" width="11.5703125" style="1" customWidth="1" outlineLevel="1"/>
    <col min="43" max="43" width="11.7109375" style="1" customWidth="1" outlineLevel="1"/>
    <col min="44" max="44" width="12.7109375" style="1" customWidth="1" outlineLevel="1"/>
    <col min="45" max="46" width="11.7109375" style="1" customWidth="1" outlineLevel="1"/>
    <col min="47" max="47" width="11.28515625" style="1" customWidth="1" outlineLevel="1"/>
    <col min="48" max="48" width="10" style="1" customWidth="1" outlineLevel="1"/>
    <col min="49" max="49" width="12.7109375" style="1" customWidth="1" outlineLevel="1"/>
    <col min="50" max="50" width="12.42578125" style="135" customWidth="1" outlineLevel="1"/>
    <col min="51" max="53" width="11.7109375" style="1" customWidth="1" outlineLevel="1"/>
    <col min="54" max="54" width="15.28515625" style="1" customWidth="1" outlineLevel="1"/>
    <col min="55" max="55" width="15.42578125" style="1" customWidth="1" outlineLevel="1"/>
    <col min="56" max="57" width="11.7109375" style="1" customWidth="1" outlineLevel="1"/>
    <col min="58" max="58" width="12.5703125" style="1" customWidth="1" outlineLevel="1"/>
    <col min="59" max="59" width="12.7109375" style="1" customWidth="1" outlineLevel="1"/>
    <col min="60" max="62" width="11.7109375" style="1" customWidth="1" outlineLevel="1"/>
    <col min="63" max="63" width="12.5703125" style="1" customWidth="1" outlineLevel="1"/>
    <col min="64" max="64" width="12.5703125" style="1" hidden="1" customWidth="1" outlineLevel="1"/>
    <col min="65" max="65" width="11.7109375" style="1" hidden="1" customWidth="1" outlineLevel="1"/>
    <col min="66" max="66" width="11.7109375" style="1" customWidth="1" outlineLevel="1"/>
    <col min="67" max="67" width="11.7109375" style="1" hidden="1" customWidth="1" outlineLevel="1"/>
    <col min="68" max="69" width="11.7109375" style="1" customWidth="1" outlineLevel="1"/>
    <col min="70" max="71" width="10.5703125" style="1" outlineLevel="1"/>
    <col min="72" max="72" width="17.42578125" style="1" customWidth="1" outlineLevel="1"/>
    <col min="73" max="73" width="17.28515625" style="1" customWidth="1" outlineLevel="1"/>
    <col min="74" max="74" width="15.7109375" style="1" customWidth="1" outlineLevel="1"/>
    <col min="75" max="76" width="10.5703125" style="1" outlineLevel="1"/>
    <col min="77" max="271" width="8.5703125" style="1" customWidth="1"/>
    <col min="272" max="16384" width="10.5703125" style="1"/>
  </cols>
  <sheetData>
    <row r="1" spans="1:76" ht="18.75" customHeight="1">
      <c r="A1" s="1035" t="s">
        <v>558</v>
      </c>
      <c r="B1" s="1035"/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1035"/>
      <c r="P1" s="1035"/>
      <c r="Q1" s="1035"/>
      <c r="R1" s="1035"/>
      <c r="S1" s="1035"/>
      <c r="T1" s="1035"/>
      <c r="U1" s="1035"/>
      <c r="V1" s="1035"/>
      <c r="W1" s="360"/>
      <c r="X1" s="360"/>
      <c r="Y1" s="360"/>
      <c r="Z1" s="360"/>
      <c r="AA1" s="360"/>
      <c r="AB1" s="360"/>
      <c r="AC1" s="360"/>
      <c r="AD1" s="360"/>
      <c r="AF1" s="1041"/>
      <c r="AG1" s="1041"/>
      <c r="AH1" s="1041"/>
      <c r="AI1" s="1041"/>
      <c r="AJ1" s="1041"/>
      <c r="AK1" s="760"/>
      <c r="AL1" s="761"/>
      <c r="AM1" s="762"/>
      <c r="AN1" s="762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800"/>
      <c r="BI1" s="800"/>
      <c r="BJ1" s="800"/>
      <c r="BK1" s="800"/>
      <c r="BL1" s="763"/>
      <c r="BM1" s="800"/>
      <c r="BN1" s="800"/>
      <c r="BO1" s="800" t="s">
        <v>499</v>
      </c>
      <c r="BP1" s="387"/>
      <c r="BQ1" s="387"/>
      <c r="BR1" s="387"/>
      <c r="BS1" s="387"/>
      <c r="BT1" s="387"/>
      <c r="BU1" s="387"/>
      <c r="BV1" s="387"/>
      <c r="BW1" s="387"/>
      <c r="BX1" s="387"/>
    </row>
    <row r="2" spans="1:76" ht="30" customHeight="1">
      <c r="A2" s="1042"/>
      <c r="B2" s="1042"/>
      <c r="C2" s="1042"/>
      <c r="D2" s="1042"/>
      <c r="E2" s="1042"/>
      <c r="F2" s="1042"/>
      <c r="G2" s="1042"/>
      <c r="H2" s="1042"/>
      <c r="I2" s="1042"/>
      <c r="J2" s="1042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F2" s="763"/>
      <c r="AG2" s="763"/>
      <c r="AH2" s="809"/>
      <c r="AI2" s="803"/>
      <c r="AJ2" s="764"/>
      <c r="AK2" s="765"/>
      <c r="AL2" s="920"/>
      <c r="AM2" s="767"/>
      <c r="AN2" s="767"/>
      <c r="AO2" s="763"/>
      <c r="AP2" s="763"/>
      <c r="AQ2" s="763"/>
      <c r="AR2" s="763"/>
      <c r="AS2" s="768"/>
      <c r="AT2" s="763"/>
      <c r="AU2" s="763"/>
      <c r="AV2" s="763"/>
      <c r="AW2" s="763"/>
      <c r="AX2" s="764"/>
      <c r="AY2" s="764"/>
      <c r="AZ2" s="764"/>
      <c r="BA2" s="818"/>
      <c r="BB2" s="763"/>
      <c r="BC2" s="763"/>
      <c r="BD2" s="763"/>
      <c r="BE2" s="763"/>
      <c r="BF2" s="764"/>
      <c r="BG2" s="764"/>
      <c r="BH2" s="765"/>
      <c r="BI2" s="765"/>
      <c r="BJ2" s="765"/>
      <c r="BK2" s="765"/>
      <c r="BL2" s="765"/>
      <c r="BM2" s="765"/>
      <c r="BN2" s="765"/>
      <c r="BO2" s="765" t="s">
        <v>222</v>
      </c>
      <c r="BP2" s="388"/>
      <c r="BQ2" s="388"/>
      <c r="BR2" s="388"/>
      <c r="BS2" s="388"/>
      <c r="BT2" s="388"/>
      <c r="BU2" s="388"/>
      <c r="BV2" s="388"/>
      <c r="BW2" s="388"/>
      <c r="BX2" s="388"/>
    </row>
    <row r="3" spans="1:76" ht="17.25" customHeight="1">
      <c r="B3" s="1031" t="s">
        <v>292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467</v>
      </c>
      <c r="L3" s="1032"/>
      <c r="M3" s="1033"/>
      <c r="N3" s="1043" t="s">
        <v>516</v>
      </c>
      <c r="O3" s="1044"/>
      <c r="P3" s="1045"/>
      <c r="Q3" s="1043" t="s">
        <v>502</v>
      </c>
      <c r="R3" s="1044"/>
      <c r="S3" s="1045"/>
      <c r="T3" s="1031" t="s">
        <v>498</v>
      </c>
      <c r="U3" s="1032"/>
      <c r="V3" s="1033"/>
      <c r="W3" s="1043" t="s">
        <v>499</v>
      </c>
      <c r="X3" s="1044"/>
      <c r="Y3" s="1045"/>
      <c r="Z3" s="363"/>
      <c r="AA3" s="1043" t="s">
        <v>309</v>
      </c>
      <c r="AB3" s="1044"/>
      <c r="AC3" s="1045"/>
      <c r="AD3" s="727"/>
      <c r="AF3" s="769"/>
      <c r="AG3" s="769"/>
      <c r="AH3" s="810"/>
      <c r="AI3" s="810"/>
      <c r="AJ3" s="770"/>
      <c r="AK3" s="771"/>
      <c r="AL3" s="772"/>
      <c r="AM3" s="773"/>
      <c r="AN3" s="774"/>
      <c r="AO3" s="775"/>
      <c r="AP3" s="775"/>
      <c r="AQ3" s="775"/>
      <c r="AR3" s="775"/>
      <c r="AS3" s="775"/>
      <c r="AT3" s="775"/>
      <c r="AU3" s="775"/>
      <c r="AV3" s="775"/>
      <c r="AW3" s="769"/>
      <c r="AX3" s="776"/>
      <c r="AY3" s="776"/>
      <c r="AZ3" s="776"/>
      <c r="BA3" s="776"/>
      <c r="BB3" s="776"/>
      <c r="BC3" s="776"/>
      <c r="BD3" s="776"/>
      <c r="BE3" s="776"/>
      <c r="BF3" s="776"/>
      <c r="BG3" s="770"/>
      <c r="BH3" s="1036"/>
      <c r="BI3" s="1036"/>
      <c r="BJ3" s="1036"/>
      <c r="BK3" s="782"/>
      <c r="BL3" s="782"/>
      <c r="BM3" s="782"/>
      <c r="BN3" s="782"/>
      <c r="BO3" s="782"/>
      <c r="BP3" s="389"/>
      <c r="BQ3" s="389"/>
      <c r="BR3" s="389"/>
      <c r="BS3" s="389"/>
      <c r="BT3" s="389"/>
      <c r="BU3" s="389"/>
      <c r="BV3" s="389"/>
      <c r="BW3" s="389"/>
      <c r="BX3" s="389"/>
    </row>
    <row r="4" spans="1:76" s="6" customFormat="1" ht="16.5">
      <c r="B4" s="664" t="s">
        <v>586</v>
      </c>
      <c r="C4" s="185" t="s">
        <v>555</v>
      </c>
      <c r="D4" s="665" t="s">
        <v>551</v>
      </c>
      <c r="E4" s="664" t="str">
        <f>+B4</f>
        <v>25 Standard</v>
      </c>
      <c r="F4" s="185" t="str">
        <f>+C4</f>
        <v>23 Actual</v>
      </c>
      <c r="G4" s="665" t="str">
        <f>+D4</f>
        <v>22 Standard</v>
      </c>
      <c r="H4" s="664" t="str">
        <f>+B4</f>
        <v>25 Standard</v>
      </c>
      <c r="I4" s="185" t="s">
        <v>552</v>
      </c>
      <c r="J4" s="665" t="str">
        <f>+D4</f>
        <v>22 Standard</v>
      </c>
      <c r="K4" s="664" t="str">
        <f>+B4</f>
        <v>25 Standard</v>
      </c>
      <c r="L4" s="185" t="s">
        <v>552</v>
      </c>
      <c r="M4" s="665" t="str">
        <f>+D4</f>
        <v>22 Standard</v>
      </c>
      <c r="N4" s="847" t="str">
        <f>+B4</f>
        <v>25 Standard</v>
      </c>
      <c r="O4" s="848" t="s">
        <v>541</v>
      </c>
      <c r="P4" s="849" t="str">
        <f>+D4</f>
        <v>22 Standard</v>
      </c>
      <c r="Q4" s="847" t="str">
        <f>+B4</f>
        <v>25 Standard</v>
      </c>
      <c r="R4" s="848" t="s">
        <v>541</v>
      </c>
      <c r="S4" s="849" t="str">
        <f>+D4</f>
        <v>22 Standard</v>
      </c>
      <c r="T4" s="664" t="str">
        <f>+B4</f>
        <v>25 Standard</v>
      </c>
      <c r="U4" s="185" t="str">
        <f>+C4</f>
        <v>23 Actual</v>
      </c>
      <c r="V4" s="665" t="str">
        <f>+D4</f>
        <v>22 Standard</v>
      </c>
      <c r="W4" s="847" t="str">
        <f>+B4</f>
        <v>25 Standard</v>
      </c>
      <c r="X4" s="848" t="s">
        <v>541</v>
      </c>
      <c r="Y4" s="849" t="str">
        <f>+D4</f>
        <v>22 Standard</v>
      </c>
      <c r="Z4" s="8"/>
      <c r="AA4" s="847" t="s">
        <v>543</v>
      </c>
      <c r="AB4" s="943" t="s">
        <v>545</v>
      </c>
      <c r="AC4" s="944" t="s">
        <v>546</v>
      </c>
      <c r="AF4" s="763"/>
      <c r="AG4" s="763"/>
      <c r="AH4" s="811"/>
      <c r="AI4" s="808"/>
      <c r="AJ4" s="770"/>
      <c r="AK4" s="777"/>
      <c r="AL4" s="766"/>
      <c r="AM4" s="773"/>
      <c r="AN4" s="774"/>
      <c r="AO4" s="778"/>
      <c r="AP4" s="778"/>
      <c r="AQ4" s="778"/>
      <c r="AR4" s="778"/>
      <c r="AS4" s="778"/>
      <c r="AT4" s="778"/>
      <c r="AU4" s="778"/>
      <c r="AV4" s="778"/>
      <c r="AW4" s="763"/>
      <c r="AX4" s="779"/>
      <c r="AY4" s="779"/>
      <c r="AZ4" s="779"/>
      <c r="BA4" s="779"/>
      <c r="BB4" s="779"/>
      <c r="BC4" s="779"/>
      <c r="BD4" s="779"/>
      <c r="BE4" s="779"/>
      <c r="BF4" s="779"/>
      <c r="BG4" s="770"/>
      <c r="BH4" s="770"/>
      <c r="BI4" s="770"/>
      <c r="BJ4" s="770"/>
      <c r="BK4" s="770"/>
      <c r="BL4" s="770"/>
      <c r="BM4" s="770"/>
      <c r="BN4" s="770"/>
      <c r="BO4" s="770"/>
      <c r="BP4" s="390"/>
      <c r="BQ4" s="390"/>
      <c r="BR4" s="390"/>
      <c r="BS4" s="390"/>
      <c r="BT4" s="390"/>
      <c r="BU4" s="390"/>
      <c r="BV4" s="390"/>
      <c r="BW4" s="390"/>
      <c r="BX4" s="390"/>
    </row>
    <row r="5" spans="1:76" s="6" customFormat="1" ht="15">
      <c r="A5" s="11"/>
      <c r="B5" s="335"/>
      <c r="C5" s="13" t="s">
        <v>556</v>
      </c>
      <c r="D5" s="314"/>
      <c r="E5" s="321"/>
      <c r="F5" s="13" t="s">
        <v>556</v>
      </c>
      <c r="G5" s="322"/>
      <c r="H5" s="321"/>
      <c r="I5" s="13" t="s">
        <v>544</v>
      </c>
      <c r="J5" s="322"/>
      <c r="K5" s="321"/>
      <c r="L5" s="13" t="s">
        <v>557</v>
      </c>
      <c r="M5" s="322"/>
      <c r="N5" s="850"/>
      <c r="O5" s="851" t="s">
        <v>537</v>
      </c>
      <c r="P5" s="852"/>
      <c r="Q5" s="850"/>
      <c r="R5" s="851" t="s">
        <v>542</v>
      </c>
      <c r="S5" s="852"/>
      <c r="T5" s="321"/>
      <c r="U5" s="13" t="s">
        <v>544</v>
      </c>
      <c r="V5" s="322"/>
      <c r="W5" s="850"/>
      <c r="X5" s="851" t="s">
        <v>537</v>
      </c>
      <c r="Y5" s="852"/>
      <c r="Z5" s="309"/>
      <c r="AA5" s="850"/>
      <c r="AB5" s="945"/>
      <c r="AC5" s="852"/>
      <c r="AF5" s="780"/>
      <c r="AG5" s="780"/>
      <c r="AH5" s="812"/>
      <c r="AI5" s="804"/>
      <c r="AJ5" s="781"/>
      <c r="AK5" s="782"/>
      <c r="AL5" s="783"/>
      <c r="AM5" s="773"/>
      <c r="AN5" s="774"/>
      <c r="AO5" s="780"/>
      <c r="AP5" s="780"/>
      <c r="AQ5" s="780"/>
      <c r="AR5" s="780"/>
      <c r="AS5" s="780"/>
      <c r="AT5" s="780"/>
      <c r="AU5" s="780"/>
      <c r="AV5" s="780"/>
      <c r="AW5" s="780"/>
      <c r="AX5" s="781"/>
      <c r="AY5" s="781"/>
      <c r="AZ5" s="781"/>
      <c r="BA5" s="781"/>
      <c r="BB5" s="781"/>
      <c r="BC5" s="781"/>
      <c r="BD5" s="781"/>
      <c r="BE5" s="781"/>
      <c r="BF5" s="781"/>
      <c r="BG5" s="781"/>
      <c r="BH5" s="781"/>
      <c r="BI5" s="781"/>
      <c r="BJ5" s="781"/>
      <c r="BK5" s="781"/>
      <c r="BL5" s="781"/>
      <c r="BM5" s="781"/>
      <c r="BN5" s="781"/>
      <c r="BO5" s="781"/>
      <c r="BP5" s="391"/>
      <c r="BQ5" s="391"/>
      <c r="BR5" s="391"/>
      <c r="BS5" s="391"/>
      <c r="BT5" s="391"/>
      <c r="BU5" s="391"/>
      <c r="BV5" s="391"/>
      <c r="BW5" s="391"/>
      <c r="BX5" s="391"/>
    </row>
    <row r="6" spans="1:76" ht="15">
      <c r="A6" s="17" t="s">
        <v>4</v>
      </c>
      <c r="B6" s="668">
        <f>IF($B$26&lt;&gt;0,$D$66,0)</f>
        <v>0</v>
      </c>
      <c r="C6" s="666">
        <v>0.13389999999999999</v>
      </c>
      <c r="D6" s="667">
        <v>7.9895747816173798E-2</v>
      </c>
      <c r="E6" s="668">
        <f>IF(E26&lt;&gt;0,$F$66,0)</f>
        <v>0</v>
      </c>
      <c r="F6" s="666">
        <v>0.25409999999999999</v>
      </c>
      <c r="G6" s="667">
        <v>0.14867672424785575</v>
      </c>
      <c r="H6" s="668">
        <f>IF(H26&lt;&gt;0,$H$66,0)</f>
        <v>0</v>
      </c>
      <c r="I6" s="666">
        <v>0.59389053691015681</v>
      </c>
      <c r="J6" s="667">
        <v>0.41403491133128978</v>
      </c>
      <c r="K6" s="668">
        <f>IF(K26&lt;&gt;0,$J$66,0)</f>
        <v>0</v>
      </c>
      <c r="L6" s="666">
        <v>0.158</v>
      </c>
      <c r="M6" s="667">
        <v>0.52415863003954544</v>
      </c>
      <c r="N6" s="853">
        <f>IF(N26&lt;&gt;0,$L$66,0)</f>
        <v>0</v>
      </c>
      <c r="O6" s="854">
        <v>1.36544948630137</v>
      </c>
      <c r="P6" s="855">
        <v>2.0099550362253833</v>
      </c>
      <c r="Q6" s="853">
        <f>IF(Q26&lt;&gt;0,$N$66,0)</f>
        <v>0</v>
      </c>
      <c r="R6" s="854">
        <v>0.31286379632845551</v>
      </c>
      <c r="S6" s="855">
        <v>0.16351091645386268</v>
      </c>
      <c r="T6" s="668">
        <f>IF($T$26&lt;&gt;0,$P$66,0)</f>
        <v>0</v>
      </c>
      <c r="U6" s="666">
        <v>0</v>
      </c>
      <c r="V6" s="667">
        <v>0.21393972873662265</v>
      </c>
      <c r="W6" s="668">
        <f>IF($W$26&lt;&gt;0,$R$66,0)</f>
        <v>0</v>
      </c>
      <c r="X6" s="854">
        <v>0.38538493434516125</v>
      </c>
      <c r="Y6" s="855">
        <v>0.35185706550827039</v>
      </c>
      <c r="Z6" s="18"/>
      <c r="AA6" s="853" t="e">
        <f>(B6*B$26+E6*E$26+H6*H$26+K6*K$26+N6*N$26+Q6*Q$26+T6*T$26+W6*W$26)/AA$26</f>
        <v>#DIV/0!</v>
      </c>
      <c r="AB6" s="854" t="e">
        <f>AA6</f>
        <v>#DIV/0!</v>
      </c>
      <c r="AC6" s="855" t="e">
        <f t="shared" ref="AC6:AC11" si="0">AA6-AB6</f>
        <v>#DIV/0!</v>
      </c>
      <c r="AE6" s="49"/>
      <c r="AF6" s="784"/>
      <c r="AG6" s="785"/>
      <c r="AH6" s="813"/>
      <c r="AI6" s="805"/>
      <c r="AJ6" s="786"/>
      <c r="AK6" s="782"/>
      <c r="AL6" s="787"/>
      <c r="AM6" s="773"/>
      <c r="AN6" s="774"/>
      <c r="AO6" s="785"/>
      <c r="AP6" s="785"/>
      <c r="AQ6" s="785"/>
      <c r="AR6" s="785"/>
      <c r="AS6" s="785"/>
      <c r="AT6" s="785"/>
      <c r="AU6" s="785"/>
      <c r="AV6" s="785"/>
      <c r="AW6" s="785"/>
      <c r="AX6" s="786"/>
      <c r="AY6" s="786"/>
      <c r="AZ6" s="786"/>
      <c r="BA6" s="786"/>
      <c r="BB6" s="786"/>
      <c r="BC6" s="786"/>
      <c r="BD6" s="786"/>
      <c r="BE6" s="786"/>
      <c r="BF6" s="786"/>
      <c r="BG6" s="786"/>
      <c r="BH6" s="786"/>
      <c r="BI6" s="786"/>
      <c r="BJ6" s="786"/>
      <c r="BK6" s="786"/>
      <c r="BL6" s="786"/>
      <c r="BM6" s="786"/>
      <c r="BN6" s="786"/>
      <c r="BO6" s="786"/>
      <c r="BP6" s="253"/>
      <c r="BQ6" s="253"/>
      <c r="BR6" s="253"/>
      <c r="BS6" s="253"/>
      <c r="BT6" s="253"/>
      <c r="BU6" s="253"/>
      <c r="BV6" s="253"/>
      <c r="BW6" s="253"/>
      <c r="BX6" s="253"/>
    </row>
    <row r="7" spans="1:76" ht="15">
      <c r="A7" s="17" t="s">
        <v>5</v>
      </c>
      <c r="B7" s="672">
        <f>IF($B$26&lt;&gt;0,$D$115,0)</f>
        <v>0</v>
      </c>
      <c r="C7" s="251">
        <v>1.9900000000000001E-2</v>
      </c>
      <c r="D7" s="673">
        <v>1.7174112875072027E-2</v>
      </c>
      <c r="E7" s="672">
        <f>IF(E26&lt;&gt;0,$H$115,0)</f>
        <v>0</v>
      </c>
      <c r="F7" s="251">
        <v>8.4099999999999994E-2</v>
      </c>
      <c r="G7" s="674">
        <v>8.8307347015228521E-2</v>
      </c>
      <c r="H7" s="672">
        <f>IF(H26&lt;&gt;0,$H$115,0)</f>
        <v>0</v>
      </c>
      <c r="I7" s="251">
        <v>6.8525916079309274E-2</v>
      </c>
      <c r="J7" s="673">
        <v>9.0176733769570791E-2</v>
      </c>
      <c r="K7" s="672">
        <f>IF(K26&lt;&gt;0,$D$115,0)</f>
        <v>0</v>
      </c>
      <c r="L7" s="251">
        <v>1.8599999999999998E-2</v>
      </c>
      <c r="M7" s="673">
        <v>8.8307347015228521E-2</v>
      </c>
      <c r="N7" s="856">
        <f>IF(N26&lt;&gt;0,$D$115,0)</f>
        <v>0</v>
      </c>
      <c r="O7" s="857">
        <v>7.399153071025651E-3</v>
      </c>
      <c r="P7" s="858">
        <v>2.2101421224788535E-2</v>
      </c>
      <c r="Q7" s="856">
        <f>IF(Q26&lt;&gt;0,$H$115,0)</f>
        <v>0</v>
      </c>
      <c r="R7" s="857">
        <v>7.0627225669845542E-2</v>
      </c>
      <c r="S7" s="858">
        <v>9.0176733769570791E-2</v>
      </c>
      <c r="T7" s="672">
        <f>IF($T$26&lt;&gt;0,$D$115,0)</f>
        <v>0</v>
      </c>
      <c r="U7" s="251">
        <v>0</v>
      </c>
      <c r="V7" s="673">
        <v>8.8307347015228521E-2</v>
      </c>
      <c r="W7" s="672">
        <f>IF($B$26&lt;&gt;0,$D$115,0)</f>
        <v>0</v>
      </c>
      <c r="X7" s="857">
        <v>6.3876043883493413E-3</v>
      </c>
      <c r="Y7" s="858">
        <v>2.2101421224788535E-2</v>
      </c>
      <c r="Z7" s="23"/>
      <c r="AA7" s="856" t="e">
        <f>(B7*B$26+E7*E$26+H7*H$26+K7*K$26+N7*N$26+Q7*Q$26+T7*T$26+W7*W$26)/AA$26</f>
        <v>#DIV/0!</v>
      </c>
      <c r="AB7" s="857" t="e">
        <f>AA7</f>
        <v>#DIV/0!</v>
      </c>
      <c r="AC7" s="858" t="e">
        <f t="shared" si="0"/>
        <v>#DIV/0!</v>
      </c>
      <c r="AE7" s="49"/>
      <c r="AF7" s="784"/>
      <c r="AG7" s="784"/>
      <c r="AH7" s="814"/>
      <c r="AI7" s="806"/>
      <c r="AJ7" s="789"/>
      <c r="AK7" s="782"/>
      <c r="AL7" s="787"/>
      <c r="AM7" s="773"/>
      <c r="AN7" s="774"/>
      <c r="AO7" s="784"/>
      <c r="AP7" s="784"/>
      <c r="AQ7" s="784"/>
      <c r="AR7" s="784"/>
      <c r="AS7" s="784"/>
      <c r="AT7" s="784"/>
      <c r="AU7" s="784"/>
      <c r="AV7" s="784"/>
      <c r="AW7" s="784"/>
      <c r="AX7" s="788"/>
      <c r="AY7" s="788"/>
      <c r="AZ7" s="788"/>
      <c r="BA7" s="788"/>
      <c r="BB7" s="788"/>
      <c r="BC7" s="788"/>
      <c r="BD7" s="788"/>
      <c r="BE7" s="788"/>
      <c r="BF7" s="788"/>
      <c r="BG7" s="789"/>
      <c r="BH7" s="801" t="e">
        <f>ROUND(AX7/$B$26,3)</f>
        <v>#DIV/0!</v>
      </c>
      <c r="BI7" s="801" t="e">
        <f>ROUND(AY7/$E$26,3)</f>
        <v>#DIV/0!</v>
      </c>
      <c r="BJ7" s="801">
        <f>IF($H$26&lt;&gt;0,ROUND(AZ7/$H$26,3),0)</f>
        <v>0</v>
      </c>
      <c r="BK7" s="801" t="e">
        <f>ROUND(BA7/$K$26,3)</f>
        <v>#DIV/0!</v>
      </c>
      <c r="BL7" s="801"/>
      <c r="BM7" s="801"/>
      <c r="BN7" s="801" t="e">
        <f>ROUND(BD7/$T$26,3)</f>
        <v>#DIV/0!</v>
      </c>
      <c r="BO7" s="801" t="e">
        <f>ROUND(BE7/$W$26,3)</f>
        <v>#DIV/0!</v>
      </c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15">
      <c r="A8" s="26" t="s">
        <v>8</v>
      </c>
      <c r="B8" s="675">
        <f>IF(B26&lt;&gt;0,$D$120,0)</f>
        <v>0</v>
      </c>
      <c r="C8" s="251">
        <v>2.7199999999999998E-2</v>
      </c>
      <c r="D8" s="673">
        <v>7.7202408751984572E-2</v>
      </c>
      <c r="E8" s="675">
        <f>IF(E26&lt;&gt;0,$H$120,0)</f>
        <v>0</v>
      </c>
      <c r="F8" s="251">
        <v>2.8799999999999999E-2</v>
      </c>
      <c r="G8" s="673">
        <v>4.3356204375992288E-2</v>
      </c>
      <c r="H8" s="675">
        <f>IF($H$26&lt;&gt;0,$H$120,0)</f>
        <v>0</v>
      </c>
      <c r="I8" s="251">
        <v>6.5842050498460494E-2</v>
      </c>
      <c r="J8" s="673">
        <v>1.2775E-2</v>
      </c>
      <c r="K8" s="675">
        <f>IF(K26&lt;&gt;0,$D$120,0)</f>
        <v>0</v>
      </c>
      <c r="L8" s="251">
        <v>2.75E-2</v>
      </c>
      <c r="M8" s="673">
        <v>4.3356204375992288E-2</v>
      </c>
      <c r="N8" s="859">
        <f>IF(N26&lt;&gt;0,$D$120,0)</f>
        <v>0</v>
      </c>
      <c r="O8" s="857">
        <v>2.006810614935509E-2</v>
      </c>
      <c r="P8" s="858">
        <v>2.0074999999999999E-2</v>
      </c>
      <c r="Q8" s="859">
        <f>IF(Q26&lt;&gt;0,$H$120,0)</f>
        <v>0</v>
      </c>
      <c r="R8" s="857">
        <v>1.263113406117009E-2</v>
      </c>
      <c r="S8" s="858">
        <v>1.2775E-2</v>
      </c>
      <c r="T8" s="675">
        <f>IF(T26&lt;&gt;0,$D$120,0)</f>
        <v>0</v>
      </c>
      <c r="U8" s="251">
        <v>0</v>
      </c>
      <c r="V8" s="673">
        <v>4.3356204375992288E-2</v>
      </c>
      <c r="W8" s="675">
        <f>IF(W26&lt;&gt;0,$D$120,0)</f>
        <v>0</v>
      </c>
      <c r="X8" s="857">
        <v>1.0829289262820126E-2</v>
      </c>
      <c r="Y8" s="858">
        <v>2.0074999999999999E-2</v>
      </c>
      <c r="Z8" s="23"/>
      <c r="AA8" s="859" t="e">
        <f>(B8*B$26+E8*E$26+H8*H$26+K8*K$26+N8*N$26+Q8*Q$26+T8*T$26+W8*W$26)/AA$26</f>
        <v>#DIV/0!</v>
      </c>
      <c r="AB8" s="857" t="e">
        <f t="shared" ref="AB8:AB11" si="1">AA8</f>
        <v>#DIV/0!</v>
      </c>
      <c r="AC8" s="858" t="e">
        <f t="shared" si="0"/>
        <v>#DIV/0!</v>
      </c>
      <c r="AE8" s="49"/>
      <c r="AF8" s="784"/>
      <c r="AG8" s="784"/>
      <c r="AH8" s="814"/>
      <c r="AI8" s="806"/>
      <c r="AJ8" s="789"/>
      <c r="AK8" s="782"/>
      <c r="AL8" s="787"/>
      <c r="AM8" s="773"/>
      <c r="AN8" s="774"/>
      <c r="AO8" s="784"/>
      <c r="AP8" s="784"/>
      <c r="AQ8" s="784"/>
      <c r="AR8" s="784"/>
      <c r="AS8" s="784"/>
      <c r="AT8" s="784"/>
      <c r="AU8" s="784"/>
      <c r="AV8" s="784"/>
      <c r="AW8" s="784"/>
      <c r="AX8" s="788"/>
      <c r="AY8" s="788"/>
      <c r="AZ8" s="788"/>
      <c r="BA8" s="788"/>
      <c r="BB8" s="788"/>
      <c r="BC8" s="788"/>
      <c r="BD8" s="788"/>
      <c r="BE8" s="788"/>
      <c r="BF8" s="788"/>
      <c r="BG8" s="789"/>
      <c r="BH8" s="801" t="e">
        <f>ROUND(AX8/$B$26,3)</f>
        <v>#DIV/0!</v>
      </c>
      <c r="BI8" s="801" t="e">
        <f>ROUND(AY8/$E$26,3)</f>
        <v>#DIV/0!</v>
      </c>
      <c r="BJ8" s="801">
        <f>IF($H$26&lt;&gt;0,ROUND(AZ8/$H$26,3),0)</f>
        <v>0</v>
      </c>
      <c r="BK8" s="801" t="e">
        <f>ROUND(BA8/$K$26,3)</f>
        <v>#DIV/0!</v>
      </c>
      <c r="BL8" s="801"/>
      <c r="BM8" s="801"/>
      <c r="BN8" s="801" t="e">
        <f>ROUND(BD8/$T$26,3)</f>
        <v>#DIV/0!</v>
      </c>
      <c r="BO8" s="801" t="e">
        <f>ROUND(BE8/$W$26,3)</f>
        <v>#DIV/0!</v>
      </c>
      <c r="BP8" s="241"/>
      <c r="BQ8" s="241"/>
      <c r="BR8" s="241"/>
      <c r="BS8" s="241"/>
      <c r="BT8" s="241"/>
      <c r="BU8" s="241"/>
      <c r="BV8" s="241"/>
      <c r="BW8" s="241"/>
      <c r="BX8" s="241"/>
    </row>
    <row r="9" spans="1:76" ht="15">
      <c r="A9" s="17" t="s">
        <v>11</v>
      </c>
      <c r="B9" s="675">
        <f>IF(B26&lt;&gt;0,$B$133/$B$27/1000,0)</f>
        <v>0</v>
      </c>
      <c r="C9" s="251">
        <v>3.95E-2</v>
      </c>
      <c r="D9" s="673">
        <v>2.5157232704402517E-2</v>
      </c>
      <c r="E9" s="675">
        <f>IF(E26&lt;&gt;0,$B$133/$B$27/1000,0)</f>
        <v>0</v>
      </c>
      <c r="F9" s="251">
        <v>4.19E-2</v>
      </c>
      <c r="G9" s="673">
        <v>2.5157232704402517E-2</v>
      </c>
      <c r="H9" s="675">
        <f>IF(H26&lt;&gt;0,$B$133/$B$27/1000,0)</f>
        <v>0</v>
      </c>
      <c r="I9" s="251">
        <v>7.301391548807723E-2</v>
      </c>
      <c r="J9" s="673">
        <v>2.0211742059672761E-2</v>
      </c>
      <c r="K9" s="675">
        <f>IF(K26&lt;&gt;0,$B$133/$B$27/1000,0)</f>
        <v>0</v>
      </c>
      <c r="L9" s="251">
        <v>4.3099999999999999E-2</v>
      </c>
      <c r="M9" s="673">
        <v>2.5157232704402517E-2</v>
      </c>
      <c r="N9" s="859">
        <f>IF(N26&lt;&gt;0,$B$133/$B$27/1000,0)</f>
        <v>0</v>
      </c>
      <c r="O9" s="857">
        <v>2.9693531632209037E-2</v>
      </c>
      <c r="P9" s="858">
        <v>2.0211742059672761E-2</v>
      </c>
      <c r="Q9" s="859">
        <f>IF(Q26&lt;&gt;0,$B$133/$B$27/1000,0)</f>
        <v>0</v>
      </c>
      <c r="R9" s="857">
        <v>5.0277646428676043E-3</v>
      </c>
      <c r="S9" s="858">
        <v>2.0211742059672761E-2</v>
      </c>
      <c r="T9" s="675">
        <f>IF(T26&lt;&gt;0,$B$133/$B$27/1000,0)</f>
        <v>0</v>
      </c>
      <c r="U9" s="251">
        <v>0</v>
      </c>
      <c r="V9" s="673">
        <v>2.5157232704402517E-2</v>
      </c>
      <c r="W9" s="675">
        <f>IF(W26&lt;&gt;0,$B$133/$B$27/1000,0)</f>
        <v>0</v>
      </c>
      <c r="X9" s="857">
        <v>3.2578496118021591E-2</v>
      </c>
      <c r="Y9" s="858">
        <v>2.0211742059672761E-2</v>
      </c>
      <c r="Z9" s="23"/>
      <c r="AA9" s="859" t="e">
        <f>(B9*B$26+E9*E$26+H9*H$26+K9*K$26+N9*N$26+Q9*Q$26+T9*T$26+W9*W$26)/AA$26</f>
        <v>#DIV/0!</v>
      </c>
      <c r="AB9" s="857" t="e">
        <f t="shared" si="1"/>
        <v>#DIV/0!</v>
      </c>
      <c r="AC9" s="858" t="e">
        <f t="shared" si="0"/>
        <v>#DIV/0!</v>
      </c>
      <c r="AE9" s="49"/>
      <c r="AF9" s="784"/>
      <c r="AG9" s="784"/>
      <c r="AH9" s="814"/>
      <c r="AI9" s="806"/>
      <c r="AJ9" s="789"/>
      <c r="AK9" s="782"/>
      <c r="AL9" s="787"/>
      <c r="AM9" s="773"/>
      <c r="AN9" s="774"/>
      <c r="AO9" s="784"/>
      <c r="AP9" s="784"/>
      <c r="AQ9" s="784"/>
      <c r="AR9" s="784"/>
      <c r="AS9" s="784"/>
      <c r="AT9" s="784"/>
      <c r="AU9" s="784"/>
      <c r="AV9" s="784"/>
      <c r="AW9" s="784"/>
      <c r="AX9" s="788"/>
      <c r="AY9" s="788"/>
      <c r="AZ9" s="788"/>
      <c r="BA9" s="788"/>
      <c r="BB9" s="788"/>
      <c r="BC9" s="788"/>
      <c r="BD9" s="788"/>
      <c r="BE9" s="788"/>
      <c r="BF9" s="788"/>
      <c r="BG9" s="789"/>
      <c r="BH9" s="801" t="e">
        <f>ROUND(AX9/$B$26,3)</f>
        <v>#DIV/0!</v>
      </c>
      <c r="BI9" s="801" t="e">
        <f>ROUND(AY9/$E$26,3)</f>
        <v>#DIV/0!</v>
      </c>
      <c r="BJ9" s="801">
        <f>IF($H$26&lt;&gt;0,ROUND(AZ9/$H$26,3),0)</f>
        <v>0</v>
      </c>
      <c r="BK9" s="801" t="e">
        <f>ROUND(BA9/$K$26,3)</f>
        <v>#DIV/0!</v>
      </c>
      <c r="BL9" s="801"/>
      <c r="BM9" s="801"/>
      <c r="BN9" s="801" t="e">
        <f>ROUND(BD9/$T$26,3)</f>
        <v>#DIV/0!</v>
      </c>
      <c r="BO9" s="801" t="e">
        <f>ROUND(BE9/$W$26,3)</f>
        <v>#DIV/0!</v>
      </c>
      <c r="BP9" s="241"/>
      <c r="BQ9" s="241"/>
      <c r="BR9" s="241"/>
      <c r="BS9" s="241"/>
      <c r="BT9" s="241"/>
      <c r="BU9" s="241"/>
      <c r="BV9" s="241"/>
      <c r="BW9" s="241"/>
      <c r="BX9" s="241"/>
    </row>
    <row r="10" spans="1:76" ht="15">
      <c r="A10" s="17" t="s">
        <v>14</v>
      </c>
      <c r="B10" s="675">
        <f>IF(B26&lt;&gt;0,$B$134/$B$27/1000,0)</f>
        <v>0</v>
      </c>
      <c r="C10" s="251">
        <v>4.8999999999999998E-3</v>
      </c>
      <c r="D10" s="673">
        <v>4.1928721174004195E-3</v>
      </c>
      <c r="E10" s="675">
        <f>IF(E26&lt;&gt;0,$B$134/$B$27/1000,0)</f>
        <v>0</v>
      </c>
      <c r="F10" s="251">
        <v>4.1000000000000003E-3</v>
      </c>
      <c r="G10" s="673">
        <v>4.1928721174004195E-3</v>
      </c>
      <c r="H10" s="675">
        <f>IF(H26&lt;&gt;0,$B$134/$B$27/1000,0)</f>
        <v>0</v>
      </c>
      <c r="I10" s="251">
        <v>2.2798529359222904E-3</v>
      </c>
      <c r="J10" s="673">
        <v>4.8123195380173241E-3</v>
      </c>
      <c r="K10" s="675">
        <f>IF(K26&lt;&gt;0,$B$134/$B$27/1000,0)</f>
        <v>0</v>
      </c>
      <c r="L10" s="251">
        <v>6.0000000000000001E-3</v>
      </c>
      <c r="M10" s="673">
        <v>4.1928721174004195E-3</v>
      </c>
      <c r="N10" s="859">
        <f>IF(N26&lt;&gt;0,$B$134/$B$27/1000,0)</f>
        <v>0</v>
      </c>
      <c r="O10" s="857">
        <v>7.7779148184529195E-3</v>
      </c>
      <c r="P10" s="858">
        <v>4.8123195380173241E-3</v>
      </c>
      <c r="Q10" s="859">
        <f>IF(Q26&lt;&gt;0,$B$134/$B$27/1000,0)</f>
        <v>0</v>
      </c>
      <c r="R10" s="857">
        <v>2.3705606909567188E-3</v>
      </c>
      <c r="S10" s="858">
        <v>4.8123195380173241E-3</v>
      </c>
      <c r="T10" s="675">
        <f>IF(T26&lt;&gt;0,$B$134/$B$27/1000,0)</f>
        <v>0</v>
      </c>
      <c r="U10" s="251">
        <v>0</v>
      </c>
      <c r="V10" s="673">
        <v>4.1928721174004195E-3</v>
      </c>
      <c r="W10" s="675">
        <f>IF(W26&lt;&gt;0,$B$134/$B$27/1000,0)</f>
        <v>0</v>
      </c>
      <c r="X10" s="857">
        <v>4.7472399028878759E-3</v>
      </c>
      <c r="Y10" s="858">
        <v>4.8123195380173241E-3</v>
      </c>
      <c r="Z10" s="23"/>
      <c r="AA10" s="859" t="e">
        <f>(B10*B$26+E10*E$26+H10*H$26+K10*K$26+N10*N$26+Q10*Q$26+T10*T$26+W10*W$26)/AA$26</f>
        <v>#DIV/0!</v>
      </c>
      <c r="AB10" s="857" t="e">
        <f t="shared" si="1"/>
        <v>#DIV/0!</v>
      </c>
      <c r="AC10" s="858" t="e">
        <f t="shared" si="0"/>
        <v>#DIV/0!</v>
      </c>
      <c r="AE10" s="49"/>
      <c r="AF10" s="784"/>
      <c r="AG10" s="784"/>
      <c r="AH10" s="814"/>
      <c r="AI10" s="806"/>
      <c r="AJ10" s="789"/>
      <c r="AK10" s="782"/>
      <c r="AL10" s="787"/>
      <c r="AM10" s="773"/>
      <c r="AN10" s="774"/>
      <c r="AO10" s="784"/>
      <c r="AP10" s="784"/>
      <c r="AQ10" s="784"/>
      <c r="AR10" s="784"/>
      <c r="AS10" s="784"/>
      <c r="AT10" s="784"/>
      <c r="AU10" s="784"/>
      <c r="AV10" s="784"/>
      <c r="AW10" s="784"/>
      <c r="AX10" s="788"/>
      <c r="AY10" s="788"/>
      <c r="AZ10" s="788"/>
      <c r="BA10" s="788"/>
      <c r="BB10" s="788"/>
      <c r="BC10" s="788"/>
      <c r="BD10" s="788"/>
      <c r="BE10" s="788"/>
      <c r="BF10" s="788"/>
      <c r="BG10" s="789"/>
      <c r="BH10" s="801" t="e">
        <f>ROUND(AX10/$B$26,3)</f>
        <v>#DIV/0!</v>
      </c>
      <c r="BI10" s="801" t="e">
        <f>ROUND(AY10/$E$26,3)</f>
        <v>#DIV/0!</v>
      </c>
      <c r="BJ10" s="801">
        <f>IF($H$26&lt;&gt;0,ROUND(AZ10/$H$26,3),0)</f>
        <v>0</v>
      </c>
      <c r="BK10" s="801" t="e">
        <f>ROUND(BA10/$K$26,3)</f>
        <v>#DIV/0!</v>
      </c>
      <c r="BL10" s="801"/>
      <c r="BM10" s="801"/>
      <c r="BN10" s="801" t="e">
        <f>ROUND(BD10/$T$26,3)</f>
        <v>#DIV/0!</v>
      </c>
      <c r="BO10" s="801" t="e">
        <f>ROUND(BE10/$W$26,3)</f>
        <v>#DIV/0!</v>
      </c>
      <c r="BP10" s="241"/>
      <c r="BQ10" s="241"/>
      <c r="BR10" s="241"/>
      <c r="BS10" s="241"/>
      <c r="BT10" s="241"/>
      <c r="BU10" s="241"/>
      <c r="BV10" s="241"/>
      <c r="BW10" s="241"/>
      <c r="BX10" s="241"/>
    </row>
    <row r="11" spans="1:76" ht="15">
      <c r="A11" s="17" t="s">
        <v>16</v>
      </c>
      <c r="B11" s="676">
        <f>IF(B26&lt;&gt;0,$B$135/$B$27/1000,0)</f>
        <v>0</v>
      </c>
      <c r="C11" s="677">
        <v>1.3599999999999999E-2</v>
      </c>
      <c r="D11" s="678">
        <v>8.385744234800839E-3</v>
      </c>
      <c r="E11" s="677">
        <f>IF(E26&lt;&gt;0,$B$135/$B$27/1000,0)</f>
        <v>0</v>
      </c>
      <c r="F11" s="677">
        <v>2.8199999999999999E-2</v>
      </c>
      <c r="G11" s="680">
        <v>8.385744234800839E-3</v>
      </c>
      <c r="H11" s="677">
        <f>IF(H26&lt;&gt;0,$B$135/$B$27/1000,0)</f>
        <v>0</v>
      </c>
      <c r="I11" s="677">
        <v>2.9140104865379695E-2</v>
      </c>
      <c r="J11" s="680">
        <v>7.6997112608277194E-3</v>
      </c>
      <c r="K11" s="677">
        <f>IF(K26&lt;&gt;0,$B$135/$B$27/1000,0)</f>
        <v>0</v>
      </c>
      <c r="L11" s="677">
        <v>2.5600000000000001E-2</v>
      </c>
      <c r="M11" s="680">
        <v>8.385744234800839E-3</v>
      </c>
      <c r="N11" s="875">
        <f>IF(N26&lt;&gt;0,$B$135/$B$27/1000,0)</f>
        <v>0</v>
      </c>
      <c r="O11" s="875">
        <v>1.2628237035340342E-2</v>
      </c>
      <c r="P11" s="862">
        <v>7.6997112608277194E-3</v>
      </c>
      <c r="Q11" s="875">
        <f>IF(Q26&lt;&gt;0,$B$135/$B$27/1000,0)</f>
        <v>0</v>
      </c>
      <c r="R11" s="875">
        <v>9.3357827034853316E-3</v>
      </c>
      <c r="S11" s="862">
        <v>7.6997112608277194E-3</v>
      </c>
      <c r="T11" s="677">
        <f>IF(T26&lt;&gt;0,$B$135/$B$27/1000,0)</f>
        <v>0</v>
      </c>
      <c r="U11" s="677">
        <v>0</v>
      </c>
      <c r="V11" s="680">
        <v>8.385744234800839E-3</v>
      </c>
      <c r="W11" s="677">
        <f>IF(W26&lt;&gt;0,$B$135/$B$27/1000,0)</f>
        <v>0</v>
      </c>
      <c r="X11" s="875">
        <v>9.6675993282831323E-3</v>
      </c>
      <c r="Y11" s="862">
        <v>7.6997112608277194E-3</v>
      </c>
      <c r="Z11" s="31"/>
      <c r="AA11" s="860" t="e">
        <f t="shared" ref="AA11" si="2">(B11*B$26+E11*E$26+H11*H$26+K11*K$26+N11*N$26+Q11*Q$26+T11*T$26+W11*W$26)/AA$26</f>
        <v>#DIV/0!</v>
      </c>
      <c r="AB11" s="875" t="e">
        <f t="shared" si="1"/>
        <v>#DIV/0!</v>
      </c>
      <c r="AC11" s="862" t="e">
        <f t="shared" si="0"/>
        <v>#DIV/0!</v>
      </c>
      <c r="AE11" s="147"/>
      <c r="AF11" s="790"/>
      <c r="AG11" s="790"/>
      <c r="AH11" s="815"/>
      <c r="AI11" s="806"/>
      <c r="AJ11" s="789"/>
      <c r="AK11" s="782"/>
      <c r="AL11" s="787"/>
      <c r="AM11" s="773"/>
      <c r="AN11" s="791"/>
      <c r="AO11" s="790"/>
      <c r="AP11" s="790"/>
      <c r="AQ11" s="790"/>
      <c r="AR11" s="790"/>
      <c r="AS11" s="790"/>
      <c r="AT11" s="790"/>
      <c r="AU11" s="790"/>
      <c r="AV11" s="790"/>
      <c r="AW11" s="790"/>
      <c r="AX11" s="788"/>
      <c r="AY11" s="788"/>
      <c r="AZ11" s="788"/>
      <c r="BA11" s="788"/>
      <c r="BB11" s="788"/>
      <c r="BC11" s="788"/>
      <c r="BD11" s="788"/>
      <c r="BE11" s="788"/>
      <c r="BF11" s="788"/>
      <c r="BG11" s="789"/>
      <c r="BH11" s="801" t="e">
        <f>ROUND(AX11/$B$26,3)</f>
        <v>#DIV/0!</v>
      </c>
      <c r="BI11" s="801" t="e">
        <f>ROUND(AY11/$E$26,3)</f>
        <v>#DIV/0!</v>
      </c>
      <c r="BJ11" s="801">
        <f>IF($H$26&lt;&gt;0,ROUND(AZ11/$H$26,3),0)</f>
        <v>0</v>
      </c>
      <c r="BK11" s="801" t="e">
        <f>ROUND(BA11/$K$26,3)</f>
        <v>#DIV/0!</v>
      </c>
      <c r="BL11" s="801"/>
      <c r="BM11" s="801"/>
      <c r="BN11" s="801" t="e">
        <f>ROUND(BD11/$T$26,3)</f>
        <v>#DIV/0!</v>
      </c>
      <c r="BO11" s="801" t="e">
        <f>ROUND(BE11/$W$26,3)</f>
        <v>#DIV/0!</v>
      </c>
      <c r="BP11" s="384"/>
      <c r="BQ11" s="384"/>
      <c r="BR11" s="384"/>
      <c r="BS11" s="384"/>
      <c r="BT11" s="384"/>
      <c r="BU11" s="384"/>
      <c r="BV11" s="384"/>
      <c r="BW11" s="384"/>
      <c r="BX11" s="384"/>
    </row>
    <row r="12" spans="1:76">
      <c r="A12" s="192" t="s">
        <v>169</v>
      </c>
      <c r="B12" s="675">
        <f t="shared" ref="B12:C12" si="3">SUM(B6:B11)</f>
        <v>0</v>
      </c>
      <c r="C12" s="251">
        <f t="shared" si="3"/>
        <v>0.23899999999999999</v>
      </c>
      <c r="D12" s="673">
        <v>0.21200811849983414</v>
      </c>
      <c r="E12" s="675">
        <f>SUM(E6:E11)</f>
        <v>0</v>
      </c>
      <c r="F12" s="251">
        <f t="shared" ref="F12" si="4">SUM(F6:F11)</f>
        <v>0.44119999999999998</v>
      </c>
      <c r="G12" s="673">
        <v>0.31807612469568031</v>
      </c>
      <c r="H12" s="675">
        <f>SUM(H6:H11)</f>
        <v>0</v>
      </c>
      <c r="I12" s="251">
        <f t="shared" ref="I12" si="5">SUM(I6:I11)</f>
        <v>0.83269237677730568</v>
      </c>
      <c r="J12" s="673">
        <f>SUM(J6:J11)</f>
        <v>0.54971041795937836</v>
      </c>
      <c r="K12" s="675">
        <f>SUM(K6:K11)</f>
        <v>0</v>
      </c>
      <c r="L12" s="251">
        <f t="shared" ref="L12" si="6">SUM(L6:L11)</f>
        <v>0.27879999999999999</v>
      </c>
      <c r="M12" s="673">
        <v>0.69355803048737008</v>
      </c>
      <c r="N12" s="859">
        <f>SUM(N6:N11)</f>
        <v>0</v>
      </c>
      <c r="O12" s="857">
        <f t="shared" ref="O12" si="7">SUM(O6:O11)</f>
        <v>1.443016429007753</v>
      </c>
      <c r="P12" s="858">
        <f>SUM(P6:P11)</f>
        <v>2.0848552303086891</v>
      </c>
      <c r="Q12" s="859">
        <f>SUM(Q6:Q11)</f>
        <v>0</v>
      </c>
      <c r="R12" s="857">
        <f t="shared" ref="R12" si="8">SUM(R6:R11)</f>
        <v>0.41285626409678078</v>
      </c>
      <c r="S12" s="858">
        <f>SUM(S6:S11)</f>
        <v>0.29918642308195126</v>
      </c>
      <c r="T12" s="675">
        <f t="shared" ref="T12" si="9">SUM(T6:T11)</f>
        <v>0</v>
      </c>
      <c r="U12" s="251">
        <f t="shared" ref="U12" si="10">SUM(U6:U11)</f>
        <v>0</v>
      </c>
      <c r="V12" s="673">
        <v>0.38333912918444724</v>
      </c>
      <c r="W12" s="675">
        <f t="shared" ref="W12" si="11">SUM(W6:W11)</f>
        <v>0</v>
      </c>
      <c r="X12" s="857">
        <f t="shared" ref="X12" si="12">SUM(X6:X11)</f>
        <v>0.44959516334552335</v>
      </c>
      <c r="Y12" s="858">
        <f>SUM(Y6:Y11)</f>
        <v>0.42675725959157673</v>
      </c>
      <c r="Z12" s="23"/>
      <c r="AA12" s="859" t="e">
        <f>SUM(AA6:AA11)</f>
        <v>#DIV/0!</v>
      </c>
      <c r="AB12" s="857" t="e">
        <f>SUM(AB6:AB11)</f>
        <v>#DIV/0!</v>
      </c>
      <c r="AC12" s="858" t="e">
        <f>SUM(AC6:AC11)</f>
        <v>#DIV/0!</v>
      </c>
      <c r="AE12" s="49"/>
      <c r="AF12" s="792"/>
      <c r="AG12" s="792"/>
      <c r="AH12" s="816"/>
      <c r="AI12" s="806"/>
      <c r="AJ12" s="788"/>
      <c r="AK12" s="782"/>
      <c r="AL12" s="787"/>
      <c r="AM12" s="773"/>
      <c r="AN12" s="791"/>
      <c r="AO12" s="792"/>
      <c r="AP12" s="792"/>
      <c r="AQ12" s="792"/>
      <c r="AR12" s="792"/>
      <c r="AS12" s="792"/>
      <c r="AT12" s="792"/>
      <c r="AU12" s="792"/>
      <c r="AV12" s="792"/>
      <c r="AW12" s="792"/>
      <c r="AX12" s="788"/>
      <c r="AY12" s="788"/>
      <c r="AZ12" s="788"/>
      <c r="BA12" s="788"/>
      <c r="BB12" s="788"/>
      <c r="BC12" s="788"/>
      <c r="BD12" s="788"/>
      <c r="BE12" s="788"/>
      <c r="BF12" s="788"/>
      <c r="BG12" s="788"/>
      <c r="BH12" s="788"/>
      <c r="BI12" s="788"/>
      <c r="BJ12" s="788"/>
      <c r="BK12" s="788"/>
      <c r="BL12" s="788"/>
      <c r="BM12" s="788"/>
      <c r="BN12" s="788"/>
      <c r="BO12" s="788"/>
      <c r="BP12" s="102"/>
      <c r="BQ12" s="102"/>
      <c r="BR12" s="102"/>
      <c r="BS12" s="102"/>
      <c r="BT12" s="102"/>
      <c r="BU12" s="102"/>
      <c r="BV12" s="102"/>
      <c r="BW12" s="102"/>
      <c r="BX12" s="102"/>
    </row>
    <row r="13" spans="1:76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859"/>
      <c r="O13" s="857"/>
      <c r="P13" s="858"/>
      <c r="Q13" s="984"/>
      <c r="R13" s="857"/>
      <c r="S13" s="858"/>
      <c r="T13" s="681"/>
      <c r="U13" s="251"/>
      <c r="V13" s="673"/>
      <c r="W13" s="681"/>
      <c r="X13" s="857"/>
      <c r="Y13" s="858"/>
      <c r="Z13" s="23"/>
      <c r="AA13" s="859"/>
      <c r="AB13" s="857"/>
      <c r="AC13" s="858"/>
      <c r="AE13" s="49"/>
      <c r="AF13" s="792"/>
      <c r="AG13" s="792"/>
      <c r="AH13" s="816"/>
      <c r="AI13" s="806"/>
      <c r="AJ13" s="788"/>
      <c r="AK13" s="782"/>
      <c r="AL13" s="787"/>
      <c r="AM13" s="773"/>
      <c r="AN13" s="791"/>
      <c r="AO13" s="792"/>
      <c r="AP13" s="792"/>
      <c r="AQ13" s="792"/>
      <c r="AR13" s="792"/>
      <c r="AS13" s="792"/>
      <c r="AT13" s="792"/>
      <c r="AU13" s="792"/>
      <c r="AV13" s="792"/>
      <c r="AW13" s="792"/>
      <c r="AX13" s="788"/>
      <c r="AY13" s="788"/>
      <c r="AZ13" s="788"/>
      <c r="BA13" s="788"/>
      <c r="BB13" s="788"/>
      <c r="BC13" s="788"/>
      <c r="BD13" s="788"/>
      <c r="BE13" s="788"/>
      <c r="BF13" s="788"/>
      <c r="BG13" s="788"/>
      <c r="BH13" s="788"/>
      <c r="BI13" s="788"/>
      <c r="BJ13" s="788"/>
      <c r="BK13" s="788"/>
      <c r="BL13" s="788"/>
      <c r="BM13" s="788"/>
      <c r="BN13" s="788"/>
      <c r="BO13" s="788"/>
      <c r="BP13" s="102"/>
      <c r="BQ13" s="102"/>
      <c r="BR13" s="102"/>
      <c r="BS13" s="102"/>
      <c r="BT13" s="102"/>
      <c r="BU13" s="102"/>
      <c r="BV13" s="102"/>
      <c r="BW13" s="102"/>
      <c r="BX13" s="102"/>
    </row>
    <row r="14" spans="1:76" s="26" customFormat="1">
      <c r="A14" s="17" t="s">
        <v>18</v>
      </c>
      <c r="B14" s="675">
        <f>IF(B26&lt;&gt;0,$F$91/$B$27/1000,0)</f>
        <v>0</v>
      </c>
      <c r="C14" s="251">
        <v>4.7699999999999999E-2</v>
      </c>
      <c r="D14" s="673">
        <v>1.509433962264151E-2</v>
      </c>
      <c r="E14" s="675">
        <f>IF(E26&lt;&gt;0,$F$91/$B$27/1000,0)</f>
        <v>0</v>
      </c>
      <c r="F14" s="251">
        <v>8.2100000000000006E-2</v>
      </c>
      <c r="G14" s="673">
        <v>1.509433962264151E-2</v>
      </c>
      <c r="H14" s="675">
        <f>IF(H26&lt;&gt;0,$F$91/$B$27/1000,0)</f>
        <v>0</v>
      </c>
      <c r="I14" s="251">
        <v>7.5578634107139275E-2</v>
      </c>
      <c r="J14" s="673">
        <v>2.0862906935980096E-2</v>
      </c>
      <c r="K14" s="675">
        <f>IF(K26&lt;&gt;0,$F$91/$B$27/1000,0)</f>
        <v>0</v>
      </c>
      <c r="L14" s="251">
        <v>7.2599999999999998E-2</v>
      </c>
      <c r="M14" s="673">
        <v>1.509433962264151E-2</v>
      </c>
      <c r="N14" s="859">
        <f>IF(N26&lt;&gt;0,$F$91/$B$27/1000,0)</f>
        <v>0</v>
      </c>
      <c r="O14" s="857">
        <v>2.9535801925015832E-2</v>
      </c>
      <c r="P14" s="858">
        <v>2.5328545878798573E-2</v>
      </c>
      <c r="Q14" s="859">
        <f>IF(Q26&lt;&gt;0,$F$91/$B$27/1000,0)</f>
        <v>0</v>
      </c>
      <c r="R14" s="857">
        <v>3.98894435773079E-2</v>
      </c>
      <c r="S14" s="858">
        <v>2.0862906935980096E-2</v>
      </c>
      <c r="T14" s="675">
        <f>IF(T26&lt;&gt;0,$F$91/$B$27/1000,0)</f>
        <v>0</v>
      </c>
      <c r="U14" s="251">
        <v>0</v>
      </c>
      <c r="V14" s="673">
        <v>1.509433962264151E-2</v>
      </c>
      <c r="W14" s="675">
        <f>IF(W26&lt;&gt;0,$F$91/$B$27/1000,0)</f>
        <v>0</v>
      </c>
      <c r="X14" s="857">
        <v>2.1692464742551075E-3</v>
      </c>
      <c r="Y14" s="858">
        <v>2.5328545878798573E-2</v>
      </c>
      <c r="Z14" s="23"/>
      <c r="AA14" s="859" t="e">
        <f t="shared" ref="AA14:AA19" si="13">(B14*B$26+E14*E$26+H14*H$26+K14*K$26+N14*N$26+Q14*Q$26+T14*T$26+W14*W$26)/AA$26</f>
        <v>#DIV/0!</v>
      </c>
      <c r="AB14" s="857" t="e">
        <f>AB22-AB12</f>
        <v>#DIV/0!</v>
      </c>
      <c r="AC14" s="858" t="e">
        <f>AA14-AB14</f>
        <v>#DIV/0!</v>
      </c>
      <c r="AE14" s="49"/>
      <c r="AF14" s="784"/>
      <c r="AG14" s="784"/>
      <c r="AH14" s="814"/>
      <c r="AI14" s="806"/>
      <c r="AJ14" s="789"/>
      <c r="AK14" s="782"/>
      <c r="AL14" s="787"/>
      <c r="AM14" s="773"/>
      <c r="AN14" s="791"/>
      <c r="AO14" s="784"/>
      <c r="AP14" s="784"/>
      <c r="AQ14" s="784"/>
      <c r="AR14" s="784"/>
      <c r="AS14" s="784"/>
      <c r="AT14" s="784"/>
      <c r="AU14" s="784"/>
      <c r="AV14" s="784"/>
      <c r="AW14" s="784"/>
      <c r="AX14" s="802"/>
      <c r="AY14" s="788"/>
      <c r="AZ14" s="788"/>
      <c r="BA14" s="802"/>
      <c r="BB14" s="788"/>
      <c r="BC14" s="788"/>
      <c r="BD14" s="802"/>
      <c r="BE14" s="802"/>
      <c r="BF14" s="788"/>
      <c r="BG14" s="789"/>
      <c r="BH14" s="801" t="e">
        <f t="shared" ref="BH14:BH19" si="14">ROUND(AX14/$B$26,3)</f>
        <v>#DIV/0!</v>
      </c>
      <c r="BI14" s="801" t="e">
        <f t="shared" ref="BI14:BI19" si="15">ROUND(AY14/$E$26,3)</f>
        <v>#DIV/0!</v>
      </c>
      <c r="BJ14" s="801">
        <f t="shared" ref="BJ14:BJ19" si="16">IF($H$26&lt;&gt;0,ROUND(AZ14/$H$26,3),0)</f>
        <v>0</v>
      </c>
      <c r="BK14" s="801" t="e">
        <f t="shared" ref="BK14:BM19" si="17">ROUND(BA14/$K$26,3)</f>
        <v>#DIV/0!</v>
      </c>
      <c r="BL14" s="801"/>
      <c r="BM14" s="801"/>
      <c r="BN14" s="801" t="e">
        <f t="shared" ref="BN14:BN19" si="18">ROUND(BD14/$T$26,3)</f>
        <v>#DIV/0!</v>
      </c>
      <c r="BO14" s="801" t="e">
        <f t="shared" ref="BO14:BO19" si="19">ROUND(BE14/$W$26,3)</f>
        <v>#DIV/0!</v>
      </c>
      <c r="BP14" s="241"/>
      <c r="BQ14" s="241"/>
      <c r="BR14" s="241"/>
      <c r="BS14" s="241"/>
      <c r="BT14" s="241"/>
      <c r="BU14" s="241"/>
      <c r="BV14" s="241"/>
      <c r="BW14" s="241"/>
      <c r="BX14" s="241"/>
    </row>
    <row r="15" spans="1:76" s="26" customFormat="1">
      <c r="A15" s="17" t="s">
        <v>21</v>
      </c>
      <c r="B15" s="675">
        <f>IF(B26&lt;&gt;0,$F$92/$B$27/1000,0)</f>
        <v>0</v>
      </c>
      <c r="C15" s="251">
        <v>1.34E-2</v>
      </c>
      <c r="D15" s="673">
        <v>5.1091398605179221E-3</v>
      </c>
      <c r="E15" s="675">
        <f>IF(E26&lt;&gt;0,$F$92/$B$27/1000,0)</f>
        <v>0</v>
      </c>
      <c r="F15" s="251">
        <v>2.64E-2</v>
      </c>
      <c r="G15" s="673">
        <v>5.1091398605179221E-3</v>
      </c>
      <c r="H15" s="675">
        <f>IF(H26&lt;&gt;0,$F$92/$B$27/1000,0)</f>
        <v>0</v>
      </c>
      <c r="I15" s="251">
        <v>1.4677876419776713E-2</v>
      </c>
      <c r="J15" s="673">
        <v>1.0844159076034648E-2</v>
      </c>
      <c r="K15" s="675">
        <f>IF(K26&lt;&gt;0,$F$92/$B$27/1000,0)</f>
        <v>0</v>
      </c>
      <c r="L15" s="251">
        <v>2.3099999999999999E-2</v>
      </c>
      <c r="M15" s="673">
        <v>5.1091398605179221E-3</v>
      </c>
      <c r="N15" s="859">
        <f>IF(N26&lt;&gt;0,$F$92/$B$27/1000,0)</f>
        <v>0</v>
      </c>
      <c r="O15" s="857">
        <v>1.156510435353794E-2</v>
      </c>
      <c r="P15" s="858">
        <v>1.3165316871573837E-2</v>
      </c>
      <c r="Q15" s="859">
        <f>IF(Q26&lt;&gt;0,$F$92/$B$27/1000,0)</f>
        <v>0</v>
      </c>
      <c r="R15" s="857">
        <v>1.2338213940487001E-2</v>
      </c>
      <c r="S15" s="858">
        <v>1.0844159076034648E-2</v>
      </c>
      <c r="T15" s="675">
        <f>IF(T26&lt;&gt;0,$F$92/$B$27/1000,0)</f>
        <v>0</v>
      </c>
      <c r="U15" s="251">
        <v>0</v>
      </c>
      <c r="V15" s="673">
        <v>6.8056863027509719E-3</v>
      </c>
      <c r="W15" s="675">
        <f>IF(W26&lt;&gt;0,$F$92/$B$27/1000,0)</f>
        <v>0</v>
      </c>
      <c r="X15" s="857">
        <v>1.2020313338564517E-3</v>
      </c>
      <c r="Y15" s="858">
        <v>1.3165316871573837E-2</v>
      </c>
      <c r="Z15" s="23"/>
      <c r="AA15" s="859" t="e">
        <f t="shared" si="13"/>
        <v>#DIV/0!</v>
      </c>
      <c r="AB15" s="857" t="e">
        <f>AB22-AB12-AB14</f>
        <v>#DIV/0!</v>
      </c>
      <c r="AC15" s="858" t="e">
        <f>AA15-AB15</f>
        <v>#DIV/0!</v>
      </c>
      <c r="AE15" s="49"/>
      <c r="AF15" s="784"/>
      <c r="AG15" s="784"/>
      <c r="AH15" s="814"/>
      <c r="AI15" s="806"/>
      <c r="AJ15" s="789"/>
      <c r="AK15" s="782"/>
      <c r="AL15" s="787"/>
      <c r="AM15" s="773"/>
      <c r="AN15" s="791"/>
      <c r="AO15" s="784"/>
      <c r="AP15" s="784"/>
      <c r="AQ15" s="784"/>
      <c r="AR15" s="784"/>
      <c r="AS15" s="784"/>
      <c r="AT15" s="784"/>
      <c r="AU15" s="784"/>
      <c r="AV15" s="784"/>
      <c r="AW15" s="784"/>
      <c r="AX15" s="802"/>
      <c r="AY15" s="788"/>
      <c r="AZ15" s="788"/>
      <c r="BA15" s="802"/>
      <c r="BB15" s="788"/>
      <c r="BC15" s="788"/>
      <c r="BD15" s="802"/>
      <c r="BE15" s="802"/>
      <c r="BF15" s="788"/>
      <c r="BG15" s="789"/>
      <c r="BH15" s="801" t="e">
        <f t="shared" si="14"/>
        <v>#DIV/0!</v>
      </c>
      <c r="BI15" s="801" t="e">
        <f t="shared" si="15"/>
        <v>#DIV/0!</v>
      </c>
      <c r="BJ15" s="801">
        <f t="shared" si="16"/>
        <v>0</v>
      </c>
      <c r="BK15" s="801" t="e">
        <f t="shared" si="17"/>
        <v>#DIV/0!</v>
      </c>
      <c r="BL15" s="801" t="e">
        <f t="shared" si="17"/>
        <v>#DIV/0!</v>
      </c>
      <c r="BM15" s="801" t="e">
        <f t="shared" si="17"/>
        <v>#DIV/0!</v>
      </c>
      <c r="BN15" s="801" t="e">
        <f t="shared" si="18"/>
        <v>#DIV/0!</v>
      </c>
      <c r="BO15" s="801" t="e">
        <f t="shared" si="19"/>
        <v>#DIV/0!</v>
      </c>
      <c r="BP15" s="241"/>
      <c r="BQ15" s="241"/>
      <c r="BR15" s="241"/>
      <c r="BS15" s="241"/>
      <c r="BT15" s="241"/>
      <c r="BU15" s="241"/>
      <c r="BV15" s="241"/>
      <c r="BW15" s="241"/>
      <c r="BX15" s="241"/>
    </row>
    <row r="16" spans="1:76" s="26" customFormat="1">
      <c r="A16" s="17" t="s">
        <v>23</v>
      </c>
      <c r="B16" s="675">
        <f>IF(B26&lt;&gt;0,$F$94/$B$27/1000,0)</f>
        <v>0</v>
      </c>
      <c r="C16" s="251">
        <v>1.66E-2</v>
      </c>
      <c r="D16" s="673">
        <v>7.0087902615373447E-3</v>
      </c>
      <c r="E16" s="675">
        <f>IF(E26&lt;&gt;0,$F$94/$B$27/1000,0)</f>
        <v>0</v>
      </c>
      <c r="F16" s="251">
        <v>2.9600000000000001E-2</v>
      </c>
      <c r="G16" s="674">
        <v>7.0087902615373447E-3</v>
      </c>
      <c r="H16" s="675">
        <f>IF(H26&lt;&gt;0,$F$94/$B$27/1000,0)</f>
        <v>0</v>
      </c>
      <c r="I16" s="251">
        <v>1.7771003787702667E-2</v>
      </c>
      <c r="J16" s="673">
        <v>1.411402159251183E-2</v>
      </c>
      <c r="K16" s="675">
        <f>IF(K26&lt;&gt;0,$F$94/$B$27/1000,0)</f>
        <v>0</v>
      </c>
      <c r="L16" s="251">
        <v>2.7E-2</v>
      </c>
      <c r="M16" s="673">
        <v>7.0087902615373447E-3</v>
      </c>
      <c r="N16" s="859">
        <f>IF(N26&lt;&gt;0,$F$94/$B$27/1000,0)</f>
        <v>0</v>
      </c>
      <c r="O16" s="857">
        <v>1.6622211845223951E-2</v>
      </c>
      <c r="P16" s="858">
        <v>1.7135083070507671E-2</v>
      </c>
      <c r="Q16" s="859">
        <f>IF(Q26&lt;&gt;0,$F$94/$B$27/1000,0)</f>
        <v>0</v>
      </c>
      <c r="R16" s="857">
        <v>1.263113406117009E-2</v>
      </c>
      <c r="S16" s="858">
        <v>1.411402159251183E-2</v>
      </c>
      <c r="T16" s="675">
        <f>IF(T26&lt;&gt;0,$F$94/$B$27/1000,0)</f>
        <v>0</v>
      </c>
      <c r="U16" s="251">
        <v>0</v>
      </c>
      <c r="V16" s="673">
        <v>9.3361366460936387E-3</v>
      </c>
      <c r="W16" s="675">
        <f>IF(W26&lt;&gt;0,$F$94/$B$27/1000,0)</f>
        <v>0</v>
      </c>
      <c r="X16" s="857">
        <v>1.1939817762044397E-3</v>
      </c>
      <c r="Y16" s="858">
        <v>1.7135083070507671E-2</v>
      </c>
      <c r="Z16" s="23"/>
      <c r="AA16" s="856" t="e">
        <f t="shared" si="13"/>
        <v>#DIV/0!</v>
      </c>
      <c r="AB16" s="857" t="e">
        <f>AB22-AB12-AB14-AB15</f>
        <v>#DIV/0!</v>
      </c>
      <c r="AC16" s="858" t="e">
        <f t="shared" ref="AC16:AC19" si="20">AA16-AB16</f>
        <v>#DIV/0!</v>
      </c>
      <c r="AE16" s="49"/>
      <c r="AF16" s="784"/>
      <c r="AG16" s="784"/>
      <c r="AH16" s="814"/>
      <c r="AI16" s="806"/>
      <c r="AJ16" s="789"/>
      <c r="AK16" s="782"/>
      <c r="AL16" s="787"/>
      <c r="AM16" s="773"/>
      <c r="AN16" s="791"/>
      <c r="AO16" s="784"/>
      <c r="AP16" s="784"/>
      <c r="AQ16" s="784"/>
      <c r="AR16" s="784"/>
      <c r="AS16" s="784"/>
      <c r="AT16" s="784"/>
      <c r="AU16" s="784"/>
      <c r="AV16" s="784"/>
      <c r="AW16" s="784"/>
      <c r="AX16" s="802"/>
      <c r="AY16" s="788"/>
      <c r="AZ16" s="788"/>
      <c r="BA16" s="802"/>
      <c r="BB16" s="788"/>
      <c r="BC16" s="788"/>
      <c r="BD16" s="802"/>
      <c r="BE16" s="802"/>
      <c r="BF16" s="788"/>
      <c r="BG16" s="789"/>
      <c r="BH16" s="801" t="e">
        <f t="shared" si="14"/>
        <v>#DIV/0!</v>
      </c>
      <c r="BI16" s="801" t="e">
        <f t="shared" si="15"/>
        <v>#DIV/0!</v>
      </c>
      <c r="BJ16" s="801">
        <f t="shared" si="16"/>
        <v>0</v>
      </c>
      <c r="BK16" s="801" t="e">
        <f t="shared" si="17"/>
        <v>#DIV/0!</v>
      </c>
      <c r="BL16" s="801"/>
      <c r="BM16" s="801"/>
      <c r="BN16" s="801" t="e">
        <f t="shared" si="18"/>
        <v>#DIV/0!</v>
      </c>
      <c r="BO16" s="801" t="e">
        <f t="shared" si="19"/>
        <v>#DIV/0!</v>
      </c>
      <c r="BP16" s="241"/>
      <c r="BQ16" s="241"/>
      <c r="BR16" s="241"/>
      <c r="BS16" s="241"/>
      <c r="BT16" s="241"/>
      <c r="BU16" s="241"/>
      <c r="BV16" s="241"/>
      <c r="BW16" s="241"/>
      <c r="BX16" s="241"/>
    </row>
    <row r="17" spans="1:76" s="26" customFormat="1">
      <c r="A17" s="26" t="s">
        <v>25</v>
      </c>
      <c r="B17" s="675">
        <v>0</v>
      </c>
      <c r="C17" s="251">
        <v>1.8003773940357575E-5</v>
      </c>
      <c r="D17" s="673">
        <v>2.0935849056603773E-3</v>
      </c>
      <c r="E17" s="675">
        <v>0</v>
      </c>
      <c r="F17" s="251">
        <v>4.720951047335826E-4</v>
      </c>
      <c r="G17" s="673">
        <v>2.0935849056603773E-3</v>
      </c>
      <c r="H17" s="675">
        <v>0</v>
      </c>
      <c r="I17" s="251">
        <v>1.5175771623896151E-4</v>
      </c>
      <c r="J17" s="673">
        <v>3.651973051010587E-3</v>
      </c>
      <c r="K17" s="675">
        <v>0</v>
      </c>
      <c r="L17" s="251">
        <v>0</v>
      </c>
      <c r="M17" s="673">
        <v>2.0935849056603773E-3</v>
      </c>
      <c r="N17" s="859">
        <v>0</v>
      </c>
      <c r="O17" s="857">
        <v>4.2622240894014214E-3</v>
      </c>
      <c r="P17" s="858">
        <v>3.651973051010587E-3</v>
      </c>
      <c r="Q17" s="859">
        <v>0</v>
      </c>
      <c r="R17" s="857">
        <v>4.6532453457085107E-3</v>
      </c>
      <c r="S17" s="858">
        <v>3.651973051010587E-3</v>
      </c>
      <c r="T17" s="675">
        <v>0</v>
      </c>
      <c r="U17" s="251">
        <v>0</v>
      </c>
      <c r="V17" s="673">
        <v>2.0935849056603773E-3</v>
      </c>
      <c r="W17" s="675">
        <v>0</v>
      </c>
      <c r="X17" s="857">
        <v>4.2504431654657822E-3</v>
      </c>
      <c r="Y17" s="858">
        <v>3.651973051010587E-3</v>
      </c>
      <c r="Z17" s="23"/>
      <c r="AA17" s="859" t="e">
        <f t="shared" si="13"/>
        <v>#DIV/0!</v>
      </c>
      <c r="AB17" s="857" t="e">
        <f>AB22-AB12-AB14-AB15-AB16</f>
        <v>#DIV/0!</v>
      </c>
      <c r="AC17" s="858" t="e">
        <f t="shared" si="20"/>
        <v>#DIV/0!</v>
      </c>
      <c r="AE17" s="49"/>
      <c r="AF17" s="784"/>
      <c r="AG17" s="784"/>
      <c r="AH17" s="814"/>
      <c r="AI17" s="806"/>
      <c r="AJ17" s="789"/>
      <c r="AK17" s="782"/>
      <c r="AL17" s="787"/>
      <c r="AM17" s="773"/>
      <c r="AN17" s="791"/>
      <c r="AO17" s="784"/>
      <c r="AP17" s="784"/>
      <c r="AQ17" s="784"/>
      <c r="AR17" s="784"/>
      <c r="AS17" s="784"/>
      <c r="AT17" s="784"/>
      <c r="AU17" s="784"/>
      <c r="AV17" s="784"/>
      <c r="AW17" s="784"/>
      <c r="AX17" s="788"/>
      <c r="AY17" s="788"/>
      <c r="AZ17" s="788"/>
      <c r="BA17" s="788"/>
      <c r="BB17" s="788"/>
      <c r="BC17" s="788"/>
      <c r="BD17" s="788"/>
      <c r="BE17" s="788"/>
      <c r="BF17" s="788"/>
      <c r="BG17" s="789"/>
      <c r="BH17" s="801" t="e">
        <f t="shared" si="14"/>
        <v>#DIV/0!</v>
      </c>
      <c r="BI17" s="801" t="e">
        <f t="shared" si="15"/>
        <v>#DIV/0!</v>
      </c>
      <c r="BJ17" s="801">
        <f t="shared" si="16"/>
        <v>0</v>
      </c>
      <c r="BK17" s="801" t="e">
        <f t="shared" si="17"/>
        <v>#DIV/0!</v>
      </c>
      <c r="BL17" s="801"/>
      <c r="BM17" s="801"/>
      <c r="BN17" s="801" t="e">
        <f t="shared" si="18"/>
        <v>#DIV/0!</v>
      </c>
      <c r="BO17" s="801" t="e">
        <f t="shared" si="19"/>
        <v>#DIV/0!</v>
      </c>
      <c r="BP17" s="241"/>
      <c r="BQ17" s="241"/>
      <c r="BR17" s="241"/>
      <c r="BS17" s="241"/>
      <c r="BT17" s="241"/>
      <c r="BU17" s="241"/>
      <c r="BV17" s="241"/>
      <c r="BW17" s="241"/>
      <c r="BX17" s="241"/>
    </row>
    <row r="18" spans="1:76" ht="15">
      <c r="A18" s="26" t="s">
        <v>29</v>
      </c>
      <c r="B18" s="675">
        <f>IF(B26&lt;&gt;0,$B$148/$B$27/1000,0)</f>
        <v>0</v>
      </c>
      <c r="C18" s="251">
        <v>4.7999999999999996E-3</v>
      </c>
      <c r="D18" s="673">
        <v>9.9233643942421633E-4</v>
      </c>
      <c r="E18" s="675">
        <f>IF(E26&lt;&gt;0,$B$148/$B$27/1000,0)</f>
        <v>0</v>
      </c>
      <c r="F18" s="251">
        <v>8.0999999999999996E-3</v>
      </c>
      <c r="G18" s="673">
        <v>9.9233643942421633E-4</v>
      </c>
      <c r="H18" s="675">
        <f>IF(H26&lt;&gt;0,$B$148/$B$27/1000,0)</f>
        <v>0</v>
      </c>
      <c r="I18" s="251">
        <v>5.9321619956235125E-3</v>
      </c>
      <c r="J18" s="673">
        <v>0.12150298117814191</v>
      </c>
      <c r="K18" s="675">
        <f>IF(K26&lt;&gt;0,$B$148/$B$27/1000,0)</f>
        <v>0</v>
      </c>
      <c r="L18" s="251">
        <v>7.3000000000000001E-3</v>
      </c>
      <c r="M18" s="673">
        <v>9.9233643942421633E-4</v>
      </c>
      <c r="N18" s="859">
        <f>IF(N26&lt;&gt;0,$B$148/$B$27/1000,0)</f>
        <v>0</v>
      </c>
      <c r="O18" s="857">
        <v>1.4490933717635567E-2</v>
      </c>
      <c r="P18" s="858">
        <v>6.90022987774322E-3</v>
      </c>
      <c r="Q18" s="859">
        <f>IF(Q26&lt;&gt;0,$B$148/$B$27/1000,0)</f>
        <v>0</v>
      </c>
      <c r="R18" s="857">
        <v>5.2077012884300736E-2</v>
      </c>
      <c r="S18" s="858">
        <v>0.12150298117814191</v>
      </c>
      <c r="T18" s="675">
        <f>IF(T26&lt;&gt;0,$B$148/$B$27/1000,0)</f>
        <v>0</v>
      </c>
      <c r="U18" s="251">
        <v>0</v>
      </c>
      <c r="V18" s="673">
        <v>9.9233643942421633E-4</v>
      </c>
      <c r="W18" s="675">
        <f>IF(W26&lt;&gt;0,$B$148/$B$27/1000,0)</f>
        <v>0</v>
      </c>
      <c r="X18" s="857">
        <v>1.4407589936245828E-2</v>
      </c>
      <c r="Y18" s="858">
        <v>6.90022987774322E-3</v>
      </c>
      <c r="Z18" s="31"/>
      <c r="AA18" s="859" t="e">
        <f t="shared" si="13"/>
        <v>#DIV/0!</v>
      </c>
      <c r="AB18" s="857" t="e">
        <f>AB22-AB12-AB14-AB15-AB16-AB17-AB19</f>
        <v>#DIV/0!</v>
      </c>
      <c r="AC18" s="858" t="e">
        <f>AA18-AB18</f>
        <v>#DIV/0!</v>
      </c>
      <c r="AE18" s="49"/>
      <c r="AF18" s="784"/>
      <c r="AG18" s="784"/>
      <c r="AH18" s="814"/>
      <c r="AI18" s="806"/>
      <c r="AJ18" s="789"/>
      <c r="AK18" s="782"/>
      <c r="AL18" s="787"/>
      <c r="AM18" s="773"/>
      <c r="AN18" s="791"/>
      <c r="AO18" s="784"/>
      <c r="AP18" s="784"/>
      <c r="AQ18" s="784"/>
      <c r="AR18" s="784"/>
      <c r="AS18" s="784"/>
      <c r="AT18" s="784"/>
      <c r="AU18" s="784"/>
      <c r="AV18" s="784"/>
      <c r="AW18" s="784"/>
      <c r="AX18" s="788"/>
      <c r="AY18" s="788"/>
      <c r="AZ18" s="788"/>
      <c r="BA18" s="788"/>
      <c r="BB18" s="788"/>
      <c r="BC18" s="788"/>
      <c r="BD18" s="788"/>
      <c r="BE18" s="788"/>
      <c r="BF18" s="788"/>
      <c r="BG18" s="789"/>
      <c r="BH18" s="801" t="e">
        <f t="shared" si="14"/>
        <v>#DIV/0!</v>
      </c>
      <c r="BI18" s="836" t="e">
        <f>ROUND(AY18/$E$26,3)</f>
        <v>#DIV/0!</v>
      </c>
      <c r="BJ18" s="836">
        <f t="shared" si="16"/>
        <v>0</v>
      </c>
      <c r="BK18" s="801" t="e">
        <f t="shared" si="17"/>
        <v>#DIV/0!</v>
      </c>
      <c r="BL18" s="801" t="e">
        <f t="shared" si="17"/>
        <v>#DIV/0!</v>
      </c>
      <c r="BM18" s="801" t="e">
        <f t="shared" si="17"/>
        <v>#DIV/0!</v>
      </c>
      <c r="BN18" s="801" t="e">
        <f t="shared" si="18"/>
        <v>#DIV/0!</v>
      </c>
      <c r="BO18" s="801" t="e">
        <f t="shared" si="19"/>
        <v>#DIV/0!</v>
      </c>
      <c r="BP18" s="241"/>
      <c r="BQ18" s="241"/>
      <c r="BR18" s="241"/>
      <c r="BS18" s="241"/>
      <c r="BT18" s="241"/>
      <c r="BU18" s="241"/>
      <c r="BV18" s="241"/>
      <c r="BW18" s="241"/>
      <c r="BX18" s="241"/>
    </row>
    <row r="19" spans="1:76" ht="15">
      <c r="A19" s="26" t="s">
        <v>27</v>
      </c>
      <c r="B19" s="985">
        <f>IF(B26&lt;&gt;0,$B$149/$B$27/1000,0)</f>
        <v>0</v>
      </c>
      <c r="C19" s="252">
        <v>7.7999999999999996E-3</v>
      </c>
      <c r="D19" s="680">
        <v>7.2955974842767298E-3</v>
      </c>
      <c r="E19" s="680">
        <f>IF(E26&lt;&gt;0,$B$149/$B$27/1000,0)</f>
        <v>0</v>
      </c>
      <c r="F19" s="252">
        <v>1.52E-2</v>
      </c>
      <c r="G19" s="680">
        <v>7.2955974842767298E-3</v>
      </c>
      <c r="H19" s="680">
        <f>IF(H26&lt;&gt;0,$B$149/$B$27/1000,0)</f>
        <v>0</v>
      </c>
      <c r="I19" s="252">
        <v>9.7673443158275471E-3</v>
      </c>
      <c r="J19" s="680">
        <v>4.5524542829643889E-3</v>
      </c>
      <c r="K19" s="680">
        <f>IF(K26&lt;&gt;0,$B$149/$B$27/1000,0)</f>
        <v>0</v>
      </c>
      <c r="L19" s="252">
        <v>1.32E-2</v>
      </c>
      <c r="M19" s="680">
        <v>7.2955974842767298E-3</v>
      </c>
      <c r="N19" s="862">
        <f>IF(N26&lt;&gt;0,$B$149/$B$27/1000,0)</f>
        <v>0</v>
      </c>
      <c r="O19" s="861">
        <v>7.9899725686170004E-3</v>
      </c>
      <c r="P19" s="862">
        <v>4.5524542829643889E-3</v>
      </c>
      <c r="Q19" s="862">
        <f>IF(Q26&lt;&gt;0,$B$149/$B$27/1000,0)</f>
        <v>0</v>
      </c>
      <c r="R19" s="861">
        <v>7.7079837471178752E-3</v>
      </c>
      <c r="S19" s="862">
        <v>4.5524542829643889E-3</v>
      </c>
      <c r="T19" s="680">
        <f>IF(T26&lt;&gt;0,$B$149/$B$27/1000,0)</f>
        <v>0</v>
      </c>
      <c r="U19" s="252">
        <v>0</v>
      </c>
      <c r="V19" s="680">
        <v>7.2955974842767298E-3</v>
      </c>
      <c r="W19" s="680">
        <f>IF(W26&lt;&gt;0,$B$149/$B$27/1000,0)</f>
        <v>0</v>
      </c>
      <c r="X19" s="861">
        <v>7.3033010336634166E-3</v>
      </c>
      <c r="Y19" s="862">
        <v>4.5524542829643889E-3</v>
      </c>
      <c r="Z19" s="31"/>
      <c r="AA19" s="860" t="e">
        <f t="shared" si="13"/>
        <v>#DIV/0!</v>
      </c>
      <c r="AB19" s="861" t="e">
        <f>AB22-AB12-AB14-AB15-AB16-AB17</f>
        <v>#DIV/0!</v>
      </c>
      <c r="AC19" s="862" t="e">
        <f t="shared" si="20"/>
        <v>#DIV/0!</v>
      </c>
      <c r="AE19" s="147"/>
      <c r="AF19" s="790"/>
      <c r="AG19" s="790"/>
      <c r="AH19" s="815"/>
      <c r="AI19" s="806"/>
      <c r="AJ19" s="789"/>
      <c r="AK19" s="782"/>
      <c r="AL19" s="787"/>
      <c r="AM19" s="773"/>
      <c r="AN19" s="791"/>
      <c r="AO19" s="790"/>
      <c r="AP19" s="790"/>
      <c r="AQ19" s="790"/>
      <c r="AR19" s="790"/>
      <c r="AS19" s="790"/>
      <c r="AT19" s="790"/>
      <c r="AU19" s="790"/>
      <c r="AV19" s="790"/>
      <c r="AW19" s="790"/>
      <c r="AX19" s="788"/>
      <c r="AY19" s="788"/>
      <c r="AZ19" s="788"/>
      <c r="BA19" s="788"/>
      <c r="BB19" s="788"/>
      <c r="BC19" s="788"/>
      <c r="BD19" s="788"/>
      <c r="BE19" s="788"/>
      <c r="BF19" s="788"/>
      <c r="BG19" s="789"/>
      <c r="BH19" s="801" t="e">
        <f t="shared" si="14"/>
        <v>#DIV/0!</v>
      </c>
      <c r="BI19" s="801" t="e">
        <f t="shared" si="15"/>
        <v>#DIV/0!</v>
      </c>
      <c r="BJ19" s="801">
        <f t="shared" si="16"/>
        <v>0</v>
      </c>
      <c r="BK19" s="801" t="e">
        <f t="shared" si="17"/>
        <v>#DIV/0!</v>
      </c>
      <c r="BL19" s="801" t="e">
        <f t="shared" si="17"/>
        <v>#DIV/0!</v>
      </c>
      <c r="BM19" s="801" t="e">
        <f t="shared" si="17"/>
        <v>#DIV/0!</v>
      </c>
      <c r="BN19" s="801" t="e">
        <f t="shared" si="18"/>
        <v>#DIV/0!</v>
      </c>
      <c r="BO19" s="801" t="e">
        <f t="shared" si="19"/>
        <v>#DIV/0!</v>
      </c>
      <c r="BP19" s="384"/>
      <c r="BQ19" s="384"/>
      <c r="BR19" s="384"/>
      <c r="BS19" s="384"/>
      <c r="BT19" s="384"/>
      <c r="BU19" s="384"/>
      <c r="BV19" s="384"/>
      <c r="BW19" s="384"/>
      <c r="BX19" s="384"/>
    </row>
    <row r="20" spans="1:76">
      <c r="A20" s="192" t="s">
        <v>170</v>
      </c>
      <c r="B20" s="675">
        <f t="shared" ref="B20:Y20" si="21">SUM(B14:B19)</f>
        <v>0</v>
      </c>
      <c r="C20" s="251">
        <f>SUM(C14:C19)</f>
        <v>9.0318003773940364E-2</v>
      </c>
      <c r="D20" s="673">
        <v>3.7593788574058103E-2</v>
      </c>
      <c r="E20" s="675">
        <f t="shared" si="21"/>
        <v>0</v>
      </c>
      <c r="F20" s="251">
        <f t="shared" si="21"/>
        <v>0.16187209510473358</v>
      </c>
      <c r="G20" s="673">
        <v>3.7593788574058103E-2</v>
      </c>
      <c r="H20" s="675">
        <f t="shared" si="21"/>
        <v>0</v>
      </c>
      <c r="I20" s="251">
        <f t="shared" si="21"/>
        <v>0.12387877834230868</v>
      </c>
      <c r="J20" s="673">
        <f t="shared" si="21"/>
        <v>0.17552849611664345</v>
      </c>
      <c r="K20" s="675">
        <f t="shared" si="21"/>
        <v>0</v>
      </c>
      <c r="L20" s="251">
        <f t="shared" si="21"/>
        <v>0.14319999999999997</v>
      </c>
      <c r="M20" s="673">
        <v>3.7593788574058103E-2</v>
      </c>
      <c r="N20" s="859">
        <f t="shared" si="21"/>
        <v>0</v>
      </c>
      <c r="O20" s="857">
        <f t="shared" si="21"/>
        <v>8.4466248499431712E-2</v>
      </c>
      <c r="P20" s="858">
        <f t="shared" si="21"/>
        <v>7.0733603032598277E-2</v>
      </c>
      <c r="Q20" s="859">
        <f t="shared" si="21"/>
        <v>0</v>
      </c>
      <c r="R20" s="857">
        <f t="shared" si="21"/>
        <v>0.12929703355609212</v>
      </c>
      <c r="S20" s="858">
        <f t="shared" si="21"/>
        <v>0.17552849611664345</v>
      </c>
      <c r="T20" s="675">
        <f t="shared" si="21"/>
        <v>0</v>
      </c>
      <c r="U20" s="251">
        <f t="shared" si="21"/>
        <v>0</v>
      </c>
      <c r="V20" s="673">
        <v>4.1617681400847442E-2</v>
      </c>
      <c r="W20" s="675">
        <f t="shared" ref="W20" si="22">SUM(W14:W19)</f>
        <v>0</v>
      </c>
      <c r="X20" s="857">
        <f t="shared" si="21"/>
        <v>3.0526593719691027E-2</v>
      </c>
      <c r="Y20" s="858">
        <f t="shared" si="21"/>
        <v>7.0733603032598277E-2</v>
      </c>
      <c r="Z20" s="23"/>
      <c r="AA20" s="859" t="e">
        <f>SUM(AA14:AA19)</f>
        <v>#DIV/0!</v>
      </c>
      <c r="AB20" s="857" t="e">
        <f>SUM(AB14:AB19)</f>
        <v>#DIV/0!</v>
      </c>
      <c r="AC20" s="858" t="e">
        <f>SUM(AC14:AC19)</f>
        <v>#DIV/0!</v>
      </c>
      <c r="AE20" s="49"/>
      <c r="AF20" s="793"/>
      <c r="AG20" s="793"/>
      <c r="AH20" s="817"/>
      <c r="AI20" s="806"/>
      <c r="AJ20" s="788"/>
      <c r="AK20" s="771"/>
      <c r="AL20" s="785"/>
      <c r="AM20" s="773"/>
      <c r="AN20" s="791"/>
      <c r="AO20" s="793"/>
      <c r="AP20" s="793"/>
      <c r="AQ20" s="793"/>
      <c r="AR20" s="793"/>
      <c r="AS20" s="793"/>
      <c r="AT20" s="793"/>
      <c r="AU20" s="793"/>
      <c r="AV20" s="793"/>
      <c r="AW20" s="793"/>
      <c r="AX20" s="788"/>
      <c r="AY20" s="788"/>
      <c r="AZ20" s="788"/>
      <c r="BA20" s="788"/>
      <c r="BB20" s="788"/>
      <c r="BC20" s="788"/>
      <c r="BD20" s="788"/>
      <c r="BE20" s="788"/>
      <c r="BF20" s="788"/>
      <c r="BG20" s="788"/>
      <c r="BH20" s="788"/>
      <c r="BI20" s="788"/>
      <c r="BJ20" s="788"/>
      <c r="BK20" s="788"/>
      <c r="BL20" s="788"/>
      <c r="BM20" s="788"/>
      <c r="BN20" s="788"/>
      <c r="BO20" s="788"/>
      <c r="BP20" s="385"/>
      <c r="BQ20" s="385"/>
      <c r="BR20" s="385"/>
      <c r="BS20" s="385"/>
      <c r="BT20" s="385"/>
      <c r="BU20" s="385"/>
      <c r="BV20" s="385"/>
      <c r="BW20" s="385"/>
      <c r="BX20" s="385"/>
    </row>
    <row r="21" spans="1:76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859"/>
      <c r="O21" s="857"/>
      <c r="P21" s="858"/>
      <c r="Q21" s="859"/>
      <c r="R21" s="857"/>
      <c r="S21" s="858"/>
      <c r="T21" s="675"/>
      <c r="U21" s="251"/>
      <c r="V21" s="673"/>
      <c r="W21" s="859"/>
      <c r="X21" s="857"/>
      <c r="Y21" s="858"/>
      <c r="Z21" s="23"/>
      <c r="AA21" s="859"/>
      <c r="AB21" s="857"/>
      <c r="AC21" s="858"/>
      <c r="AE21" s="49"/>
      <c r="AF21" s="794"/>
      <c r="AG21" s="794"/>
      <c r="AH21" s="834"/>
      <c r="AI21" s="807"/>
      <c r="AJ21" s="788"/>
      <c r="AK21" s="771"/>
      <c r="AL21" s="786"/>
      <c r="AM21" s="773"/>
      <c r="AN21" s="791"/>
      <c r="AO21" s="795"/>
      <c r="AP21" s="795"/>
      <c r="AQ21" s="795"/>
      <c r="AR21" s="795"/>
      <c r="AS21" s="795"/>
      <c r="AT21" s="795"/>
      <c r="AU21" s="795"/>
      <c r="AV21" s="795"/>
      <c r="AW21" s="833"/>
      <c r="AX21" s="788"/>
      <c r="AY21" s="788"/>
      <c r="AZ21" s="788"/>
      <c r="BA21" s="788"/>
      <c r="BB21" s="788"/>
      <c r="BC21" s="788"/>
      <c r="BD21" s="788"/>
      <c r="BE21" s="788"/>
      <c r="BF21" s="788"/>
      <c r="BG21" s="788"/>
      <c r="BH21" s="788"/>
      <c r="BI21" s="788"/>
      <c r="BJ21" s="788"/>
      <c r="BK21" s="788"/>
      <c r="BL21" s="788"/>
      <c r="BM21" s="788"/>
      <c r="BN21" s="788"/>
      <c r="BO21" s="788"/>
      <c r="BP21" s="386"/>
      <c r="BQ21" s="386"/>
      <c r="BR21" s="386"/>
      <c r="BS21" s="386"/>
      <c r="BT21" s="386"/>
      <c r="BU21" s="386"/>
      <c r="BV21" s="386"/>
      <c r="BW21" s="386"/>
      <c r="BX21" s="386"/>
    </row>
    <row r="22" spans="1:76">
      <c r="A22" s="192" t="s">
        <v>171</v>
      </c>
      <c r="B22" s="669">
        <f t="shared" ref="B22:Y22" si="23">B12+B20</f>
        <v>0</v>
      </c>
      <c r="C22" s="670">
        <f t="shared" si="23"/>
        <v>0.32931800377394038</v>
      </c>
      <c r="D22" s="671">
        <f t="shared" si="23"/>
        <v>0.24960190707389224</v>
      </c>
      <c r="E22" s="669">
        <f t="shared" si="23"/>
        <v>0</v>
      </c>
      <c r="F22" s="670">
        <f t="shared" si="23"/>
        <v>0.60307209510473359</v>
      </c>
      <c r="G22" s="671">
        <f t="shared" si="23"/>
        <v>0.3556699132697384</v>
      </c>
      <c r="H22" s="669">
        <f t="shared" si="23"/>
        <v>0</v>
      </c>
      <c r="I22" s="670">
        <f t="shared" si="23"/>
        <v>0.95657115511961432</v>
      </c>
      <c r="J22" s="671">
        <f t="shared" si="23"/>
        <v>0.72523891407602181</v>
      </c>
      <c r="K22" s="669">
        <f t="shared" si="23"/>
        <v>0</v>
      </c>
      <c r="L22" s="670">
        <f t="shared" si="23"/>
        <v>0.42199999999999993</v>
      </c>
      <c r="M22" s="671">
        <f t="shared" si="23"/>
        <v>0.73115181906142823</v>
      </c>
      <c r="N22" s="863">
        <f t="shared" si="23"/>
        <v>0</v>
      </c>
      <c r="O22" s="864">
        <f t="shared" si="23"/>
        <v>1.5274826775071846</v>
      </c>
      <c r="P22" s="865">
        <f t="shared" si="23"/>
        <v>2.1555888333412874</v>
      </c>
      <c r="Q22" s="863">
        <f>Q12+Q20</f>
        <v>0</v>
      </c>
      <c r="R22" s="864">
        <f t="shared" si="23"/>
        <v>0.5421532976528729</v>
      </c>
      <c r="S22" s="865">
        <f t="shared" si="23"/>
        <v>0.47471491919859471</v>
      </c>
      <c r="T22" s="669">
        <f t="shared" si="23"/>
        <v>0</v>
      </c>
      <c r="U22" s="670">
        <f t="shared" si="23"/>
        <v>0</v>
      </c>
      <c r="V22" s="671">
        <f t="shared" si="23"/>
        <v>0.42495681058529466</v>
      </c>
      <c r="W22" s="863">
        <f t="shared" si="23"/>
        <v>0</v>
      </c>
      <c r="X22" s="864">
        <f t="shared" si="23"/>
        <v>0.48012175706521437</v>
      </c>
      <c r="Y22" s="865">
        <f t="shared" si="23"/>
        <v>0.49749086262417502</v>
      </c>
      <c r="Z22" s="18"/>
      <c r="AA22" s="863" t="e">
        <f>AA12+AA20</f>
        <v>#DIV/0!</v>
      </c>
      <c r="AB22" s="946" t="e">
        <f>AB6+((0.084*(B26+K26+T26+W26))+(0.134*(E26+Q26))+(0.198*H26))/B27</f>
        <v>#DIV/0!</v>
      </c>
      <c r="AC22" s="865" t="e">
        <f>AC12+AC20</f>
        <v>#DIV/0!</v>
      </c>
      <c r="AE22" s="49"/>
      <c r="AF22" s="796"/>
      <c r="AG22" s="796"/>
      <c r="AH22" s="796"/>
      <c r="AI22" s="788"/>
      <c r="AJ22" s="788"/>
      <c r="AK22" s="771"/>
      <c r="AL22" s="797"/>
      <c r="AM22" s="1037"/>
      <c r="AN22" s="1037"/>
      <c r="AO22" s="798"/>
      <c r="AP22" s="798"/>
      <c r="AQ22" s="798"/>
      <c r="AR22" s="798"/>
      <c r="AS22" s="798"/>
      <c r="AT22" s="798"/>
      <c r="AU22" s="798"/>
      <c r="AV22" s="798"/>
      <c r="AW22" s="798"/>
      <c r="AX22" s="788"/>
      <c r="AY22" s="788"/>
      <c r="AZ22" s="788"/>
      <c r="BA22" s="788"/>
      <c r="BB22" s="788"/>
      <c r="BC22" s="788"/>
      <c r="BD22" s="788"/>
      <c r="BE22" s="788"/>
      <c r="BF22" s="788"/>
      <c r="BG22" s="788"/>
      <c r="BH22" s="788"/>
      <c r="BI22" s="788"/>
      <c r="BJ22" s="788"/>
      <c r="BK22" s="788"/>
      <c r="BL22" s="788"/>
      <c r="BM22" s="788"/>
      <c r="BN22" s="788"/>
      <c r="BO22" s="788"/>
    </row>
    <row r="23" spans="1:76">
      <c r="A23" s="735" t="s">
        <v>540</v>
      </c>
      <c r="B23" s="754">
        <v>0</v>
      </c>
      <c r="C23" s="939">
        <v>-1.3951859743795243E-3</v>
      </c>
      <c r="D23" s="757"/>
      <c r="E23" s="758">
        <v>0</v>
      </c>
      <c r="F23" s="939">
        <v>-1.749599800461633E-2</v>
      </c>
      <c r="G23" s="759"/>
      <c r="H23" s="758">
        <v>0</v>
      </c>
      <c r="I23" s="845">
        <v>-1.9688076151471137E-2</v>
      </c>
      <c r="J23" s="757"/>
      <c r="K23" s="758">
        <v>0</v>
      </c>
      <c r="L23" s="687"/>
      <c r="M23" s="757"/>
      <c r="N23" s="866">
        <v>0</v>
      </c>
      <c r="O23" s="867"/>
      <c r="P23" s="868"/>
      <c r="Q23" s="866">
        <f>+Q24-Q22</f>
        <v>0</v>
      </c>
      <c r="R23" s="867"/>
      <c r="S23" s="868"/>
      <c r="T23" s="758">
        <v>0</v>
      </c>
      <c r="U23" s="845">
        <v>0</v>
      </c>
      <c r="V23" s="757"/>
      <c r="W23" s="866">
        <v>0</v>
      </c>
      <c r="X23" s="867"/>
      <c r="Y23" s="868"/>
      <c r="Z23" s="17"/>
      <c r="AA23" s="866" t="e">
        <f>+AA24-AA22</f>
        <v>#DIV/0!</v>
      </c>
      <c r="AB23" s="839"/>
      <c r="AC23" s="870"/>
      <c r="AE23" s="26"/>
      <c r="AF23" s="796"/>
      <c r="AG23" s="796"/>
      <c r="AH23" s="796"/>
      <c r="AI23" s="788"/>
      <c r="AJ23" s="788"/>
      <c r="AK23" s="771"/>
      <c r="AL23" s="797"/>
      <c r="AM23" s="1037"/>
      <c r="AN23" s="1037"/>
      <c r="AO23" s="798"/>
      <c r="AP23" s="798"/>
      <c r="AQ23" s="798"/>
      <c r="AR23" s="798"/>
      <c r="AS23" s="798"/>
      <c r="AT23" s="798"/>
      <c r="AU23" s="798"/>
      <c r="AV23" s="798"/>
      <c r="AW23" s="832"/>
      <c r="AX23" s="788"/>
      <c r="AY23" s="788"/>
      <c r="AZ23" s="788"/>
      <c r="BA23" s="788"/>
      <c r="BB23" s="788"/>
      <c r="BC23" s="788"/>
      <c r="BD23" s="788"/>
      <c r="BE23" s="788"/>
      <c r="BF23" s="788"/>
      <c r="BG23" s="788"/>
      <c r="BH23" s="788"/>
      <c r="BI23" s="788"/>
      <c r="BJ23" s="788"/>
      <c r="BK23" s="788"/>
      <c r="BL23" s="788"/>
      <c r="BM23" s="788"/>
      <c r="BN23" s="788"/>
      <c r="BO23" s="788"/>
    </row>
    <row r="24" spans="1:76">
      <c r="A24" s="192" t="s">
        <v>533</v>
      </c>
      <c r="B24" s="669">
        <f>+B22+B23</f>
        <v>0</v>
      </c>
      <c r="C24" s="846">
        <f>+C22+C23</f>
        <v>0.32792281779956084</v>
      </c>
      <c r="D24" s="755"/>
      <c r="E24" s="669">
        <f>+E22+E23</f>
        <v>0</v>
      </c>
      <c r="F24" s="846">
        <f>+F22+F23</f>
        <v>0.58557609710011727</v>
      </c>
      <c r="G24" s="756"/>
      <c r="H24" s="669">
        <f>+H22+H23</f>
        <v>0</v>
      </c>
      <c r="I24" s="846">
        <f>+I22+I23</f>
        <v>0.93688307896814316</v>
      </c>
      <c r="J24" s="755"/>
      <c r="K24" s="669">
        <f>+K22+K23</f>
        <v>0</v>
      </c>
      <c r="L24" s="846">
        <f>+L22+L23</f>
        <v>0.42199999999999993</v>
      </c>
      <c r="M24" s="671"/>
      <c r="N24" s="863">
        <f>+N22+N23</f>
        <v>0</v>
      </c>
      <c r="O24" s="876"/>
      <c r="P24" s="877"/>
      <c r="Q24" s="863">
        <f>IF(Q7+Q8+Q9+Q10+Q11+Q20&lt;0.134,Q22,Q6+0.134)</f>
        <v>0</v>
      </c>
      <c r="R24" s="876"/>
      <c r="S24" s="877"/>
      <c r="T24" s="669">
        <f>+T22+T23</f>
        <v>0</v>
      </c>
      <c r="U24" s="846">
        <f>+U22+U23</f>
        <v>0</v>
      </c>
      <c r="V24" s="671"/>
      <c r="W24" s="863">
        <f>+W22+W23</f>
        <v>0</v>
      </c>
      <c r="X24" s="876"/>
      <c r="Y24" s="877"/>
      <c r="Z24" s="17"/>
      <c r="AA24" s="863" t="e">
        <f>(B24*B$26+E24*E$26+H24*H$26+K24*K$26+N24*N$26+Q24*Q$26+T24*T$26+W24*W$26)/AA$26</f>
        <v>#DIV/0!</v>
      </c>
      <c r="AB24" s="839"/>
      <c r="AC24" s="870"/>
      <c r="AF24" s="796"/>
      <c r="AG24" s="796"/>
      <c r="AH24" s="796"/>
      <c r="AI24" s="788"/>
      <c r="AJ24" s="788"/>
      <c r="AK24" s="771"/>
      <c r="AL24" s="797"/>
      <c r="AM24" s="779"/>
      <c r="AN24" s="779"/>
      <c r="AO24" s="796"/>
      <c r="AP24" s="796"/>
      <c r="AQ24" s="796"/>
      <c r="AR24" s="796"/>
      <c r="AS24" s="796"/>
      <c r="AT24" s="796"/>
      <c r="AU24" s="796"/>
      <c r="AV24" s="796"/>
      <c r="AW24" s="796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8"/>
      <c r="BJ24" s="788"/>
      <c r="BK24" s="788"/>
      <c r="BL24" s="788"/>
      <c r="BM24" s="788"/>
      <c r="BN24" s="788"/>
      <c r="BO24" s="788"/>
    </row>
    <row r="25" spans="1:76">
      <c r="A25" s="735"/>
      <c r="B25" s="44"/>
      <c r="C25" s="26"/>
      <c r="D25" s="318"/>
      <c r="E25" s="44"/>
      <c r="F25" s="26"/>
      <c r="G25" s="330"/>
      <c r="H25" s="48"/>
      <c r="I25" s="26"/>
      <c r="J25" s="318"/>
      <c r="K25" s="48"/>
      <c r="L25" s="26"/>
      <c r="M25" s="318"/>
      <c r="N25" s="869"/>
      <c r="O25" s="839"/>
      <c r="P25" s="870"/>
      <c r="Q25" s="869"/>
      <c r="R25" s="839"/>
      <c r="S25" s="870"/>
      <c r="T25" s="48"/>
      <c r="U25" s="26"/>
      <c r="V25" s="318"/>
      <c r="W25" s="869"/>
      <c r="X25" s="839"/>
      <c r="Y25" s="870"/>
      <c r="Z25" s="17"/>
      <c r="AA25" s="869"/>
      <c r="AB25" s="839"/>
      <c r="AC25" s="870"/>
      <c r="AF25" s="796"/>
      <c r="AG25" s="796"/>
      <c r="AH25" s="796"/>
      <c r="AI25" s="788"/>
      <c r="AJ25" s="788"/>
      <c r="AK25" s="771"/>
      <c r="AL25" s="797"/>
      <c r="AM25" s="779"/>
      <c r="AN25" s="779"/>
      <c r="AO25" s="796"/>
      <c r="AP25" s="796"/>
      <c r="AQ25" s="796"/>
      <c r="AR25" s="796"/>
      <c r="AS25" s="796"/>
      <c r="AT25" s="796"/>
      <c r="AU25" s="796"/>
      <c r="AV25" s="796"/>
      <c r="AW25" s="796"/>
      <c r="AX25" s="788"/>
      <c r="AY25" s="788"/>
      <c r="AZ25" s="788"/>
      <c r="BA25" s="788"/>
      <c r="BB25" s="788"/>
      <c r="BC25" s="788"/>
      <c r="BD25" s="788"/>
      <c r="BE25" s="788"/>
      <c r="BF25" s="788"/>
      <c r="BG25" s="788"/>
      <c r="BH25" s="788"/>
      <c r="BI25" s="788"/>
      <c r="BJ25" s="788"/>
      <c r="BK25" s="788"/>
      <c r="BL25" s="788"/>
      <c r="BM25" s="788"/>
      <c r="BN25" s="788"/>
      <c r="BO25" s="788"/>
    </row>
    <row r="26" spans="1:76" ht="13.5" thickBot="1">
      <c r="A26" s="192" t="s">
        <v>264</v>
      </c>
      <c r="B26" s="331">
        <f>+B32</f>
        <v>0</v>
      </c>
      <c r="C26" s="26">
        <v>23473</v>
      </c>
      <c r="D26" s="77">
        <v>17100</v>
      </c>
      <c r="E26" s="331">
        <f>+B33</f>
        <v>0</v>
      </c>
      <c r="F26" s="26">
        <v>9975</v>
      </c>
      <c r="G26" s="77">
        <v>10100</v>
      </c>
      <c r="H26" s="331">
        <f>+B34</f>
        <v>0</v>
      </c>
      <c r="I26" s="26">
        <v>4086</v>
      </c>
      <c r="J26" s="77">
        <v>7700</v>
      </c>
      <c r="K26" s="331">
        <f>+B35</f>
        <v>0</v>
      </c>
      <c r="L26" s="26">
        <v>354</v>
      </c>
      <c r="M26" s="77">
        <v>3700</v>
      </c>
      <c r="N26" s="871">
        <f>+B36</f>
        <v>0</v>
      </c>
      <c r="O26" s="839">
        <v>234</v>
      </c>
      <c r="P26" s="297">
        <v>0</v>
      </c>
      <c r="Q26" s="871">
        <f>+B37</f>
        <v>0</v>
      </c>
      <c r="R26" s="839">
        <v>478</v>
      </c>
      <c r="S26" s="297">
        <v>0</v>
      </c>
      <c r="T26" s="331">
        <f>+B38</f>
        <v>0</v>
      </c>
      <c r="U26" s="26">
        <v>0</v>
      </c>
      <c r="V26" s="77">
        <v>9100</v>
      </c>
      <c r="W26" s="871">
        <f>+B40</f>
        <v>0</v>
      </c>
      <c r="X26" s="839">
        <v>784</v>
      </c>
      <c r="Y26" s="297">
        <v>0</v>
      </c>
      <c r="Z26" s="26"/>
      <c r="AA26" s="871">
        <f>B27</f>
        <v>0</v>
      </c>
      <c r="AB26" s="839"/>
      <c r="AC26" s="297"/>
      <c r="AF26" s="799"/>
      <c r="AG26" s="799"/>
      <c r="AH26" s="799"/>
      <c r="AI26" s="788"/>
      <c r="AJ26" s="788"/>
      <c r="AK26" s="771"/>
      <c r="AL26" s="770"/>
      <c r="AM26" s="1037"/>
      <c r="AN26" s="1037"/>
      <c r="AO26" s="799"/>
      <c r="AP26" s="799"/>
      <c r="AQ26" s="799"/>
      <c r="AR26" s="799"/>
      <c r="AS26" s="799"/>
      <c r="AT26" s="799"/>
      <c r="AU26" s="799"/>
      <c r="AV26" s="799"/>
      <c r="AW26" s="799"/>
      <c r="AX26" s="788"/>
      <c r="AY26" s="788"/>
      <c r="AZ26" s="788"/>
      <c r="BA26" s="788"/>
      <c r="BB26" s="788"/>
      <c r="BC26" s="788"/>
      <c r="BD26" s="788"/>
      <c r="BE26" s="788"/>
      <c r="BF26" s="788"/>
      <c r="BG26" s="788"/>
      <c r="BH26" s="788"/>
      <c r="BI26" s="788"/>
      <c r="BJ26" s="788"/>
      <c r="BK26" s="788"/>
      <c r="BL26" s="788"/>
      <c r="BM26" s="788"/>
      <c r="BN26" s="788"/>
      <c r="BO26" s="788"/>
    </row>
    <row r="27" spans="1:76">
      <c r="A27" s="192" t="s">
        <v>265</v>
      </c>
      <c r="B27" s="986">
        <f>B26+E26+H26+K26+N26+Q26+T26+W26</f>
        <v>0</v>
      </c>
      <c r="C27" s="687">
        <f>C26+F26+I26+L26+R26+U26+X26</f>
        <v>39150</v>
      </c>
      <c r="D27" s="688">
        <f>D26+G26+J26+M26+V26+P26+S26+Y26</f>
        <v>47700</v>
      </c>
      <c r="E27" s="99"/>
      <c r="F27" s="72"/>
      <c r="G27" s="75"/>
      <c r="H27" s="99"/>
      <c r="I27" s="72"/>
      <c r="J27" s="75"/>
      <c r="K27" s="99"/>
      <c r="L27" s="72" t="s">
        <v>539</v>
      </c>
      <c r="M27" s="75"/>
      <c r="N27" s="872"/>
      <c r="O27" s="873"/>
      <c r="P27" s="874"/>
      <c r="Q27" s="872"/>
      <c r="R27" s="873"/>
      <c r="S27" s="874"/>
      <c r="T27" s="99"/>
      <c r="U27" s="72"/>
      <c r="V27" s="75"/>
      <c r="W27" s="872"/>
      <c r="X27" s="873"/>
      <c r="Y27" s="874"/>
      <c r="AA27" s="872"/>
      <c r="AB27" s="873"/>
      <c r="AC27" s="874"/>
    </row>
    <row r="29" spans="1:76" ht="15">
      <c r="AA29" s="906"/>
      <c r="AB29" s="907" t="s">
        <v>107</v>
      </c>
      <c r="AC29" s="907" t="s">
        <v>310</v>
      </c>
      <c r="AD29" s="907" t="s">
        <v>311</v>
      </c>
      <c r="BJ29" s="837"/>
    </row>
    <row r="30" spans="1:76">
      <c r="A30" s="190" t="s">
        <v>176</v>
      </c>
      <c r="B30" s="46" t="s">
        <v>168</v>
      </c>
      <c r="C30" s="46" t="s">
        <v>36</v>
      </c>
      <c r="D30" s="1" t="s">
        <v>553</v>
      </c>
      <c r="E30" s="837" t="s">
        <v>554</v>
      </c>
      <c r="H30" s="163"/>
      <c r="AA30" s="908" t="s">
        <v>547</v>
      </c>
      <c r="AB30" s="1038" t="s">
        <v>312</v>
      </c>
      <c r="AC30" s="1038"/>
      <c r="AD30" s="1038"/>
      <c r="BJ30" s="837"/>
    </row>
    <row r="31" spans="1:76" ht="15">
      <c r="A31" s="48" t="s">
        <v>188</v>
      </c>
      <c r="B31" s="938" t="e">
        <f>'2025 Summary'!#REF!</f>
        <v>#REF!</v>
      </c>
      <c r="C31" s="183" t="e">
        <f t="shared" ref="C31:C40" si="24">+B31/$B$41</f>
        <v>#REF!</v>
      </c>
      <c r="D31" s="47"/>
      <c r="F31" s="47"/>
      <c r="AA31" s="906" t="s">
        <v>315</v>
      </c>
      <c r="AB31" s="909" t="e">
        <f>SUM(AC31:AD31)</f>
        <v>#DIV/0!</v>
      </c>
      <c r="AC31" s="909" t="e">
        <f>AB12*$AA$26</f>
        <v>#DIV/0!</v>
      </c>
      <c r="AD31" s="909" t="e">
        <f>AB20*$AA$26</f>
        <v>#DIV/0!</v>
      </c>
      <c r="BJ31" s="837"/>
    </row>
    <row r="32" spans="1:76" ht="15">
      <c r="A32" s="48" t="s">
        <v>187</v>
      </c>
      <c r="B32" s="938">
        <f>'2025 Summary'!$D$16</f>
        <v>0</v>
      </c>
      <c r="C32" s="183" t="e">
        <f t="shared" si="24"/>
        <v>#REF!</v>
      </c>
      <c r="D32" s="50">
        <f>B32*1000/600000</f>
        <v>0</v>
      </c>
      <c r="F32" s="709"/>
      <c r="AA32" s="906" t="s">
        <v>316</v>
      </c>
      <c r="AB32" s="910" t="e">
        <f>SUM(AC32:AD32)</f>
        <v>#DIV/0!</v>
      </c>
      <c r="AC32" s="910" t="e">
        <f>AC12*AA26</f>
        <v>#DIV/0!</v>
      </c>
      <c r="AD32" s="910" t="e">
        <f>AC20*AA26</f>
        <v>#DIV/0!</v>
      </c>
      <c r="BJ32" s="837"/>
      <c r="BK32" s="39"/>
      <c r="BL32" s="39"/>
      <c r="BM32" s="39"/>
      <c r="BN32" s="39"/>
      <c r="BO32" s="39"/>
    </row>
    <row r="33" spans="1:67" ht="16.5">
      <c r="A33" s="48" t="s">
        <v>538</v>
      </c>
      <c r="B33" s="938">
        <f>'2025 Summary'!$E$16</f>
        <v>0</v>
      </c>
      <c r="C33" s="183" t="e">
        <f t="shared" si="24"/>
        <v>#REF!</v>
      </c>
      <c r="D33" s="50">
        <f>B33*1000/150000</f>
        <v>0</v>
      </c>
      <c r="F33" s="709"/>
      <c r="AA33" s="906" t="s">
        <v>314</v>
      </c>
      <c r="AB33" s="911">
        <f>SUM(AC33:AD33)</f>
        <v>-1085.1408000000001</v>
      </c>
      <c r="AC33" s="911">
        <f>IF(C108&lt;&gt;0,0,(((((D107/1.06564)-0.33)*0.974)-D108)*(240000-C107))/1000)</f>
        <v>-1085.1408000000001</v>
      </c>
      <c r="AD33" s="911">
        <v>0</v>
      </c>
      <c r="BI33" s="837"/>
      <c r="BJ33" s="837"/>
      <c r="BK33" s="39"/>
      <c r="BL33" s="39"/>
      <c r="BM33" s="39"/>
      <c r="BN33" s="39"/>
      <c r="BO33" s="39"/>
    </row>
    <row r="34" spans="1:67" ht="15">
      <c r="A34" s="48" t="s">
        <v>281</v>
      </c>
      <c r="B34" s="938">
        <f>'2025 Summary'!$F$16</f>
        <v>0</v>
      </c>
      <c r="C34" s="183" t="e">
        <f t="shared" si="24"/>
        <v>#REF!</v>
      </c>
      <c r="D34" s="50">
        <f>B34*1000/150000</f>
        <v>0</v>
      </c>
      <c r="F34" s="709"/>
      <c r="AA34" s="912" t="s">
        <v>3</v>
      </c>
      <c r="AB34" s="913" t="e">
        <f>SUM(AB31:AB33)</f>
        <v>#DIV/0!</v>
      </c>
      <c r="AC34" s="913" t="e">
        <f>SUM(AC31:AC33)</f>
        <v>#DIV/0!</v>
      </c>
      <c r="AD34" s="913" t="e">
        <f>SUM(AD31:AD33)</f>
        <v>#DIV/0!</v>
      </c>
      <c r="BJ34" s="39"/>
      <c r="BK34" s="39"/>
      <c r="BL34" s="39"/>
      <c r="BM34" s="39"/>
      <c r="BN34" s="39"/>
      <c r="BO34" s="39"/>
    </row>
    <row r="35" spans="1:67" ht="16.5">
      <c r="A35" s="48" t="s">
        <v>503</v>
      </c>
      <c r="B35" s="938">
        <f>'2025 Summary'!$G$16</f>
        <v>0</v>
      </c>
      <c r="C35" s="183" t="e">
        <f t="shared" si="24"/>
        <v>#REF!</v>
      </c>
      <c r="D35" s="50">
        <f>B35*1000/175000</f>
        <v>0</v>
      </c>
      <c r="F35" s="709"/>
      <c r="AA35" s="912" t="s">
        <v>317</v>
      </c>
      <c r="AB35" s="914" t="e">
        <f>SUM(AC35:AD35)</f>
        <v>#DIV/0!</v>
      </c>
      <c r="AC35" s="914">
        <v>0</v>
      </c>
      <c r="AD35" s="914" t="e">
        <f>-AA18*AA26</f>
        <v>#DIV/0!</v>
      </c>
      <c r="BJ35" s="39"/>
      <c r="BK35" s="39"/>
      <c r="BL35" s="39"/>
      <c r="BM35" s="39"/>
      <c r="BN35" s="39"/>
      <c r="BO35" s="39"/>
    </row>
    <row r="36" spans="1:67" ht="16.5">
      <c r="A36" s="48" t="s">
        <v>516</v>
      </c>
      <c r="B36" s="938">
        <f>'2025 Summary'!$H$16</f>
        <v>0</v>
      </c>
      <c r="C36" s="183" t="e">
        <f t="shared" si="24"/>
        <v>#REF!</v>
      </c>
      <c r="D36" s="50"/>
      <c r="F36" s="709"/>
      <c r="J36" s="905"/>
      <c r="K36" s="905"/>
      <c r="L36" s="905"/>
      <c r="M36" s="905"/>
      <c r="AA36" s="912" t="s">
        <v>313</v>
      </c>
      <c r="AB36" s="915" t="e">
        <f>SUM(AB34:AB35)</f>
        <v>#DIV/0!</v>
      </c>
      <c r="AC36" s="915" t="e">
        <f>SUM(AC34:AC35)</f>
        <v>#DIV/0!</v>
      </c>
      <c r="AD36" s="915" t="e">
        <f>SUM(AD34:AD35)</f>
        <v>#DIV/0!</v>
      </c>
      <c r="BJ36" s="39"/>
      <c r="BK36" s="39"/>
      <c r="BL36" s="39"/>
      <c r="BM36" s="39"/>
      <c r="BN36" s="39"/>
      <c r="BO36" s="39"/>
    </row>
    <row r="37" spans="1:67" ht="16.5">
      <c r="A37" s="48" t="s">
        <v>502</v>
      </c>
      <c r="B37" s="938">
        <f>'2025 Summary'!$I$16</f>
        <v>0</v>
      </c>
      <c r="C37" s="183" t="e">
        <f t="shared" si="24"/>
        <v>#REF!</v>
      </c>
      <c r="D37" s="50">
        <f>B37*1000/150000</f>
        <v>0</v>
      </c>
      <c r="F37" s="50"/>
      <c r="AA37" s="912"/>
      <c r="AB37" s="915"/>
      <c r="AC37" s="915"/>
      <c r="AD37" s="915"/>
      <c r="BJ37" s="39"/>
      <c r="BK37" s="39"/>
      <c r="BL37" s="39"/>
      <c r="BM37" s="39"/>
      <c r="BN37" s="39"/>
      <c r="BO37" s="39"/>
    </row>
    <row r="38" spans="1:67" ht="15">
      <c r="A38" s="48" t="s">
        <v>498</v>
      </c>
      <c r="B38" s="938">
        <f>'2025 Summary'!$J$16</f>
        <v>0</v>
      </c>
      <c r="C38" s="183" t="e">
        <f t="shared" si="24"/>
        <v>#REF!</v>
      </c>
      <c r="D38" s="50">
        <f>B38*1000/150000</f>
        <v>0</v>
      </c>
      <c r="F38" s="51"/>
      <c r="AA38" s="908" t="s">
        <v>548</v>
      </c>
      <c r="AB38" s="916"/>
      <c r="AC38" s="916"/>
      <c r="AD38" s="916"/>
      <c r="BJ38" s="39"/>
      <c r="BK38" s="39"/>
      <c r="BL38" s="39"/>
      <c r="BM38" s="39"/>
      <c r="BN38" s="39"/>
      <c r="BO38" s="39"/>
    </row>
    <row r="39" spans="1:67" ht="15">
      <c r="A39" s="48" t="s">
        <v>499</v>
      </c>
      <c r="B39" s="938">
        <f>'2025 Summary'!$K$16</f>
        <v>0</v>
      </c>
      <c r="C39" s="183" t="e">
        <f t="shared" si="24"/>
        <v>#REF!</v>
      </c>
      <c r="D39" s="50"/>
      <c r="F39" s="51"/>
      <c r="AA39" s="906" t="s">
        <v>315</v>
      </c>
      <c r="AB39" s="909" t="e">
        <f>SUM(AC39:AD39)</f>
        <v>#DIV/0!</v>
      </c>
      <c r="AC39" s="909" t="e">
        <f t="shared" ref="AC39:AD41" si="25">AC31/12</f>
        <v>#DIV/0!</v>
      </c>
      <c r="AD39" s="909" t="e">
        <f t="shared" si="25"/>
        <v>#DIV/0!</v>
      </c>
      <c r="BJ39" s="39"/>
      <c r="BK39" s="39"/>
      <c r="BL39" s="39"/>
      <c r="BM39" s="39"/>
      <c r="BN39" s="39"/>
      <c r="BO39" s="39"/>
    </row>
    <row r="40" spans="1:67" ht="15">
      <c r="A40" s="48"/>
      <c r="B40" s="938">
        <v>0</v>
      </c>
      <c r="C40" s="184" t="e">
        <f t="shared" si="24"/>
        <v>#REF!</v>
      </c>
      <c r="D40" s="50"/>
      <c r="F40" s="51"/>
      <c r="AA40" s="906" t="s">
        <v>316</v>
      </c>
      <c r="AB40" s="910" t="e">
        <f>SUM(AC40:AD40)</f>
        <v>#DIV/0!</v>
      </c>
      <c r="AC40" s="910" t="e">
        <f t="shared" si="25"/>
        <v>#DIV/0!</v>
      </c>
      <c r="AD40" s="910" t="e">
        <f t="shared" si="25"/>
        <v>#DIV/0!</v>
      </c>
      <c r="BJ40" s="39"/>
      <c r="BK40" s="39"/>
      <c r="BL40" s="39"/>
      <c r="BM40" s="39"/>
      <c r="BN40" s="39"/>
      <c r="BO40" s="39"/>
    </row>
    <row r="41" spans="1:67" ht="15">
      <c r="A41" s="141" t="s">
        <v>107</v>
      </c>
      <c r="B41" s="49" t="e">
        <f>SUM(B31:B40)</f>
        <v>#REF!</v>
      </c>
      <c r="C41" s="183" t="e">
        <f>SUM(C31:C40)</f>
        <v>#REF!</v>
      </c>
      <c r="D41" s="50">
        <f>SUM(D31:D40)</f>
        <v>0</v>
      </c>
      <c r="E41" s="1">
        <f>30-D41</f>
        <v>30</v>
      </c>
      <c r="F41" s="51"/>
      <c r="AA41" s="906" t="s">
        <v>314</v>
      </c>
      <c r="AB41" s="911">
        <f>SUM(AC41:AD41)</f>
        <v>-90.428400000000011</v>
      </c>
      <c r="AC41" s="911">
        <f t="shared" si="25"/>
        <v>-90.428400000000011</v>
      </c>
      <c r="AD41" s="911">
        <f t="shared" si="25"/>
        <v>0</v>
      </c>
      <c r="BJ41" s="39"/>
      <c r="BK41" s="39"/>
      <c r="BL41" s="39"/>
      <c r="BM41" s="39"/>
      <c r="BN41" s="39"/>
      <c r="BO41" s="39"/>
    </row>
    <row r="42" spans="1:67">
      <c r="D42" s="50"/>
      <c r="F42" s="51"/>
      <c r="AA42" s="912" t="s">
        <v>3</v>
      </c>
      <c r="AB42" s="913" t="e">
        <f>SUM(AB39:AB41)</f>
        <v>#DIV/0!</v>
      </c>
      <c r="AC42" s="913" t="e">
        <f>SUM(AC39:AC41)</f>
        <v>#DIV/0!</v>
      </c>
      <c r="AD42" s="913" t="e">
        <f>SUM(AD39:AD41)</f>
        <v>#DIV/0!</v>
      </c>
      <c r="BJ42" s="39"/>
      <c r="BK42" s="39"/>
      <c r="BL42" s="39"/>
      <c r="BM42" s="39"/>
      <c r="BN42" s="39"/>
      <c r="BO42" s="39"/>
    </row>
    <row r="43" spans="1:67" ht="15">
      <c r="A43" s="141"/>
      <c r="B43" s="49"/>
      <c r="C43" s="183"/>
      <c r="D43" s="50"/>
      <c r="F43" s="51"/>
      <c r="I43" s="838"/>
      <c r="L43" s="838"/>
      <c r="P43" s="72"/>
      <c r="AA43" s="912" t="s">
        <v>317</v>
      </c>
      <c r="AB43" s="917" t="e">
        <f>SUM(AC43:AD43)</f>
        <v>#DIV/0!</v>
      </c>
      <c r="AC43" s="917">
        <f>AC35/12</f>
        <v>0</v>
      </c>
      <c r="AD43" s="917" t="e">
        <f>AD35/12</f>
        <v>#DIV/0!</v>
      </c>
      <c r="BJ43" s="39"/>
      <c r="BK43" s="39"/>
      <c r="BL43" s="39"/>
      <c r="BM43" s="39"/>
      <c r="BN43" s="39"/>
      <c r="BO43" s="39"/>
    </row>
    <row r="44" spans="1:67" ht="15">
      <c r="A44" s="42" t="s">
        <v>34</v>
      </c>
      <c r="B44" s="950"/>
      <c r="C44" s="82"/>
      <c r="D44" s="93"/>
      <c r="E44" s="82"/>
      <c r="F44" s="93"/>
      <c r="G44" s="82"/>
      <c r="H44" s="93"/>
      <c r="I44" s="82"/>
      <c r="J44" s="93"/>
      <c r="K44" s="878"/>
      <c r="L44" s="879"/>
      <c r="M44" s="878"/>
      <c r="N44" s="879"/>
      <c r="O44" s="82"/>
      <c r="P44" s="93"/>
      <c r="Q44" s="878"/>
      <c r="R44" s="896"/>
      <c r="AA44" s="912" t="s">
        <v>313</v>
      </c>
      <c r="AB44" s="915" t="e">
        <f>SUM(AB42:AB43)</f>
        <v>#DIV/0!</v>
      </c>
      <c r="AC44" s="915" t="e">
        <f>SUM(AC42:AC43)</f>
        <v>#DIV/0!</v>
      </c>
      <c r="AD44" s="915" t="e">
        <f>SUM(AD42:AD43)</f>
        <v>#DIV/0!</v>
      </c>
      <c r="BJ44" s="39"/>
      <c r="BK44" s="39"/>
      <c r="BL44" s="39"/>
      <c r="BM44" s="39"/>
      <c r="BN44" s="39"/>
      <c r="BO44" s="39"/>
    </row>
    <row r="45" spans="1:67" ht="15">
      <c r="A45" s="43"/>
      <c r="B45" s="718"/>
      <c r="C45" s="1034" t="s">
        <v>292</v>
      </c>
      <c r="D45" s="1010"/>
      <c r="E45" s="1034" t="s">
        <v>177</v>
      </c>
      <c r="F45" s="1010"/>
      <c r="G45" s="1034" t="s">
        <v>282</v>
      </c>
      <c r="H45" s="1010"/>
      <c r="I45" s="1034" t="s">
        <v>467</v>
      </c>
      <c r="J45" s="1010"/>
      <c r="K45" s="1039" t="s">
        <v>516</v>
      </c>
      <c r="L45" s="1040"/>
      <c r="M45" s="1039" t="s">
        <v>502</v>
      </c>
      <c r="N45" s="1040"/>
      <c r="O45" s="1034" t="s">
        <v>498</v>
      </c>
      <c r="P45" s="1010"/>
      <c r="Q45" s="1039" t="s">
        <v>499</v>
      </c>
      <c r="R45" s="1040"/>
      <c r="BJ45" s="39"/>
      <c r="BK45" s="39"/>
      <c r="BL45" s="39"/>
      <c r="BM45" s="39"/>
      <c r="BN45" s="39"/>
      <c r="BO45" s="39"/>
    </row>
    <row r="46" spans="1:67">
      <c r="A46" s="198" t="s">
        <v>175</v>
      </c>
      <c r="B46" s="171" t="s">
        <v>37</v>
      </c>
      <c r="C46" s="53" t="s">
        <v>38</v>
      </c>
      <c r="D46" s="171"/>
      <c r="E46" s="53" t="s">
        <v>38</v>
      </c>
      <c r="F46" s="171"/>
      <c r="G46" s="53" t="s">
        <v>38</v>
      </c>
      <c r="H46" s="171"/>
      <c r="I46" s="719" t="s">
        <v>38</v>
      </c>
      <c r="J46" s="171"/>
      <c r="K46" s="880" t="s">
        <v>38</v>
      </c>
      <c r="L46" s="295"/>
      <c r="M46" s="880" t="s">
        <v>38</v>
      </c>
      <c r="N46" s="295"/>
      <c r="O46" s="719" t="s">
        <v>38</v>
      </c>
      <c r="P46" s="171"/>
      <c r="Q46" s="897" t="s">
        <v>38</v>
      </c>
      <c r="R46" s="295"/>
      <c r="AK46" s="13"/>
      <c r="AL46" s="46"/>
      <c r="BH46" s="11"/>
    </row>
    <row r="47" spans="1:67" ht="15">
      <c r="A47" s="176" t="s">
        <v>173</v>
      </c>
      <c r="B47" s="712">
        <f>40*2</f>
        <v>80</v>
      </c>
      <c r="C47" s="710">
        <v>0.1</v>
      </c>
      <c r="D47" s="186"/>
      <c r="E47" s="710">
        <v>0.1</v>
      </c>
      <c r="F47" s="186"/>
      <c r="G47" s="710">
        <v>0.6</v>
      </c>
      <c r="H47" s="186"/>
      <c r="I47" s="710">
        <v>0.1</v>
      </c>
      <c r="J47" s="186"/>
      <c r="K47" s="881">
        <v>0.6</v>
      </c>
      <c r="L47" s="882"/>
      <c r="M47" s="881">
        <v>0.6</v>
      </c>
      <c r="N47" s="882"/>
      <c r="O47" s="720">
        <v>0.6</v>
      </c>
      <c r="P47" s="186"/>
      <c r="Q47" s="898">
        <v>0.6</v>
      </c>
      <c r="R47" s="882"/>
      <c r="AK47" s="13"/>
      <c r="AL47" s="250"/>
      <c r="BH47" s="251"/>
      <c r="BI47" s="251"/>
    </row>
    <row r="48" spans="1:67" ht="17.25">
      <c r="A48" s="176" t="s">
        <v>559</v>
      </c>
      <c r="B48" s="903">
        <f>36</f>
        <v>36</v>
      </c>
      <c r="C48" s="710">
        <v>0.9</v>
      </c>
      <c r="D48" s="186"/>
      <c r="E48" s="710">
        <v>0.9</v>
      </c>
      <c r="F48" s="186"/>
      <c r="G48" s="710">
        <v>0.4</v>
      </c>
      <c r="H48" s="186"/>
      <c r="I48" s="710">
        <v>0.9</v>
      </c>
      <c r="J48" s="186"/>
      <c r="K48" s="881">
        <v>0.4</v>
      </c>
      <c r="L48" s="882"/>
      <c r="M48" s="881">
        <v>0.4</v>
      </c>
      <c r="N48" s="882"/>
      <c r="O48" s="720">
        <v>0.4</v>
      </c>
      <c r="P48" s="186"/>
      <c r="Q48" s="898">
        <v>0.4</v>
      </c>
      <c r="R48" s="882"/>
      <c r="AK48" s="13"/>
      <c r="AL48" s="250"/>
      <c r="BH48" s="252"/>
      <c r="BI48" s="252"/>
    </row>
    <row r="49" spans="1:76" ht="15">
      <c r="A49" s="141" t="s">
        <v>174</v>
      </c>
      <c r="B49" s="712">
        <f>+B47*C47+B48*C48</f>
        <v>40.4</v>
      </c>
      <c r="C49" s="55">
        <f>SUM(C47:C48)</f>
        <v>1</v>
      </c>
      <c r="D49" s="187"/>
      <c r="E49" s="55">
        <f>SUM(E47:E48)</f>
        <v>1</v>
      </c>
      <c r="F49" s="187"/>
      <c r="G49" s="55">
        <f>SUM(G47:G48)</f>
        <v>1</v>
      </c>
      <c r="H49" s="187"/>
      <c r="I49" s="721">
        <f>SUM(I47:I48)</f>
        <v>1</v>
      </c>
      <c r="J49" s="187"/>
      <c r="K49" s="883">
        <f>SUM(K47:K48)</f>
        <v>1</v>
      </c>
      <c r="L49" s="884"/>
      <c r="M49" s="883">
        <f>SUM(M47:M48)</f>
        <v>1</v>
      </c>
      <c r="N49" s="884"/>
      <c r="O49" s="721">
        <f>SUM(O47:O48)</f>
        <v>1</v>
      </c>
      <c r="P49" s="187"/>
      <c r="Q49" s="899">
        <f>SUM(Q47:Q48)</f>
        <v>1</v>
      </c>
      <c r="R49" s="884"/>
      <c r="AK49" s="13"/>
      <c r="AL49" s="250"/>
      <c r="BH49" s="251"/>
      <c r="BI49" s="251"/>
    </row>
    <row r="50" spans="1:76">
      <c r="A50" s="43"/>
      <c r="B50" s="715"/>
      <c r="C50" s="60"/>
      <c r="D50" s="187"/>
      <c r="E50" s="60"/>
      <c r="F50" s="187"/>
      <c r="G50" s="60"/>
      <c r="H50" s="187"/>
      <c r="I50" s="722"/>
      <c r="J50" s="187"/>
      <c r="K50" s="885"/>
      <c r="L50" s="884"/>
      <c r="M50" s="885"/>
      <c r="N50" s="884"/>
      <c r="O50" s="722"/>
      <c r="P50" s="187"/>
      <c r="Q50" s="900"/>
      <c r="R50" s="884"/>
      <c r="AI50" s="39"/>
      <c r="AJ50" s="39"/>
      <c r="AK50" s="13"/>
      <c r="AL50" s="62"/>
    </row>
    <row r="51" spans="1:76" ht="18" customHeight="1">
      <c r="A51" s="198" t="s">
        <v>39</v>
      </c>
      <c r="B51" s="188" t="s">
        <v>40</v>
      </c>
      <c r="C51" s="185" t="s">
        <v>496</v>
      </c>
      <c r="D51" s="188" t="s">
        <v>179</v>
      </c>
      <c r="E51" s="185" t="s">
        <v>496</v>
      </c>
      <c r="F51" s="188" t="s">
        <v>179</v>
      </c>
      <c r="G51" s="185" t="s">
        <v>496</v>
      </c>
      <c r="H51" s="188" t="s">
        <v>179</v>
      </c>
      <c r="I51" s="723" t="s">
        <v>496</v>
      </c>
      <c r="J51" s="188" t="s">
        <v>179</v>
      </c>
      <c r="K51" s="886" t="s">
        <v>496</v>
      </c>
      <c r="L51" s="887" t="s">
        <v>179</v>
      </c>
      <c r="M51" s="886" t="s">
        <v>496</v>
      </c>
      <c r="N51" s="887" t="s">
        <v>179</v>
      </c>
      <c r="O51" s="723" t="s">
        <v>496</v>
      </c>
      <c r="P51" s="188" t="s">
        <v>179</v>
      </c>
      <c r="Q51" s="848" t="s">
        <v>496</v>
      </c>
      <c r="R51" s="887" t="s">
        <v>179</v>
      </c>
      <c r="S51" s="62"/>
      <c r="V51" s="62"/>
      <c r="W51" s="62"/>
      <c r="X51" s="62"/>
      <c r="Y51" s="62"/>
      <c r="Z51" s="62"/>
      <c r="AK51" s="13"/>
      <c r="AL51" s="46"/>
      <c r="BH51" s="11"/>
      <c r="BI51" s="11"/>
      <c r="BJ51" s="11"/>
      <c r="BK51" s="11"/>
      <c r="BL51" s="11"/>
      <c r="BM51" s="11"/>
      <c r="BN51" s="11"/>
      <c r="BO51" s="11"/>
      <c r="BP51" s="52" t="s">
        <v>291</v>
      </c>
      <c r="BQ51" s="52" t="s">
        <v>294</v>
      </c>
      <c r="BR51" s="52" t="s">
        <v>295</v>
      </c>
      <c r="BS51" s="52" t="s">
        <v>296</v>
      </c>
      <c r="BT51" s="52" t="s">
        <v>296</v>
      </c>
      <c r="BU51" s="52"/>
      <c r="BV51" s="52" t="s">
        <v>296</v>
      </c>
      <c r="BW51" s="52" t="s">
        <v>296</v>
      </c>
      <c r="BX51" s="52" t="s">
        <v>296</v>
      </c>
    </row>
    <row r="52" spans="1:76" ht="15">
      <c r="A52" s="176" t="s">
        <v>404</v>
      </c>
      <c r="B52" s="947">
        <f>$B$49/2000</f>
        <v>2.0199999999999999E-2</v>
      </c>
      <c r="C52" s="716">
        <v>2.19</v>
      </c>
      <c r="D52" s="311">
        <f>B52*C52</f>
        <v>4.4238E-2</v>
      </c>
      <c r="E52" s="716">
        <v>2.1800000000000002</v>
      </c>
      <c r="F52" s="311">
        <f t="shared" ref="F52:F61" si="26">B52*E52</f>
        <v>4.4035999999999999E-2</v>
      </c>
      <c r="G52" s="716">
        <v>0</v>
      </c>
      <c r="H52" s="311">
        <f t="shared" ref="H52:H61" si="27">$B52*G52</f>
        <v>0</v>
      </c>
      <c r="I52" s="716">
        <v>2.2000000000000002</v>
      </c>
      <c r="J52" s="311">
        <f t="shared" ref="J52:L61" si="28">$B52*I52</f>
        <v>4.444E-2</v>
      </c>
      <c r="K52" s="888">
        <v>2.2880632333333333</v>
      </c>
      <c r="L52" s="889">
        <f t="shared" si="28"/>
        <v>4.621887731333333E-2</v>
      </c>
      <c r="M52" s="888">
        <f>1781289/745600</f>
        <v>2.3890678648068668</v>
      </c>
      <c r="N52" s="889">
        <f t="shared" ref="N52:N61" si="29">$B52*M52</f>
        <v>4.8259170869098707E-2</v>
      </c>
      <c r="O52" s="716">
        <f>10229046/4674328</f>
        <v>2.1883457900258603</v>
      </c>
      <c r="P52" s="311">
        <f t="shared" ref="P52:P61" si="30">$B52*O52</f>
        <v>4.4204584958522378E-2</v>
      </c>
      <c r="Q52" s="888">
        <f>559444.75/783756</f>
        <v>0.71379963917341627</v>
      </c>
      <c r="R52" s="889">
        <f t="shared" ref="R52:R61" si="31">$B52*Q52</f>
        <v>1.4418752711303008E-2</v>
      </c>
      <c r="S52" s="65"/>
      <c r="V52" s="65"/>
      <c r="W52" s="65"/>
      <c r="X52" s="65"/>
      <c r="Y52" s="65"/>
      <c r="Z52" s="65"/>
      <c r="AA52" s="65"/>
      <c r="AB52" s="65"/>
      <c r="AC52" s="65"/>
      <c r="AD52" s="65"/>
      <c r="AE52" s="1">
        <f>D52*$B$26+F52*$E$26+H52*$H$26+J52*$K$26+L52*$N$26+N52*$Q$26+P52*$T$26+R52*$W$26</f>
        <v>0</v>
      </c>
      <c r="AJ52" s="312">
        <f>B52*1000</f>
        <v>20.2</v>
      </c>
      <c r="AK52" s="256" t="s">
        <v>12</v>
      </c>
      <c r="AL52" s="255" t="s">
        <v>154</v>
      </c>
      <c r="BH52" s="801">
        <f t="shared" ref="BH52:BH61" si="32">IF(B52&lt;&gt;0,D52/B52*1000,0)</f>
        <v>2190</v>
      </c>
      <c r="BI52" s="801">
        <f t="shared" ref="BI52:BI61" si="33">IF(B52&lt;&gt;0,F52/B52*1000,0)</f>
        <v>2180</v>
      </c>
      <c r="BJ52" s="801">
        <f>IF($B$52&lt;&gt;0,H52/$B$52*1000,0)</f>
        <v>0</v>
      </c>
      <c r="BK52" s="801">
        <f>IF($B$52&lt;&gt;0,J52/$B$52*1000,0)</f>
        <v>2200</v>
      </c>
      <c r="BL52" s="801"/>
      <c r="BM52" s="801"/>
      <c r="BN52" s="801">
        <f t="shared" ref="BN52:BN61" si="34">IF($B52&lt;&gt;0,P52/$B52*1000,0)</f>
        <v>2188.3457900258604</v>
      </c>
      <c r="BO52" s="801">
        <f t="shared" ref="BO52:BO61" si="35">IF($B52&lt;&gt;0,R52/$B52*1000,0)</f>
        <v>713.79963917341627</v>
      </c>
      <c r="BP52" s="26">
        <f t="shared" ref="BP52:BP61" si="36">BH52*$B$26+BI52*$E$26+BJ52*$H$26</f>
        <v>0</v>
      </c>
      <c r="BQ52" s="26">
        <v>202343432</v>
      </c>
      <c r="BR52" s="183" t="e">
        <f t="shared" ref="BR52:BR60" si="37">BQ52/BP52</f>
        <v>#DIV/0!</v>
      </c>
      <c r="BS52" s="341">
        <f>343597.02/24291676.299</f>
        <v>1.414464015454317E-2</v>
      </c>
      <c r="BT52" s="341">
        <f>343597.02/24291676.299</f>
        <v>1.414464015454317E-2</v>
      </c>
      <c r="BU52" s="341"/>
      <c r="BV52" s="341">
        <f>343597.02/24291676.299</f>
        <v>1.414464015454317E-2</v>
      </c>
      <c r="BW52" s="341">
        <f>343597.02/24291676.299</f>
        <v>1.414464015454317E-2</v>
      </c>
      <c r="BX52" s="341">
        <f>343597.02/24291676.299</f>
        <v>1.414464015454317E-2</v>
      </c>
    </row>
    <row r="53" spans="1:76" ht="15">
      <c r="A53" s="176" t="s">
        <v>403</v>
      </c>
      <c r="B53" s="948">
        <v>0.25</v>
      </c>
      <c r="C53" s="716">
        <v>0</v>
      </c>
      <c r="D53" s="311">
        <f>B53*C53</f>
        <v>0</v>
      </c>
      <c r="E53" s="716">
        <v>0</v>
      </c>
      <c r="F53" s="311">
        <f t="shared" si="26"/>
        <v>0</v>
      </c>
      <c r="G53" s="716">
        <v>2.4</v>
      </c>
      <c r="H53" s="311">
        <f t="shared" si="27"/>
        <v>0.6</v>
      </c>
      <c r="I53" s="716">
        <v>0</v>
      </c>
      <c r="J53" s="311">
        <f t="shared" si="28"/>
        <v>0</v>
      </c>
      <c r="K53" s="888"/>
      <c r="L53" s="889">
        <f t="shared" si="28"/>
        <v>0</v>
      </c>
      <c r="M53" s="888">
        <v>0</v>
      </c>
      <c r="N53" s="889">
        <f t="shared" si="29"/>
        <v>0</v>
      </c>
      <c r="O53" s="716">
        <f>3334227/4674328</f>
        <v>0.71330616935739211</v>
      </c>
      <c r="P53" s="311">
        <f t="shared" si="30"/>
        <v>0.17832654233934803</v>
      </c>
      <c r="Q53" s="888">
        <f>1729064.25/783756</f>
        <v>2.2061256947315235</v>
      </c>
      <c r="R53" s="889">
        <f t="shared" si="31"/>
        <v>0.55153142368288088</v>
      </c>
      <c r="S53" s="65"/>
      <c r="V53" s="65"/>
      <c r="W53" s="65"/>
      <c r="X53" s="65"/>
      <c r="Y53" s="65"/>
      <c r="Z53" s="65"/>
      <c r="AA53" s="65"/>
      <c r="AB53" s="65"/>
      <c r="AC53" s="65"/>
      <c r="AD53" s="65"/>
      <c r="AE53" s="1">
        <f t="shared" ref="AE53:AE61" si="38">D53*$B$26+F53*$E$26+H53*$H$26+J53*$K$26+L53*$N$26+N53*$Q$26+P53*$T$26+R53*$W$26</f>
        <v>0</v>
      </c>
      <c r="AJ53" s="312">
        <f>B53*1000</f>
        <v>250</v>
      </c>
      <c r="AK53" s="256" t="s">
        <v>12</v>
      </c>
      <c r="AL53" s="256" t="s">
        <v>298</v>
      </c>
      <c r="BH53" s="801">
        <f t="shared" si="32"/>
        <v>0</v>
      </c>
      <c r="BI53" s="801">
        <f t="shared" si="33"/>
        <v>0</v>
      </c>
      <c r="BJ53" s="801">
        <f>IF($B$53&lt;&gt;0,H53/$B$53*1000,0)</f>
        <v>2400</v>
      </c>
      <c r="BK53" s="801">
        <f>IF($B$53&lt;&gt;0,J53/$B$53*1000,0)</f>
        <v>0</v>
      </c>
      <c r="BL53" s="801"/>
      <c r="BM53" s="801"/>
      <c r="BN53" s="801">
        <f t="shared" si="34"/>
        <v>713.30616935739215</v>
      </c>
      <c r="BO53" s="801">
        <f t="shared" si="35"/>
        <v>2206.1256947315237</v>
      </c>
      <c r="BP53" s="26">
        <f t="shared" si="36"/>
        <v>0</v>
      </c>
      <c r="BQ53" s="26">
        <v>0</v>
      </c>
      <c r="BR53" s="183" t="e">
        <f t="shared" si="37"/>
        <v>#DIV/0!</v>
      </c>
      <c r="BS53" s="341">
        <v>6.2740000000000004E-2</v>
      </c>
      <c r="BT53" s="341">
        <v>6.2740000000000004E-2</v>
      </c>
      <c r="BU53" s="341"/>
      <c r="BV53" s="341">
        <v>6.2740000000000004E-2</v>
      </c>
      <c r="BW53" s="341">
        <v>6.2740000000000004E-2</v>
      </c>
      <c r="BX53" s="341">
        <v>6.2740000000000004E-2</v>
      </c>
    </row>
    <row r="54" spans="1:76" ht="15">
      <c r="A54" s="176" t="s">
        <v>504</v>
      </c>
      <c r="B54" s="948">
        <v>0</v>
      </c>
      <c r="C54" s="716">
        <v>0</v>
      </c>
      <c r="D54" s="311">
        <f t="shared" ref="D54:D61" si="39">B54*C54</f>
        <v>0</v>
      </c>
      <c r="E54" s="716">
        <v>0</v>
      </c>
      <c r="F54" s="311">
        <f t="shared" si="26"/>
        <v>0</v>
      </c>
      <c r="G54" s="716">
        <v>0</v>
      </c>
      <c r="H54" s="311">
        <f t="shared" si="27"/>
        <v>0</v>
      </c>
      <c r="I54" s="716">
        <v>0</v>
      </c>
      <c r="J54" s="311">
        <f t="shared" si="28"/>
        <v>0</v>
      </c>
      <c r="K54" s="888"/>
      <c r="L54" s="889">
        <f t="shared" si="28"/>
        <v>0</v>
      </c>
      <c r="M54" s="888">
        <v>0</v>
      </c>
      <c r="N54" s="889">
        <f t="shared" si="29"/>
        <v>0</v>
      </c>
      <c r="O54" s="716">
        <v>0</v>
      </c>
      <c r="P54" s="311">
        <f t="shared" si="30"/>
        <v>0</v>
      </c>
      <c r="Q54" s="888">
        <v>0</v>
      </c>
      <c r="R54" s="889">
        <f t="shared" si="31"/>
        <v>0</v>
      </c>
      <c r="S54" s="65"/>
      <c r="V54" s="65"/>
      <c r="W54" s="65"/>
      <c r="X54" s="65"/>
      <c r="Y54" s="65"/>
      <c r="Z54" s="65"/>
      <c r="AA54" s="65"/>
      <c r="AB54" s="65"/>
      <c r="AC54" s="65"/>
      <c r="AD54" s="65"/>
      <c r="AE54" s="1">
        <f t="shared" si="38"/>
        <v>0</v>
      </c>
      <c r="AJ54" s="312">
        <f>B54*1000</f>
        <v>0</v>
      </c>
      <c r="AK54" s="256" t="s">
        <v>12</v>
      </c>
      <c r="AL54" s="256" t="s">
        <v>506</v>
      </c>
      <c r="BH54" s="801">
        <f t="shared" si="32"/>
        <v>0</v>
      </c>
      <c r="BI54" s="801">
        <f t="shared" si="33"/>
        <v>0</v>
      </c>
      <c r="BJ54" s="801">
        <f>IF($B$54&lt;&gt;0,H54/$B$54*1000,0)</f>
        <v>0</v>
      </c>
      <c r="BK54" s="801">
        <f>IF($B$54&lt;&gt;0,J54/$B$54*1000,0)</f>
        <v>0</v>
      </c>
      <c r="BL54" s="801"/>
      <c r="BM54" s="801"/>
      <c r="BN54" s="801">
        <f t="shared" si="34"/>
        <v>0</v>
      </c>
      <c r="BO54" s="801">
        <f t="shared" si="35"/>
        <v>0</v>
      </c>
      <c r="BP54" s="26"/>
      <c r="BQ54" s="26"/>
      <c r="BR54" s="183"/>
      <c r="BS54" s="341"/>
      <c r="BT54" s="341"/>
      <c r="BU54" s="341"/>
      <c r="BV54" s="341"/>
      <c r="BW54" s="341"/>
      <c r="BX54" s="341"/>
    </row>
    <row r="55" spans="1:76" ht="15">
      <c r="A55" s="176" t="s">
        <v>505</v>
      </c>
      <c r="B55" s="948">
        <v>0</v>
      </c>
      <c r="C55" s="716">
        <v>0</v>
      </c>
      <c r="D55" s="311">
        <f t="shared" si="39"/>
        <v>0</v>
      </c>
      <c r="E55" s="716">
        <v>0</v>
      </c>
      <c r="F55" s="311">
        <f t="shared" si="26"/>
        <v>0</v>
      </c>
      <c r="G55" s="716">
        <v>0</v>
      </c>
      <c r="H55" s="311">
        <f t="shared" si="27"/>
        <v>0</v>
      </c>
      <c r="I55" s="716">
        <v>0</v>
      </c>
      <c r="J55" s="311">
        <f t="shared" si="28"/>
        <v>0</v>
      </c>
      <c r="K55" s="888"/>
      <c r="L55" s="889">
        <f t="shared" si="28"/>
        <v>0</v>
      </c>
      <c r="M55" s="888">
        <v>0</v>
      </c>
      <c r="N55" s="889">
        <f t="shared" si="29"/>
        <v>0</v>
      </c>
      <c r="O55" s="716">
        <v>0</v>
      </c>
      <c r="P55" s="311">
        <f t="shared" si="30"/>
        <v>0</v>
      </c>
      <c r="Q55" s="888">
        <v>0</v>
      </c>
      <c r="R55" s="889">
        <f t="shared" si="31"/>
        <v>0</v>
      </c>
      <c r="S55" s="65"/>
      <c r="V55" s="65"/>
      <c r="W55" s="65"/>
      <c r="X55" s="65"/>
      <c r="Y55" s="65"/>
      <c r="Z55" s="65"/>
      <c r="AA55" s="65"/>
      <c r="AB55" s="65"/>
      <c r="AC55" s="65"/>
      <c r="AD55" s="65"/>
      <c r="AE55" s="1">
        <f t="shared" si="38"/>
        <v>0</v>
      </c>
      <c r="AJ55" s="312">
        <f>B55*1000</f>
        <v>0</v>
      </c>
      <c r="AK55" s="256" t="s">
        <v>12</v>
      </c>
      <c r="AL55" s="256" t="s">
        <v>507</v>
      </c>
      <c r="BH55" s="801">
        <f t="shared" si="32"/>
        <v>0</v>
      </c>
      <c r="BI55" s="801">
        <f t="shared" si="33"/>
        <v>0</v>
      </c>
      <c r="BJ55" s="801">
        <f>IF($B$55&lt;&gt;0,H55/$B$55*1000,0)</f>
        <v>0</v>
      </c>
      <c r="BK55" s="801">
        <f>IF($B$55&lt;&gt;0,J55/$B$55*1000,0)</f>
        <v>0</v>
      </c>
      <c r="BL55" s="801"/>
      <c r="BM55" s="801"/>
      <c r="BN55" s="801">
        <f t="shared" si="34"/>
        <v>0</v>
      </c>
      <c r="BO55" s="801">
        <f t="shared" si="35"/>
        <v>0</v>
      </c>
      <c r="BP55" s="26"/>
      <c r="BQ55" s="26"/>
      <c r="BR55" s="183"/>
      <c r="BS55" s="341"/>
      <c r="BT55" s="341"/>
      <c r="BU55" s="341"/>
      <c r="BV55" s="341"/>
      <c r="BW55" s="341"/>
      <c r="BX55" s="341"/>
    </row>
    <row r="56" spans="1:76" ht="15">
      <c r="A56" s="176" t="s">
        <v>405</v>
      </c>
      <c r="B56" s="948">
        <v>2.2570000000000001</v>
      </c>
      <c r="C56" s="716">
        <v>1.2E-2</v>
      </c>
      <c r="D56" s="311">
        <f t="shared" si="39"/>
        <v>2.7084E-2</v>
      </c>
      <c r="E56" s="716">
        <v>0</v>
      </c>
      <c r="F56" s="311">
        <f t="shared" si="26"/>
        <v>0</v>
      </c>
      <c r="G56" s="716">
        <v>0</v>
      </c>
      <c r="H56" s="311">
        <f t="shared" si="27"/>
        <v>0</v>
      </c>
      <c r="I56" s="716">
        <v>0.01</v>
      </c>
      <c r="J56" s="311">
        <f t="shared" si="28"/>
        <v>2.2570000000000003E-2</v>
      </c>
      <c r="K56" s="888">
        <v>1.0276841666666666E-2</v>
      </c>
      <c r="L56" s="889">
        <f t="shared" si="28"/>
        <v>2.3194831641666667E-2</v>
      </c>
      <c r="M56" s="888">
        <v>0</v>
      </c>
      <c r="N56" s="889">
        <f t="shared" si="29"/>
        <v>0</v>
      </c>
      <c r="O56" s="716">
        <f>69706/4674328</f>
        <v>1.491251790631723E-2</v>
      </c>
      <c r="P56" s="311">
        <f t="shared" si="30"/>
        <v>3.3657552914557992E-2</v>
      </c>
      <c r="Q56" s="888">
        <f>12367.22/783756</f>
        <v>1.5779426250006379E-2</v>
      </c>
      <c r="R56" s="889">
        <f t="shared" si="31"/>
        <v>3.5614165046264398E-2</v>
      </c>
      <c r="S56" s="65"/>
      <c r="V56" s="65"/>
      <c r="W56" s="65"/>
      <c r="X56" s="65"/>
      <c r="Y56" s="65"/>
      <c r="Z56" s="65"/>
      <c r="AA56" s="65"/>
      <c r="AB56" s="65"/>
      <c r="AC56" s="65"/>
      <c r="AD56" s="65"/>
      <c r="AE56" s="1">
        <f t="shared" si="38"/>
        <v>0</v>
      </c>
      <c r="AJ56" s="312">
        <f t="shared" ref="AJ56:AJ61" si="40">B56*1000</f>
        <v>2257</v>
      </c>
      <c r="AK56" s="256" t="s">
        <v>12</v>
      </c>
      <c r="AL56" s="255" t="s">
        <v>155</v>
      </c>
      <c r="BH56" s="801">
        <f t="shared" si="32"/>
        <v>12</v>
      </c>
      <c r="BI56" s="801">
        <f t="shared" si="33"/>
        <v>0</v>
      </c>
      <c r="BJ56" s="801">
        <f>IF($B$56&lt;&gt;0,H56/$B$56*1000,0)</f>
        <v>0</v>
      </c>
      <c r="BK56" s="801">
        <f>IF($B$56&lt;&gt;0,J56/$B$56*1000,0)</f>
        <v>10</v>
      </c>
      <c r="BL56" s="801"/>
      <c r="BM56" s="801"/>
      <c r="BN56" s="801">
        <f t="shared" si="34"/>
        <v>14.912517906317232</v>
      </c>
      <c r="BO56" s="801">
        <f t="shared" si="35"/>
        <v>15.779426250006379</v>
      </c>
      <c r="BP56" s="26">
        <f t="shared" si="36"/>
        <v>0</v>
      </c>
      <c r="BQ56" s="26">
        <v>101933</v>
      </c>
      <c r="BR56" s="183" t="e">
        <f t="shared" si="37"/>
        <v>#DIV/0!</v>
      </c>
      <c r="BS56" s="341">
        <f>143105.19/BQ56</f>
        <v>1.4039142377836422</v>
      </c>
      <c r="BT56" s="341" t="e">
        <f>143105.19/BR56</f>
        <v>#DIV/0!</v>
      </c>
      <c r="BU56" s="341"/>
      <c r="BV56" s="341">
        <f>143105.19/BS56</f>
        <v>101933</v>
      </c>
      <c r="BW56" s="341" t="e">
        <f>143105.19/BT56</f>
        <v>#DIV/0!</v>
      </c>
      <c r="BX56" s="341">
        <f>143105.19/BV56</f>
        <v>1.4039142377836422</v>
      </c>
    </row>
    <row r="57" spans="1:76" ht="15">
      <c r="A57" s="176" t="s">
        <v>406</v>
      </c>
      <c r="B57" s="948">
        <f>750/1000</f>
        <v>0.75</v>
      </c>
      <c r="C57" s="716">
        <v>1.2E-2</v>
      </c>
      <c r="D57" s="311">
        <f t="shared" si="39"/>
        <v>9.0000000000000011E-3</v>
      </c>
      <c r="E57" s="716">
        <v>1.2999999999999999E-2</v>
      </c>
      <c r="F57" s="311">
        <f t="shared" si="26"/>
        <v>9.75E-3</v>
      </c>
      <c r="G57" s="716">
        <v>0.05</v>
      </c>
      <c r="H57" s="311">
        <f t="shared" si="27"/>
        <v>3.7500000000000006E-2</v>
      </c>
      <c r="I57" s="716">
        <v>1.2999999999999999E-2</v>
      </c>
      <c r="J57" s="311">
        <f t="shared" si="28"/>
        <v>9.75E-3</v>
      </c>
      <c r="K57" s="888">
        <v>8.8472583333333334E-3</v>
      </c>
      <c r="L57" s="889">
        <f t="shared" si="28"/>
        <v>6.63544375E-3</v>
      </c>
      <c r="M57" s="888">
        <f>12051.2/745600</f>
        <v>1.6163090128755365E-2</v>
      </c>
      <c r="N57" s="889">
        <f t="shared" si="29"/>
        <v>1.2122317596566524E-2</v>
      </c>
      <c r="O57" s="716">
        <f>131000/4674328</f>
        <v>2.8025418840954251E-2</v>
      </c>
      <c r="P57" s="311">
        <f t="shared" si="30"/>
        <v>2.1019064130715689E-2</v>
      </c>
      <c r="Q57" s="888">
        <f>11579.528/783756</f>
        <v>1.4774404278882713E-2</v>
      </c>
      <c r="R57" s="889">
        <f t="shared" si="31"/>
        <v>1.1080803209162035E-2</v>
      </c>
      <c r="S57" s="65"/>
      <c r="V57" s="65"/>
      <c r="W57" s="65"/>
      <c r="X57" s="65"/>
      <c r="Y57" s="65"/>
      <c r="Z57" s="65"/>
      <c r="AA57" s="65"/>
      <c r="AB57" s="65"/>
      <c r="AC57" s="65"/>
      <c r="AD57" s="65"/>
      <c r="AE57" s="1">
        <f t="shared" si="38"/>
        <v>0</v>
      </c>
      <c r="AJ57" s="312">
        <f t="shared" si="40"/>
        <v>750</v>
      </c>
      <c r="AK57" s="256" t="s">
        <v>12</v>
      </c>
      <c r="AL57" s="255" t="s">
        <v>156</v>
      </c>
      <c r="BH57" s="801">
        <f t="shared" si="32"/>
        <v>12.000000000000002</v>
      </c>
      <c r="BI57" s="801">
        <f t="shared" si="33"/>
        <v>13</v>
      </c>
      <c r="BJ57" s="801">
        <f>IF($B$57&lt;&gt;0,H57/$B$57*1000,0)</f>
        <v>50.000000000000007</v>
      </c>
      <c r="BK57" s="801">
        <f>IF($B$57&lt;&gt;0,J57/$B$57*1000,0)</f>
        <v>13</v>
      </c>
      <c r="BL57" s="801"/>
      <c r="BM57" s="801"/>
      <c r="BN57" s="801">
        <f t="shared" si="34"/>
        <v>28.025418840954252</v>
      </c>
      <c r="BO57" s="801">
        <f t="shared" si="35"/>
        <v>14.774404278882713</v>
      </c>
      <c r="BP57" s="26">
        <f t="shared" si="36"/>
        <v>0</v>
      </c>
      <c r="BQ57" s="26">
        <v>84108</v>
      </c>
      <c r="BR57" s="183" t="e">
        <f t="shared" si="37"/>
        <v>#DIV/0!</v>
      </c>
      <c r="BS57" s="341">
        <f>38613.79/BQ57</f>
        <v>0.45909770770913588</v>
      </c>
      <c r="BT57" s="341" t="e">
        <f>38613.79/BR57</f>
        <v>#DIV/0!</v>
      </c>
      <c r="BU57" s="341"/>
      <c r="BV57" s="341">
        <f>38613.79/BS57</f>
        <v>84108</v>
      </c>
      <c r="BW57" s="341" t="e">
        <f>38613.79/BT57</f>
        <v>#DIV/0!</v>
      </c>
      <c r="BX57" s="341">
        <f>38613.79/BV57</f>
        <v>0.45909770770913588</v>
      </c>
    </row>
    <row r="58" spans="1:76" ht="15">
      <c r="A58" s="176" t="s">
        <v>407</v>
      </c>
      <c r="B58" s="948">
        <v>0.22600000000000001</v>
      </c>
      <c r="C58" s="716">
        <v>1.2E-2</v>
      </c>
      <c r="D58" s="311">
        <f t="shared" si="39"/>
        <v>2.712E-3</v>
      </c>
      <c r="E58" s="716">
        <v>1.2E-2</v>
      </c>
      <c r="F58" s="311">
        <f t="shared" si="26"/>
        <v>2.712E-3</v>
      </c>
      <c r="G58" s="716">
        <v>0</v>
      </c>
      <c r="H58" s="311">
        <f t="shared" si="27"/>
        <v>0</v>
      </c>
      <c r="I58" s="716">
        <v>1.1299999999999999E-2</v>
      </c>
      <c r="J58" s="311">
        <f t="shared" si="28"/>
        <v>2.5537999999999997E-3</v>
      </c>
      <c r="K58" s="888">
        <v>9.8592666666666665E-3</v>
      </c>
      <c r="L58" s="889">
        <f t="shared" si="28"/>
        <v>2.2281942666666668E-3</v>
      </c>
      <c r="M58" s="888">
        <f>8236.2/745600</f>
        <v>1.1046405579399142E-2</v>
      </c>
      <c r="N58" s="889">
        <f t="shared" si="29"/>
        <v>2.496487660944206E-3</v>
      </c>
      <c r="O58" s="716">
        <f>72861/4674328</f>
        <v>1.5587481237944791E-2</v>
      </c>
      <c r="P58" s="311">
        <f t="shared" si="30"/>
        <v>3.522770759775523E-3</v>
      </c>
      <c r="Q58" s="888">
        <f>7307.749/783756</f>
        <v>9.32401027870919E-3</v>
      </c>
      <c r="R58" s="889">
        <f t="shared" si="31"/>
        <v>2.107226322988277E-3</v>
      </c>
      <c r="S58" s="65"/>
      <c r="V58" s="65"/>
      <c r="W58" s="65"/>
      <c r="X58" s="65"/>
      <c r="Y58" s="65"/>
      <c r="Z58" s="65"/>
      <c r="AA58" s="65"/>
      <c r="AB58" s="65"/>
      <c r="AC58" s="65"/>
      <c r="AD58" s="65"/>
      <c r="AE58" s="1">
        <f t="shared" si="38"/>
        <v>0</v>
      </c>
      <c r="AJ58" s="312">
        <f t="shared" si="40"/>
        <v>226</v>
      </c>
      <c r="AK58" s="256" t="s">
        <v>12</v>
      </c>
      <c r="AL58" s="255" t="s">
        <v>157</v>
      </c>
      <c r="BH58" s="801">
        <f t="shared" si="32"/>
        <v>12</v>
      </c>
      <c r="BI58" s="801">
        <f t="shared" si="33"/>
        <v>12</v>
      </c>
      <c r="BJ58" s="801">
        <f>IF($B$58&lt;&gt;0,H58/$B$58*1000,0)</f>
        <v>0</v>
      </c>
      <c r="BK58" s="801">
        <f>IF($B$58&lt;&gt;0,J58/$B$58*1000,0)</f>
        <v>11.299999999999999</v>
      </c>
      <c r="BL58" s="801"/>
      <c r="BM58" s="801"/>
      <c r="BN58" s="801">
        <f t="shared" si="34"/>
        <v>15.587481237944793</v>
      </c>
      <c r="BO58" s="801">
        <f t="shared" si="35"/>
        <v>9.3240102787091903</v>
      </c>
      <c r="BP58" s="26">
        <f t="shared" si="36"/>
        <v>0</v>
      </c>
      <c r="BQ58" s="26">
        <v>47388</v>
      </c>
      <c r="BR58" s="183" t="e">
        <f t="shared" si="37"/>
        <v>#DIV/0!</v>
      </c>
      <c r="BS58" s="341">
        <f>2705.86/BQ58</f>
        <v>5.710010973242171E-2</v>
      </c>
      <c r="BT58" s="341" t="e">
        <f>2705.86/BR58</f>
        <v>#DIV/0!</v>
      </c>
      <c r="BU58" s="341"/>
      <c r="BV58" s="341">
        <f>2705.86/BS58</f>
        <v>47388</v>
      </c>
      <c r="BW58" s="341" t="e">
        <f>2705.86/BT58</f>
        <v>#DIV/0!</v>
      </c>
      <c r="BX58" s="341">
        <f>2705.86/BV58</f>
        <v>5.710010973242171E-2</v>
      </c>
    </row>
    <row r="59" spans="1:76" ht="15">
      <c r="A59" s="176" t="s">
        <v>408</v>
      </c>
      <c r="B59" s="948">
        <v>0.158</v>
      </c>
      <c r="C59" s="716">
        <v>0</v>
      </c>
      <c r="D59" s="311">
        <f t="shared" si="39"/>
        <v>0</v>
      </c>
      <c r="E59" s="716">
        <v>0.1641</v>
      </c>
      <c r="F59" s="311">
        <f t="shared" si="26"/>
        <v>2.5927800000000001E-2</v>
      </c>
      <c r="G59" s="716">
        <v>0.24</v>
      </c>
      <c r="H59" s="311">
        <f t="shared" si="27"/>
        <v>3.7920000000000002E-2</v>
      </c>
      <c r="I59" s="716">
        <v>0</v>
      </c>
      <c r="J59" s="311">
        <f t="shared" si="28"/>
        <v>0</v>
      </c>
      <c r="K59" s="888"/>
      <c r="L59" s="889">
        <f t="shared" si="28"/>
        <v>0</v>
      </c>
      <c r="M59" s="888">
        <f>127002/745600</f>
        <v>0.17033530042918454</v>
      </c>
      <c r="N59" s="889">
        <f t="shared" si="29"/>
        <v>2.6912977467811159E-2</v>
      </c>
      <c r="O59" s="716">
        <v>0</v>
      </c>
      <c r="P59" s="311">
        <f t="shared" si="30"/>
        <v>0</v>
      </c>
      <c r="Q59" s="888">
        <v>0</v>
      </c>
      <c r="R59" s="889">
        <f t="shared" si="31"/>
        <v>0</v>
      </c>
      <c r="S59" s="65"/>
      <c r="V59" s="65"/>
      <c r="W59" s="65"/>
      <c r="X59" s="65"/>
      <c r="Y59" s="65"/>
      <c r="Z59" s="65"/>
      <c r="AA59" s="65"/>
      <c r="AB59" s="65"/>
      <c r="AC59" s="65"/>
      <c r="AD59" s="65"/>
      <c r="AE59" s="1">
        <f t="shared" si="38"/>
        <v>0</v>
      </c>
      <c r="AJ59" s="312">
        <f t="shared" si="40"/>
        <v>158</v>
      </c>
      <c r="AK59" s="256" t="s">
        <v>12</v>
      </c>
      <c r="AL59" s="255" t="s">
        <v>231</v>
      </c>
      <c r="BH59" s="801">
        <f t="shared" si="32"/>
        <v>0</v>
      </c>
      <c r="BI59" s="801">
        <f t="shared" si="33"/>
        <v>164.1</v>
      </c>
      <c r="BJ59" s="801">
        <f>IF($B$59&lt;&gt;0,H59/$B$59*1000,0)</f>
        <v>240.00000000000003</v>
      </c>
      <c r="BK59" s="801">
        <f>IF($B$59&lt;&gt;0,J59/$B$59*1000,0)</f>
        <v>0</v>
      </c>
      <c r="BL59" s="801"/>
      <c r="BM59" s="801"/>
      <c r="BN59" s="801">
        <f t="shared" si="34"/>
        <v>0</v>
      </c>
      <c r="BO59" s="801">
        <f t="shared" si="35"/>
        <v>0</v>
      </c>
      <c r="BP59" s="26">
        <f t="shared" si="36"/>
        <v>0</v>
      </c>
      <c r="BQ59" s="26">
        <v>560786</v>
      </c>
      <c r="BR59" s="183" t="e">
        <f t="shared" si="37"/>
        <v>#DIV/0!</v>
      </c>
      <c r="BS59" s="341">
        <f>49077.4/BQ59</f>
        <v>8.7515380198507103E-2</v>
      </c>
      <c r="BT59" s="341" t="e">
        <f>49077.4/BR59</f>
        <v>#DIV/0!</v>
      </c>
      <c r="BU59" s="341"/>
      <c r="BV59" s="341">
        <f>49077.4/BS59</f>
        <v>560786</v>
      </c>
      <c r="BW59" s="341" t="e">
        <f>49077.4/BT59</f>
        <v>#DIV/0!</v>
      </c>
      <c r="BX59" s="341">
        <f>49077.4/BV59</f>
        <v>8.7515380198507103E-2</v>
      </c>
    </row>
    <row r="60" spans="1:76" ht="15">
      <c r="A60" s="176" t="s">
        <v>409</v>
      </c>
      <c r="B60" s="948">
        <v>9.1989999999999998</v>
      </c>
      <c r="C60" s="716">
        <v>0</v>
      </c>
      <c r="D60" s="311">
        <f t="shared" si="39"/>
        <v>0</v>
      </c>
      <c r="E60" s="716">
        <v>0.01</v>
      </c>
      <c r="F60" s="311">
        <f t="shared" si="26"/>
        <v>9.1990000000000002E-2</v>
      </c>
      <c r="G60" s="716">
        <v>1.43E-2</v>
      </c>
      <c r="H60" s="311">
        <f t="shared" si="27"/>
        <v>0.13154569999999999</v>
      </c>
      <c r="I60" s="716">
        <v>0</v>
      </c>
      <c r="J60" s="311">
        <f t="shared" si="28"/>
        <v>0</v>
      </c>
      <c r="K60" s="888"/>
      <c r="L60" s="889">
        <f t="shared" si="28"/>
        <v>0</v>
      </c>
      <c r="M60" s="888">
        <f>4610.8/745600</f>
        <v>6.184012875536481E-3</v>
      </c>
      <c r="N60" s="889">
        <f t="shared" si="29"/>
        <v>5.6886734442060091E-2</v>
      </c>
      <c r="O60" s="716">
        <v>0</v>
      </c>
      <c r="P60" s="311">
        <f t="shared" si="30"/>
        <v>0</v>
      </c>
      <c r="Q60" s="901">
        <v>0</v>
      </c>
      <c r="R60" s="889">
        <f t="shared" si="31"/>
        <v>0</v>
      </c>
      <c r="S60" s="65"/>
      <c r="V60" s="65"/>
      <c r="W60" s="65"/>
      <c r="X60" s="65"/>
      <c r="Y60" s="65"/>
      <c r="Z60" s="65"/>
      <c r="AA60" s="65"/>
      <c r="AB60" s="65"/>
      <c r="AC60" s="65"/>
      <c r="AD60" s="65"/>
      <c r="AE60" s="1">
        <f t="shared" si="38"/>
        <v>0</v>
      </c>
      <c r="AJ60" s="312">
        <f t="shared" si="40"/>
        <v>9199</v>
      </c>
      <c r="AK60" s="256" t="s">
        <v>12</v>
      </c>
      <c r="AL60" s="255" t="s">
        <v>232</v>
      </c>
      <c r="BH60" s="801">
        <f t="shared" si="32"/>
        <v>0</v>
      </c>
      <c r="BI60" s="801">
        <f t="shared" si="33"/>
        <v>10</v>
      </c>
      <c r="BJ60" s="801">
        <f>IF($B$60&lt;&gt;0,H60/$B$60*1000,0)</f>
        <v>14.299999999999999</v>
      </c>
      <c r="BK60" s="801">
        <f>IF($B$60&lt;&gt;0,J60/$B$60*1000,0)</f>
        <v>0</v>
      </c>
      <c r="BL60" s="801"/>
      <c r="BM60" s="801"/>
      <c r="BN60" s="801">
        <f t="shared" si="34"/>
        <v>0</v>
      </c>
      <c r="BO60" s="801">
        <f t="shared" si="35"/>
        <v>0</v>
      </c>
      <c r="BP60" s="26">
        <f t="shared" si="36"/>
        <v>0</v>
      </c>
      <c r="BQ60" s="26">
        <v>208883</v>
      </c>
      <c r="BR60" s="183" t="e">
        <f t="shared" si="37"/>
        <v>#DIV/0!</v>
      </c>
      <c r="BS60" s="341">
        <f>1269211.15/BQ60</f>
        <v>6.0761821210917111</v>
      </c>
      <c r="BT60" s="341" t="e">
        <f>1269211.15/BR60</f>
        <v>#DIV/0!</v>
      </c>
      <c r="BU60" s="341"/>
      <c r="BV60" s="341">
        <f>1269211.15/BS60</f>
        <v>208883</v>
      </c>
      <c r="BW60" s="341" t="e">
        <f>1269211.15/BT60</f>
        <v>#DIV/0!</v>
      </c>
      <c r="BX60" s="341">
        <f>1269211.15/BV60</f>
        <v>6.0761821210917111</v>
      </c>
    </row>
    <row r="61" spans="1:76" ht="15">
      <c r="A61" s="176" t="s">
        <v>432</v>
      </c>
      <c r="B61" s="948">
        <v>25.29</v>
      </c>
      <c r="C61" s="711">
        <v>0</v>
      </c>
      <c r="D61" s="311">
        <f t="shared" si="39"/>
        <v>0</v>
      </c>
      <c r="E61" s="711">
        <v>0</v>
      </c>
      <c r="F61" s="311">
        <f t="shared" si="26"/>
        <v>0</v>
      </c>
      <c r="G61" s="711">
        <v>0</v>
      </c>
      <c r="H61" s="311">
        <f t="shared" si="27"/>
        <v>0</v>
      </c>
      <c r="I61" s="904">
        <v>4.0000000000000001E-3</v>
      </c>
      <c r="J61" s="311">
        <f t="shared" si="28"/>
        <v>0.10116</v>
      </c>
      <c r="K61" s="888">
        <v>0.16275833333333334</v>
      </c>
      <c r="L61" s="889">
        <f t="shared" si="28"/>
        <v>4.1161582499999998</v>
      </c>
      <c r="M61" s="888">
        <f>3511/745600</f>
        <v>4.7089592274678115E-3</v>
      </c>
      <c r="N61" s="889">
        <f t="shared" si="29"/>
        <v>0.11908957886266094</v>
      </c>
      <c r="O61" s="716">
        <v>0</v>
      </c>
      <c r="P61" s="311">
        <f t="shared" si="30"/>
        <v>0</v>
      </c>
      <c r="Q61" s="901">
        <v>0</v>
      </c>
      <c r="R61" s="889">
        <f t="shared" si="31"/>
        <v>0</v>
      </c>
      <c r="S61" s="65"/>
      <c r="V61" s="65"/>
      <c r="W61" s="65"/>
      <c r="X61" s="65"/>
      <c r="Y61" s="65"/>
      <c r="Z61" s="65"/>
      <c r="AA61" s="65"/>
      <c r="AB61" s="65"/>
      <c r="AC61" s="65"/>
      <c r="AD61" s="65"/>
      <c r="AE61" s="1">
        <f t="shared" si="38"/>
        <v>0</v>
      </c>
      <c r="AJ61" s="312">
        <f t="shared" si="40"/>
        <v>25290</v>
      </c>
      <c r="AK61" s="256" t="s">
        <v>12</v>
      </c>
      <c r="AL61" s="255" t="s">
        <v>472</v>
      </c>
      <c r="BH61" s="801">
        <f t="shared" si="32"/>
        <v>0</v>
      </c>
      <c r="BI61" s="801">
        <f t="shared" si="33"/>
        <v>0</v>
      </c>
      <c r="BJ61" s="801">
        <f>IF($B$61&lt;&gt;0,H61/$B$61*1000,0)</f>
        <v>0</v>
      </c>
      <c r="BK61" s="801">
        <f>IF($B$61&lt;&gt;0,J61/$B$61*1000,0)</f>
        <v>4</v>
      </c>
      <c r="BL61" s="801"/>
      <c r="BM61" s="801"/>
      <c r="BN61" s="801">
        <f t="shared" si="34"/>
        <v>0</v>
      </c>
      <c r="BO61" s="801">
        <f t="shared" si="35"/>
        <v>0</v>
      </c>
      <c r="BP61" s="26">
        <f t="shared" si="36"/>
        <v>0</v>
      </c>
      <c r="BQ61" s="26"/>
      <c r="BR61" s="183"/>
      <c r="BS61" s="341"/>
      <c r="BT61" s="341"/>
      <c r="BU61" s="341"/>
      <c r="BV61" s="341"/>
      <c r="BW61" s="341"/>
      <c r="BX61" s="341"/>
    </row>
    <row r="62" spans="1:76">
      <c r="A62" s="63"/>
      <c r="B62" s="726"/>
      <c r="C62" s="51"/>
      <c r="D62" s="98"/>
      <c r="E62" s="51"/>
      <c r="F62" s="98"/>
      <c r="G62" s="51"/>
      <c r="H62" s="98"/>
      <c r="I62" s="725"/>
      <c r="J62" s="98"/>
      <c r="K62" s="890"/>
      <c r="L62" s="891"/>
      <c r="M62" s="890"/>
      <c r="N62" s="891"/>
      <c r="O62" s="725"/>
      <c r="P62" s="98"/>
      <c r="Q62" s="902"/>
      <c r="R62" s="891"/>
      <c r="S62" s="65"/>
      <c r="V62" s="65"/>
      <c r="W62" s="65"/>
      <c r="X62" s="65"/>
      <c r="Y62" s="65"/>
      <c r="Z62" s="65"/>
      <c r="AA62" s="65"/>
      <c r="AB62" s="65"/>
      <c r="AC62" s="65"/>
      <c r="AD62" s="65"/>
      <c r="AL62" s="156"/>
      <c r="BJ62" s="157"/>
      <c r="BK62" s="157"/>
      <c r="BL62" s="157"/>
      <c r="BM62" s="157"/>
      <c r="BN62" s="157"/>
      <c r="BO62" s="157"/>
    </row>
    <row r="63" spans="1:76" ht="15">
      <c r="A63" s="63" t="s">
        <v>42</v>
      </c>
      <c r="B63" s="45"/>
      <c r="C63" s="69"/>
      <c r="D63" s="283" t="s">
        <v>43</v>
      </c>
      <c r="F63" s="283" t="s">
        <v>43</v>
      </c>
      <c r="H63" s="283" t="s">
        <v>43</v>
      </c>
      <c r="I63" s="43"/>
      <c r="J63" s="283" t="s">
        <v>43</v>
      </c>
      <c r="K63" s="892"/>
      <c r="L63" s="844" t="s">
        <v>43</v>
      </c>
      <c r="M63" s="892"/>
      <c r="N63" s="844" t="s">
        <v>43</v>
      </c>
      <c r="O63" s="43"/>
      <c r="P63" s="283" t="s">
        <v>43</v>
      </c>
      <c r="Q63" s="840"/>
      <c r="R63" s="844" t="s">
        <v>43</v>
      </c>
    </row>
    <row r="64" spans="1:76">
      <c r="A64" s="63" t="s">
        <v>284</v>
      </c>
      <c r="B64" s="45"/>
      <c r="C64" s="69"/>
      <c r="D64" s="189">
        <f>D52+D53+D54</f>
        <v>4.4238E-2</v>
      </c>
      <c r="F64" s="189">
        <f>F52+F53+F54</f>
        <v>4.4035999999999999E-2</v>
      </c>
      <c r="H64" s="189">
        <f>H52+H53+H54</f>
        <v>0.6</v>
      </c>
      <c r="I64" s="43"/>
      <c r="J64" s="189">
        <f>J52+J53+J54</f>
        <v>4.444E-2</v>
      </c>
      <c r="K64" s="892"/>
      <c r="L64" s="893">
        <f>L52+L53+L54</f>
        <v>4.621887731333333E-2</v>
      </c>
      <c r="M64" s="892"/>
      <c r="N64" s="893">
        <f>N52+N53+N54</f>
        <v>4.8259170869098707E-2</v>
      </c>
      <c r="O64" s="43"/>
      <c r="P64" s="189">
        <f>P52+P53+P54</f>
        <v>0.22253112729787039</v>
      </c>
      <c r="Q64" s="840"/>
      <c r="R64" s="893">
        <f>R52+R53+R54</f>
        <v>0.56595017639418388</v>
      </c>
      <c r="AE64" s="1">
        <f>AE52+AE53+AE54</f>
        <v>0</v>
      </c>
    </row>
    <row r="65" spans="1:64" ht="15">
      <c r="A65" s="63" t="s">
        <v>44</v>
      </c>
      <c r="B65" s="45"/>
      <c r="C65" s="69"/>
      <c r="D65" s="310">
        <f>SUM(D56:D61)</f>
        <v>3.8796000000000004E-2</v>
      </c>
      <c r="F65" s="310">
        <f>SUM(F56:F61)</f>
        <v>0.13037979999999999</v>
      </c>
      <c r="H65" s="310">
        <f>SUM(H56:H61)</f>
        <v>0.2069657</v>
      </c>
      <c r="I65" s="43"/>
      <c r="J65" s="310">
        <f>SUM(J56:J61)</f>
        <v>0.13603380000000001</v>
      </c>
      <c r="K65" s="892"/>
      <c r="L65" s="894">
        <f>SUM(L56:L61)</f>
        <v>4.1482167196583335</v>
      </c>
      <c r="M65" s="892"/>
      <c r="N65" s="894">
        <f>SUM(N56:N61)</f>
        <v>0.21750809603004292</v>
      </c>
      <c r="O65" s="43"/>
      <c r="P65" s="310">
        <f>SUM(P56:P61)</f>
        <v>5.8199387805049206E-2</v>
      </c>
      <c r="Q65" s="840"/>
      <c r="R65" s="894">
        <f>SUM(R56:R61)</f>
        <v>4.8802194578414712E-2</v>
      </c>
      <c r="AE65" s="372">
        <f>SUM(AE56:AE61)</f>
        <v>0</v>
      </c>
    </row>
    <row r="66" spans="1:64" ht="15">
      <c r="A66" s="63" t="s">
        <v>45</v>
      </c>
      <c r="B66" s="45"/>
      <c r="C66" s="51"/>
      <c r="D66" s="340">
        <f>SUM(D64:D65)</f>
        <v>8.3033999999999997E-2</v>
      </c>
      <c r="F66" s="340">
        <f>SUM(F64:F65)</f>
        <v>0.17441579999999998</v>
      </c>
      <c r="H66" s="340">
        <f>SUM(H64:H65)</f>
        <v>0.80696570000000001</v>
      </c>
      <c r="I66" s="43"/>
      <c r="J66" s="340">
        <f>SUM(J64:J65)</f>
        <v>0.18047380000000002</v>
      </c>
      <c r="K66" s="892"/>
      <c r="L66" s="895">
        <f>SUM(L64:L65)</f>
        <v>4.1944355969716671</v>
      </c>
      <c r="M66" s="892"/>
      <c r="N66" s="895">
        <f>SUM(N64:N65)</f>
        <v>0.26576726689914165</v>
      </c>
      <c r="O66" s="43"/>
      <c r="P66" s="340">
        <f>SUM(P64:P65)</f>
        <v>0.28073051510291958</v>
      </c>
      <c r="Q66" s="840"/>
      <c r="R66" s="895">
        <f>SUM(R64:R65)</f>
        <v>0.61475237097259861</v>
      </c>
      <c r="AE66" s="731">
        <f>SUM(AE64:AE65)</f>
        <v>0</v>
      </c>
    </row>
    <row r="67" spans="1:64">
      <c r="A67" s="71"/>
      <c r="B67" s="72"/>
      <c r="C67" s="99"/>
      <c r="D67" s="72"/>
      <c r="E67" s="728"/>
      <c r="F67" s="74"/>
      <c r="G67" s="99"/>
      <c r="H67" s="72"/>
      <c r="I67" s="99"/>
      <c r="J67" s="72"/>
      <c r="K67" s="872"/>
      <c r="L67" s="873"/>
      <c r="M67" s="872"/>
      <c r="N67" s="873"/>
      <c r="O67" s="99"/>
      <c r="P67" s="72"/>
      <c r="Q67" s="872"/>
      <c r="R67" s="874"/>
      <c r="AK67" s="69"/>
    </row>
    <row r="68" spans="1:64">
      <c r="A68" s="39"/>
      <c r="E68" s="51"/>
      <c r="F68" s="76"/>
      <c r="AK68" s="69"/>
    </row>
    <row r="69" spans="1:64" ht="13.5" thickBot="1">
      <c r="F69" s="39"/>
      <c r="G69" s="39"/>
    </row>
    <row r="70" spans="1:64" ht="14.65" customHeight="1">
      <c r="A70" s="82" t="s">
        <v>269</v>
      </c>
      <c r="B70" s="1020"/>
      <c r="C70" s="1020"/>
      <c r="D70" s="1020"/>
      <c r="E70" s="93"/>
      <c r="F70" s="1020"/>
      <c r="G70" s="1020"/>
      <c r="H70" s="1021"/>
      <c r="AR70" s="937" t="s">
        <v>253</v>
      </c>
      <c r="AS70" s="922"/>
      <c r="AT70" s="922"/>
      <c r="AU70" s="922"/>
      <c r="AV70" s="922"/>
      <c r="AW70" s="922"/>
      <c r="AX70" s="922"/>
      <c r="AY70" s="922"/>
      <c r="AZ70" s="922"/>
      <c r="BA70" s="922"/>
      <c r="BB70" s="922"/>
      <c r="BC70" s="922"/>
      <c r="BD70" s="922"/>
      <c r="BE70" s="922"/>
      <c r="BF70" s="922"/>
      <c r="BG70" s="922"/>
      <c r="BH70" s="922"/>
      <c r="BI70" s="922"/>
      <c r="BJ70" s="922"/>
      <c r="BK70" s="922"/>
      <c r="BL70" s="923"/>
    </row>
    <row r="71" spans="1:64" ht="14.65" customHeight="1">
      <c r="A71" s="43"/>
      <c r="B71" s="199"/>
      <c r="C71" s="199"/>
      <c r="D71" s="199"/>
      <c r="E71" s="26"/>
      <c r="F71" s="199"/>
      <c r="G71" s="199"/>
      <c r="H71" s="283"/>
      <c r="AF71" s="240"/>
      <c r="AG71" s="240"/>
      <c r="AH71" s="819">
        <f>$AH$14*$AN71</f>
        <v>0</v>
      </c>
      <c r="AI71" s="826"/>
      <c r="AJ71" s="826"/>
      <c r="AK71" s="777"/>
      <c r="AL71" s="787" t="s">
        <v>79</v>
      </c>
      <c r="AM71" s="762" t="s">
        <v>80</v>
      </c>
      <c r="AN71" s="919">
        <v>0.7</v>
      </c>
      <c r="AR71" s="924"/>
      <c r="AS71" s="925"/>
      <c r="AT71" s="925"/>
      <c r="AU71" s="925"/>
      <c r="AV71" s="925"/>
      <c r="AW71" s="925"/>
      <c r="AX71" s="925"/>
      <c r="AY71" s="925"/>
      <c r="AZ71" s="925" t="s">
        <v>159</v>
      </c>
      <c r="BA71" s="841" t="e">
        <f>($B$78+$B$80+$B$82+#REF!-$B$88)/$B$27*$B$26</f>
        <v>#REF!</v>
      </c>
      <c r="BB71" s="841" t="e">
        <f>($B$78+$B$80+$B$82+#REF!-$B$88)/$B$27*($E$26+$H$26)</f>
        <v>#REF!</v>
      </c>
      <c r="BC71" s="841"/>
      <c r="BD71" s="841"/>
      <c r="BE71" s="841"/>
      <c r="BF71" s="841"/>
      <c r="BG71" s="841"/>
      <c r="BH71" s="841"/>
      <c r="BI71" s="841" t="e">
        <f>SUM(BA71:BB71)</f>
        <v>#REF!</v>
      </c>
      <c r="BJ71" s="926"/>
      <c r="BK71" s="927"/>
      <c r="BL71" s="928"/>
    </row>
    <row r="72" spans="1:64" ht="14.65" customHeight="1">
      <c r="A72" s="48"/>
      <c r="B72" s="26"/>
      <c r="C72" s="26"/>
      <c r="D72" s="26"/>
      <c r="E72" s="26"/>
      <c r="F72" s="26"/>
      <c r="G72" s="26"/>
      <c r="H72" s="79"/>
      <c r="AF72" s="269"/>
      <c r="AG72" s="269"/>
      <c r="AH72" s="821">
        <f>$AH$14*$AN72</f>
        <v>0</v>
      </c>
      <c r="AI72" s="826"/>
      <c r="AJ72" s="826"/>
      <c r="AK72" s="777"/>
      <c r="AL72" s="787" t="s">
        <v>81</v>
      </c>
      <c r="AM72" s="762" t="s">
        <v>82</v>
      </c>
      <c r="AN72" s="919">
        <v>0.3</v>
      </c>
      <c r="AR72" s="924"/>
      <c r="AS72" s="925"/>
      <c r="AT72" s="925"/>
      <c r="AU72" s="925"/>
      <c r="AV72" s="925"/>
      <c r="AW72" s="925"/>
      <c r="AX72" s="925"/>
      <c r="AY72" s="925"/>
      <c r="AZ72" s="925" t="s">
        <v>109</v>
      </c>
      <c r="BA72" s="929">
        <v>0</v>
      </c>
      <c r="BB72" s="929" t="e">
        <f>($B$79+$B$81+$B$84)/$E$26*($E$26+$H$26)</f>
        <v>#DIV/0!</v>
      </c>
      <c r="BC72" s="929"/>
      <c r="BD72" s="929"/>
      <c r="BE72" s="929"/>
      <c r="BF72" s="929"/>
      <c r="BG72" s="929"/>
      <c r="BH72" s="929"/>
      <c r="BI72" s="929" t="e">
        <f>SUM(BA72:BB72)</f>
        <v>#DIV/0!</v>
      </c>
      <c r="BJ72" s="926"/>
      <c r="BK72" s="927"/>
      <c r="BL72" s="928"/>
    </row>
    <row r="73" spans="1:64" ht="14.65" customHeight="1" thickBot="1">
      <c r="A73" s="48"/>
      <c r="B73" s="26"/>
      <c r="C73" s="26"/>
      <c r="D73" s="26"/>
      <c r="E73" s="26"/>
      <c r="F73" s="26"/>
      <c r="G73" s="26"/>
      <c r="H73" s="81"/>
      <c r="I73" s="372"/>
      <c r="AF73" s="235"/>
      <c r="AG73" s="235"/>
      <c r="AH73" s="784">
        <f>SUM(AH71:AH72)</f>
        <v>0</v>
      </c>
      <c r="AI73" s="827"/>
      <c r="AJ73" s="827"/>
      <c r="AK73" s="777" t="s">
        <v>19</v>
      </c>
      <c r="AL73" s="824" t="s">
        <v>20</v>
      </c>
      <c r="AM73" s="825" t="s">
        <v>107</v>
      </c>
      <c r="AN73" s="820"/>
      <c r="AR73" s="930" t="e">
        <f>$BJ$73*BK73*$B$26</f>
        <v>#REF!</v>
      </c>
      <c r="AS73" s="931" t="e">
        <f>$BJ$73*BL73*($E$26+$H$26)</f>
        <v>#REF!</v>
      </c>
      <c r="AT73" s="931"/>
      <c r="AU73" s="931"/>
      <c r="AV73" s="931"/>
      <c r="AW73" s="931"/>
      <c r="AX73" s="931"/>
      <c r="AY73" s="931"/>
      <c r="AZ73" s="932" t="e">
        <f>SUM(AR73:AS73)</f>
        <v>#REF!</v>
      </c>
      <c r="BA73" s="933" t="e">
        <f>SUM(BA71:BA72)</f>
        <v>#REF!</v>
      </c>
      <c r="BB73" s="933" t="e">
        <f>SUM(BB71:BB72)</f>
        <v>#REF!</v>
      </c>
      <c r="BC73" s="933"/>
      <c r="BD73" s="933"/>
      <c r="BE73" s="933"/>
      <c r="BF73" s="933"/>
      <c r="BG73" s="933"/>
      <c r="BH73" s="933"/>
      <c r="BI73" s="933" t="e">
        <f>SUM(BI71:BI72)</f>
        <v>#REF!</v>
      </c>
      <c r="BJ73" s="934">
        <f>$BG$14</f>
        <v>0</v>
      </c>
      <c r="BK73" s="935" t="e">
        <f>BA73/$B$26</f>
        <v>#REF!</v>
      </c>
      <c r="BL73" s="936" t="e">
        <f>BB73/($E$26+$H$26)</f>
        <v>#REF!</v>
      </c>
    </row>
    <row r="74" spans="1:64" ht="14.65" customHeight="1">
      <c r="A74" s="48"/>
      <c r="B74" s="26"/>
      <c r="C74" s="26"/>
      <c r="D74" s="26"/>
      <c r="E74" s="26"/>
      <c r="F74" s="26"/>
      <c r="G74" s="26"/>
      <c r="H74" s="211"/>
      <c r="AH74" s="786"/>
      <c r="AI74" s="786"/>
      <c r="AJ74" s="786"/>
      <c r="AK74" s="771"/>
      <c r="AL74" s="786"/>
      <c r="AM74" s="786"/>
      <c r="AN74" s="786"/>
      <c r="AR74" s="937" t="s">
        <v>254</v>
      </c>
      <c r="AS74" s="922"/>
      <c r="AT74" s="922"/>
      <c r="AU74" s="922"/>
      <c r="AV74" s="922"/>
      <c r="AW74" s="922"/>
      <c r="AX74" s="922"/>
      <c r="AY74" s="922"/>
      <c r="AZ74" s="922"/>
      <c r="BA74" s="922"/>
      <c r="BB74" s="922"/>
      <c r="BC74" s="922"/>
      <c r="BD74" s="922"/>
      <c r="BE74" s="922"/>
      <c r="BF74" s="922"/>
      <c r="BG74" s="922"/>
      <c r="BH74" s="922"/>
      <c r="BI74" s="922"/>
      <c r="BJ74" s="922"/>
      <c r="BK74" s="922"/>
      <c r="BL74" s="923"/>
    </row>
    <row r="75" spans="1:64" ht="14.65" customHeight="1">
      <c r="A75" s="43"/>
      <c r="H75" s="45"/>
      <c r="AF75" s="240"/>
      <c r="AG75" s="240"/>
      <c r="AH75" s="819">
        <f>$AH$15*$AN75</f>
        <v>0</v>
      </c>
      <c r="AI75" s="826"/>
      <c r="AJ75" s="826"/>
      <c r="AK75" s="777"/>
      <c r="AL75" s="787" t="s">
        <v>83</v>
      </c>
      <c r="AM75" s="762" t="s">
        <v>84</v>
      </c>
      <c r="AN75" s="919">
        <v>0.7</v>
      </c>
      <c r="AR75" s="924"/>
      <c r="AS75" s="925"/>
      <c r="AT75" s="925"/>
      <c r="AU75" s="925"/>
      <c r="AV75" s="925"/>
      <c r="AW75" s="925"/>
      <c r="AX75" s="925"/>
      <c r="AY75" s="925"/>
      <c r="AZ75" s="925" t="s">
        <v>159</v>
      </c>
      <c r="BA75" s="841" t="e">
        <f>($F$78+$F$80+$F$82+$F$86-$F$88)/$B$27*$B$26</f>
        <v>#DIV/0!</v>
      </c>
      <c r="BB75" s="841" t="e">
        <f>($F$78+$F$80+$F$82+$F$86-$F$88)/$B$27*($E$26+$H$26)</f>
        <v>#DIV/0!</v>
      </c>
      <c r="BC75" s="841"/>
      <c r="BD75" s="841"/>
      <c r="BE75" s="841"/>
      <c r="BF75" s="841"/>
      <c r="BG75" s="841"/>
      <c r="BH75" s="841"/>
      <c r="BI75" s="841" t="e">
        <f>SUM(BA75:BB75)</f>
        <v>#DIV/0!</v>
      </c>
      <c r="BJ75" s="926"/>
      <c r="BK75" s="927"/>
      <c r="BL75" s="928"/>
    </row>
    <row r="76" spans="1:64" ht="14.65" customHeight="1">
      <c r="A76" s="48"/>
      <c r="B76" s="1017"/>
      <c r="C76" s="1017"/>
      <c r="D76" s="1017"/>
      <c r="F76" s="1017"/>
      <c r="G76" s="1017"/>
      <c r="H76" s="1018"/>
      <c r="AF76" s="269"/>
      <c r="AG76" s="269"/>
      <c r="AH76" s="821">
        <f>$AH$15*$AN76</f>
        <v>0</v>
      </c>
      <c r="AI76" s="826"/>
      <c r="AJ76" s="826"/>
      <c r="AK76" s="777"/>
      <c r="AL76" s="787" t="s">
        <v>85</v>
      </c>
      <c r="AM76" s="762" t="s">
        <v>86</v>
      </c>
      <c r="AN76" s="919">
        <v>0.3</v>
      </c>
      <c r="AR76" s="924"/>
      <c r="AS76" s="925"/>
      <c r="AT76" s="925"/>
      <c r="AU76" s="925"/>
      <c r="AV76" s="925"/>
      <c r="AW76" s="925"/>
      <c r="AX76" s="925"/>
      <c r="AY76" s="925"/>
      <c r="AZ76" s="925" t="s">
        <v>109</v>
      </c>
      <c r="BA76" s="929">
        <v>0</v>
      </c>
      <c r="BB76" s="929" t="e">
        <f>($F$79+$F$81+$F$84)/$E$26*($E$26+$H$26)</f>
        <v>#VALUE!</v>
      </c>
      <c r="BC76" s="929"/>
      <c r="BD76" s="929"/>
      <c r="BE76" s="929"/>
      <c r="BF76" s="929"/>
      <c r="BG76" s="929"/>
      <c r="BH76" s="929"/>
      <c r="BI76" s="929" t="e">
        <f>SUM(BA76:BB76)</f>
        <v>#VALUE!</v>
      </c>
      <c r="BJ76" s="926"/>
      <c r="BK76" s="927"/>
      <c r="BL76" s="928"/>
    </row>
    <row r="77" spans="1:64" ht="14.65" customHeight="1" thickBot="1">
      <c r="A77" s="48"/>
      <c r="B77" t="s">
        <v>565</v>
      </c>
      <c r="C77" t="s">
        <v>566</v>
      </c>
      <c r="D77" t="s">
        <v>567</v>
      </c>
      <c r="E77" t="s">
        <v>568</v>
      </c>
      <c r="F77" s="959" t="s">
        <v>332</v>
      </c>
      <c r="G77" s="959" t="s">
        <v>569</v>
      </c>
      <c r="H77" s="960" t="s">
        <v>570</v>
      </c>
      <c r="I77" s="52"/>
      <c r="AF77" s="235"/>
      <c r="AG77" s="235"/>
      <c r="AH77" s="784">
        <f>SUM(AH75:AH76)</f>
        <v>0</v>
      </c>
      <c r="AI77" s="827"/>
      <c r="AJ77" s="827"/>
      <c r="AK77" s="777" t="s">
        <v>19</v>
      </c>
      <c r="AL77" s="824" t="s">
        <v>22</v>
      </c>
      <c r="AM77" s="825" t="s">
        <v>107</v>
      </c>
      <c r="AN77" s="820"/>
      <c r="AR77" s="930" t="e">
        <f>$BJ$77*BK77*$B$26</f>
        <v>#DIV/0!</v>
      </c>
      <c r="AS77" s="931" t="e">
        <f>$BJ$77*BL77*($E$26+$H$26)</f>
        <v>#DIV/0!</v>
      </c>
      <c r="AT77" s="931"/>
      <c r="AU77" s="931"/>
      <c r="AV77" s="931"/>
      <c r="AW77" s="931"/>
      <c r="AX77" s="931"/>
      <c r="AY77" s="931"/>
      <c r="AZ77" s="932" t="e">
        <f>SUM(AR77:AS77)</f>
        <v>#DIV/0!</v>
      </c>
      <c r="BA77" s="933" t="e">
        <f>SUM(BA75:BA76)</f>
        <v>#DIV/0!</v>
      </c>
      <c r="BB77" s="933" t="e">
        <f>SUM(BB75:BB76)</f>
        <v>#DIV/0!</v>
      </c>
      <c r="BC77" s="933"/>
      <c r="BD77" s="933"/>
      <c r="BE77" s="933"/>
      <c r="BF77" s="933"/>
      <c r="BG77" s="933"/>
      <c r="BH77" s="933"/>
      <c r="BI77" s="933" t="e">
        <f>SUM(BI75:BI76)</f>
        <v>#DIV/0!</v>
      </c>
      <c r="BJ77" s="934">
        <f>$BG$15</f>
        <v>0</v>
      </c>
      <c r="BK77" s="935" t="e">
        <f>BA77/$B$26</f>
        <v>#DIV/0!</v>
      </c>
      <c r="BL77" s="936" t="e">
        <f>BB77/($E$26+$H$26)</f>
        <v>#DIV/0!</v>
      </c>
    </row>
    <row r="78" spans="1:64" ht="14.65" customHeight="1">
      <c r="A78" s="961" t="s">
        <v>18</v>
      </c>
      <c r="B78" s="962">
        <v>231312.9</v>
      </c>
      <c r="C78" s="962">
        <v>229610.56</v>
      </c>
      <c r="D78" s="962">
        <v>285430.3</v>
      </c>
      <c r="E78" s="962">
        <v>270512.12</v>
      </c>
      <c r="F78" s="963">
        <v>206981.29</v>
      </c>
      <c r="G78" s="963">
        <v>189320.29</v>
      </c>
      <c r="H78" s="964">
        <v>222304.29</v>
      </c>
      <c r="I78" s="26"/>
      <c r="AF78"/>
      <c r="AG78"/>
      <c r="AH78" s="828"/>
      <c r="AI78" s="829"/>
      <c r="AJ78" s="829"/>
      <c r="AK78" s="830"/>
      <c r="AL78" s="829"/>
      <c r="AM78" s="831"/>
      <c r="AN78" s="828"/>
      <c r="AO78" s="260" t="s">
        <v>550</v>
      </c>
      <c r="AP78" s="131"/>
      <c r="AQ78" s="131"/>
      <c r="AR78" s="131"/>
      <c r="AS78" s="131"/>
      <c r="AT78" s="131"/>
      <c r="AU78" s="131"/>
      <c r="AV78" s="131"/>
      <c r="AW78" s="131"/>
      <c r="AX78" s="162"/>
    </row>
    <row r="79" spans="1:64" ht="14.65" customHeight="1">
      <c r="A79" s="961" t="s">
        <v>47</v>
      </c>
      <c r="B79" s="962">
        <v>46297.03</v>
      </c>
      <c r="C79" s="962">
        <v>54769.68</v>
      </c>
      <c r="D79" s="962">
        <v>76487.820000000007</v>
      </c>
      <c r="E79" s="962">
        <v>65800.98</v>
      </c>
      <c r="F79" s="963">
        <v>61521.11</v>
      </c>
      <c r="G79" s="963">
        <v>75465.61</v>
      </c>
      <c r="H79" s="964">
        <v>77901.19</v>
      </c>
      <c r="I79" s="26"/>
      <c r="AF79" s="240"/>
      <c r="AG79" s="240"/>
      <c r="AH79" s="819">
        <f t="shared" ref="AH79:AH85" si="41">$AH$16*$AN79</f>
        <v>0</v>
      </c>
      <c r="AI79" s="826"/>
      <c r="AJ79" s="826"/>
      <c r="AK79" s="782"/>
      <c r="AL79" s="787" t="s">
        <v>87</v>
      </c>
      <c r="AM79" s="762" t="s">
        <v>88</v>
      </c>
      <c r="AN79" s="820">
        <f>AO79/$AO$86</f>
        <v>0.18435254455515623</v>
      </c>
      <c r="AO79" s="143">
        <v>94156.32</v>
      </c>
      <c r="AP79" s="133"/>
      <c r="AQ79" s="133"/>
      <c r="AR79" s="133"/>
      <c r="AS79" s="133"/>
      <c r="AT79" s="133"/>
      <c r="AU79" s="133"/>
      <c r="AV79" s="133"/>
      <c r="AW79" s="133"/>
      <c r="AX79" s="143"/>
      <c r="BG79" s="240"/>
      <c r="BH79" s="240"/>
    </row>
    <row r="80" spans="1:64" ht="14.65" customHeight="1">
      <c r="A80" s="961" t="s">
        <v>353</v>
      </c>
      <c r="B80" s="962">
        <v>70295.960000000006</v>
      </c>
      <c r="C80" s="962">
        <v>66308.38</v>
      </c>
      <c r="D80" s="962">
        <v>77548.14</v>
      </c>
      <c r="E80" s="962">
        <v>76254.47</v>
      </c>
      <c r="F80" s="963">
        <v>84379.95</v>
      </c>
      <c r="G80" s="963">
        <v>64019.88</v>
      </c>
      <c r="H80" s="964">
        <v>64580.93</v>
      </c>
      <c r="I80" s="26"/>
      <c r="AF80" s="240"/>
      <c r="AG80" s="240"/>
      <c r="AH80" s="819">
        <f t="shared" si="41"/>
        <v>0</v>
      </c>
      <c r="AI80" s="826"/>
      <c r="AJ80" s="826"/>
      <c r="AK80" s="782"/>
      <c r="AL80" s="787" t="s">
        <v>89</v>
      </c>
      <c r="AM80" s="762" t="s">
        <v>90</v>
      </c>
      <c r="AN80" s="820">
        <f>AO80/$AO$86</f>
        <v>9.9466255420682756E-2</v>
      </c>
      <c r="AO80" s="143">
        <v>50801.45</v>
      </c>
      <c r="AP80" s="133"/>
      <c r="AQ80" s="133"/>
      <c r="AR80" s="133"/>
      <c r="AS80" s="133"/>
      <c r="AT80" s="133"/>
      <c r="AU80" s="133"/>
      <c r="AV80" s="133"/>
      <c r="AW80" s="133"/>
      <c r="AX80" s="143"/>
      <c r="BG80" s="240"/>
      <c r="BH80" s="240"/>
    </row>
    <row r="81" spans="1:64" ht="14.65" customHeight="1">
      <c r="A81" s="450" t="s">
        <v>571</v>
      </c>
      <c r="B81" s="962">
        <v>42351</v>
      </c>
      <c r="C81" s="962">
        <v>46279</v>
      </c>
      <c r="D81" s="962">
        <v>42944</v>
      </c>
      <c r="E81" s="962">
        <v>54316</v>
      </c>
      <c r="F81" s="963">
        <v>33117</v>
      </c>
      <c r="G81" s="963">
        <v>17619</v>
      </c>
      <c r="H81" s="964">
        <v>35008</v>
      </c>
      <c r="I81" s="26"/>
      <c r="AF81" s="240"/>
      <c r="AG81" s="240"/>
      <c r="AH81" s="819">
        <f t="shared" si="41"/>
        <v>0</v>
      </c>
      <c r="AI81" s="826"/>
      <c r="AJ81" s="826"/>
      <c r="AK81" s="782"/>
      <c r="AL81" s="787" t="s">
        <v>91</v>
      </c>
      <c r="AM81" s="762" t="s">
        <v>92</v>
      </c>
      <c r="AN81" s="820">
        <f>AO81/$AO$86</f>
        <v>6.7696073867641787E-2</v>
      </c>
      <c r="AO81" s="143">
        <v>34575.129999999997</v>
      </c>
      <c r="AP81" s="133"/>
      <c r="AQ81" s="133"/>
      <c r="AR81" s="133"/>
      <c r="AS81" s="133"/>
      <c r="AT81" s="133"/>
      <c r="AU81" s="133"/>
      <c r="AV81" s="133"/>
      <c r="AW81" s="918"/>
      <c r="AX81" s="143"/>
      <c r="BG81" s="240"/>
      <c r="BH81" s="240"/>
    </row>
    <row r="82" spans="1:64" ht="14.65" customHeight="1">
      <c r="A82" s="450" t="s">
        <v>572</v>
      </c>
      <c r="B82" s="965">
        <f>B80/(B78+B79-B81)</f>
        <v>0.29880251516913731</v>
      </c>
      <c r="C82" s="965">
        <f t="shared" ref="C82:H82" si="42">C80/(C78+C79-C81)</f>
        <v>0.27848817587006269</v>
      </c>
      <c r="D82" s="965">
        <f t="shared" si="42"/>
        <v>0.24311734130656118</v>
      </c>
      <c r="E82" s="965">
        <f t="shared" si="42"/>
        <v>0.27040870278453222</v>
      </c>
      <c r="F82" s="966">
        <f t="shared" si="42"/>
        <v>0.35847571684564966</v>
      </c>
      <c r="G82" s="966">
        <f t="shared" si="42"/>
        <v>0.25901477908247422</v>
      </c>
      <c r="H82" s="967">
        <f t="shared" si="42"/>
        <v>0.24352014958814844</v>
      </c>
      <c r="I82" s="26"/>
      <c r="AF82" s="240"/>
      <c r="AG82" s="240"/>
      <c r="AH82" s="819">
        <f t="shared" si="41"/>
        <v>0</v>
      </c>
      <c r="AI82" s="826"/>
      <c r="AJ82" s="826"/>
      <c r="AK82" s="782"/>
      <c r="AL82" s="787" t="s">
        <v>93</v>
      </c>
      <c r="AM82" s="762" t="s">
        <v>94</v>
      </c>
      <c r="AN82" s="820">
        <f>AO82/$AO$86</f>
        <v>0.31666105227008118</v>
      </c>
      <c r="AO82" s="143">
        <v>161731.64000000001</v>
      </c>
      <c r="AP82" s="133"/>
      <c r="AQ82" s="133"/>
      <c r="AR82" s="133"/>
      <c r="AS82" s="133"/>
      <c r="AT82" s="133"/>
      <c r="AU82" s="133"/>
      <c r="AV82" s="133"/>
      <c r="AW82" s="133"/>
      <c r="AX82" s="143"/>
      <c r="BG82" s="240"/>
      <c r="BH82" s="240"/>
    </row>
    <row r="83" spans="1:64" ht="14.65" customHeight="1">
      <c r="A83" s="450"/>
      <c r="B83" s="965"/>
      <c r="C83" s="965"/>
      <c r="D83" s="965"/>
      <c r="E83" s="965"/>
      <c r="F83" s="965"/>
      <c r="G83" s="965"/>
      <c r="H83" s="968"/>
      <c r="I83" s="26"/>
      <c r="AF83" s="240"/>
      <c r="AG83" s="240"/>
      <c r="AH83" s="819"/>
      <c r="AI83" s="826"/>
      <c r="AJ83" s="826"/>
      <c r="AK83" s="782"/>
      <c r="AL83" s="787"/>
      <c r="AM83" s="762"/>
      <c r="AN83" s="820"/>
      <c r="AO83" s="143"/>
      <c r="AP83" s="133"/>
      <c r="AQ83" s="133"/>
      <c r="AR83" s="133"/>
      <c r="AS83" s="133"/>
      <c r="AT83" s="133"/>
      <c r="AU83" s="133"/>
      <c r="AV83" s="133"/>
      <c r="AW83" s="133"/>
      <c r="AX83" s="143"/>
      <c r="BG83" s="240"/>
      <c r="BH83" s="240"/>
    </row>
    <row r="84" spans="1:64" ht="14.65" customHeight="1">
      <c r="A84" s="48"/>
      <c r="B84" s="49"/>
      <c r="C84" s="90"/>
      <c r="D84" s="78" t="s">
        <v>579</v>
      </c>
      <c r="E84" s="163"/>
      <c r="F84" s="49" t="s">
        <v>580</v>
      </c>
      <c r="G84" s="90"/>
      <c r="H84" s="79"/>
      <c r="I84" s="26"/>
      <c r="AF84" s="240"/>
      <c r="AG84" s="240"/>
      <c r="AH84" s="819">
        <f t="shared" si="41"/>
        <v>0</v>
      </c>
      <c r="AI84" s="826"/>
      <c r="AJ84" s="826"/>
      <c r="AK84" s="782"/>
      <c r="AL84" s="787" t="s">
        <v>95</v>
      </c>
      <c r="AM84" s="762" t="s">
        <v>96</v>
      </c>
      <c r="AN84" s="820">
        <f>AO84/$AO$86</f>
        <v>0.29782561811471592</v>
      </c>
      <c r="AO84" s="143">
        <v>152111.62</v>
      </c>
      <c r="AP84" s="133"/>
      <c r="AQ84" s="133"/>
      <c r="AR84" s="133"/>
      <c r="AS84" s="133"/>
      <c r="AT84" s="133"/>
      <c r="AU84" s="133"/>
      <c r="AV84" s="133"/>
      <c r="AW84" s="133"/>
      <c r="AX84" s="143"/>
      <c r="BG84" s="240"/>
      <c r="BH84" s="240"/>
    </row>
    <row r="85" spans="1:64" ht="14.65" customHeight="1">
      <c r="A85" s="961" t="s">
        <v>573</v>
      </c>
      <c r="B85" s="954">
        <v>31</v>
      </c>
      <c r="C85" s="80"/>
      <c r="D85" s="167">
        <f>(AVERAGE((F78-F81),(G78-G81),(H78-H81)))/31</f>
        <v>5729.6975268817205</v>
      </c>
      <c r="E85" s="163"/>
      <c r="F85" s="955">
        <f>D85*B85</f>
        <v>177620.62333333332</v>
      </c>
      <c r="G85" s="80"/>
      <c r="H85" s="45"/>
      <c r="I85" s="26"/>
      <c r="AF85" s="269"/>
      <c r="AG85" s="269"/>
      <c r="AH85" s="821">
        <f t="shared" si="41"/>
        <v>0</v>
      </c>
      <c r="AI85" s="826"/>
      <c r="AJ85" s="826"/>
      <c r="AK85" s="782"/>
      <c r="AL85" s="787" t="s">
        <v>97</v>
      </c>
      <c r="AM85" s="762" t="s">
        <v>98</v>
      </c>
      <c r="AN85" s="822">
        <f>AO85/$AO$86</f>
        <v>3.3998455771722058E-2</v>
      </c>
      <c r="AO85" s="161">
        <v>17364.39</v>
      </c>
      <c r="AP85" s="133"/>
      <c r="AQ85" s="133"/>
      <c r="AR85" s="133"/>
      <c r="AS85" s="133"/>
      <c r="AT85" s="133"/>
      <c r="AU85" s="133"/>
      <c r="AV85" s="133"/>
      <c r="AW85" s="133"/>
      <c r="AX85" s="161"/>
      <c r="BG85" s="240"/>
      <c r="BH85" s="240"/>
    </row>
    <row r="86" spans="1:64" ht="14.65" customHeight="1">
      <c r="A86" s="961" t="s">
        <v>574</v>
      </c>
      <c r="B86" s="954">
        <v>12</v>
      </c>
      <c r="C86" s="208"/>
      <c r="D86" s="167">
        <f>AVERAGE($F$79:$H$79)/12</f>
        <v>5969.1086111111108</v>
      </c>
      <c r="E86" s="163"/>
      <c r="F86" s="955">
        <f>D86*B86</f>
        <v>71629.30333333333</v>
      </c>
      <c r="G86" s="952"/>
      <c r="H86" s="45"/>
      <c r="I86" s="163"/>
      <c r="AF86" s="235"/>
      <c r="AG86" s="235"/>
      <c r="AH86" s="784">
        <f>SUM(AH79:AH85)</f>
        <v>0</v>
      </c>
      <c r="AI86" s="827"/>
      <c r="AJ86" s="827"/>
      <c r="AK86" s="777" t="s">
        <v>19</v>
      </c>
      <c r="AL86" s="824" t="s">
        <v>24</v>
      </c>
      <c r="AM86" s="825" t="s">
        <v>107</v>
      </c>
      <c r="AN86" s="820">
        <f>SUM(AN79:AN85)</f>
        <v>1</v>
      </c>
      <c r="AO86" s="259">
        <f>SUM(AO79:AO85)</f>
        <v>510740.55000000005</v>
      </c>
      <c r="AP86"/>
      <c r="AQ86"/>
      <c r="AR86"/>
      <c r="AS86"/>
      <c r="AT86"/>
      <c r="AU86"/>
      <c r="AV86"/>
      <c r="AW86"/>
      <c r="AX86" s="160"/>
      <c r="BG86" s="241"/>
      <c r="BH86" s="241"/>
    </row>
    <row r="87" spans="1:64" ht="14.65" customHeight="1">
      <c r="A87" s="176"/>
      <c r="B87" s="165"/>
      <c r="C87" s="166"/>
      <c r="D87" s="169"/>
      <c r="E87" s="163"/>
      <c r="F87" s="956"/>
      <c r="G87" s="196"/>
      <c r="H87" s="164"/>
    </row>
    <row r="88" spans="1:64" ht="14.65" customHeight="1">
      <c r="A88" s="141" t="s">
        <v>575</v>
      </c>
      <c r="B88" s="165">
        <v>12</v>
      </c>
      <c r="C88" s="166"/>
      <c r="D88" s="167">
        <f>(AVERAGE((F78-F81),(G78-G81),(H78-H81)))/31</f>
        <v>5729.6975268817205</v>
      </c>
      <c r="E88" s="163"/>
      <c r="F88" s="955">
        <f>D88*B88</f>
        <v>68756.370322580653</v>
      </c>
      <c r="G88" s="40"/>
      <c r="H88" s="164"/>
    </row>
    <row r="89" spans="1:64" ht="14.65" customHeight="1">
      <c r="A89" s="141" t="s">
        <v>576</v>
      </c>
      <c r="B89" s="165">
        <v>2</v>
      </c>
      <c r="C89" s="166"/>
      <c r="D89" s="167">
        <f>AVERAGE($F$79:$H$79)/12</f>
        <v>5969.1086111111108</v>
      </c>
      <c r="E89" s="163"/>
      <c r="F89" s="955">
        <f>D89*B89</f>
        <v>11938.217222222222</v>
      </c>
      <c r="G89" s="196"/>
      <c r="H89" s="197"/>
    </row>
    <row r="90" spans="1:64" ht="14.65" customHeight="1" thickBot="1">
      <c r="A90" s="48"/>
      <c r="B90" s="59"/>
      <c r="F90" s="957"/>
      <c r="H90" s="45"/>
    </row>
    <row r="91" spans="1:64" ht="14.65" customHeight="1">
      <c r="A91" s="48" t="s">
        <v>577</v>
      </c>
      <c r="B91" s="49">
        <f>B85+B88</f>
        <v>43</v>
      </c>
      <c r="C91" s="80"/>
      <c r="D91" s="167">
        <f>(AVERAGE((F78-F81),(G78-G81),(H78-H81)))/31</f>
        <v>5729.6975268817205</v>
      </c>
      <c r="F91" s="974">
        <f>D91*B91</f>
        <v>246376.99365591398</v>
      </c>
      <c r="H91" s="45"/>
      <c r="AR91" s="937" t="s">
        <v>255</v>
      </c>
      <c r="AS91" s="922"/>
      <c r="AT91" s="922"/>
      <c r="AU91" s="922"/>
      <c r="AV91" s="922"/>
      <c r="AW91" s="922"/>
      <c r="AX91" s="922"/>
      <c r="AY91" s="922"/>
      <c r="AZ91" s="922"/>
      <c r="BA91" s="922"/>
      <c r="BB91" s="922"/>
      <c r="BC91" s="922"/>
      <c r="BD91" s="922"/>
      <c r="BE91" s="922"/>
      <c r="BF91" s="922"/>
      <c r="BG91" s="922"/>
      <c r="BH91" s="922"/>
      <c r="BI91" s="922"/>
      <c r="BJ91" s="922"/>
      <c r="BK91" s="922"/>
      <c r="BL91" s="923"/>
    </row>
    <row r="92" spans="1:64" ht="14.65" customHeight="1">
      <c r="A92" s="48" t="s">
        <v>578</v>
      </c>
      <c r="B92" s="49">
        <f>B86+B89</f>
        <v>14</v>
      </c>
      <c r="C92" s="208"/>
      <c r="D92" s="167">
        <f>AVERAGE($F$79:$H$79)/12</f>
        <v>5969.1086111111108</v>
      </c>
      <c r="F92" s="974">
        <f>D92*B92</f>
        <v>83567.520555555559</v>
      </c>
      <c r="H92" s="45"/>
      <c r="AR92" s="924"/>
      <c r="AS92" s="925"/>
      <c r="AT92" s="925"/>
      <c r="AU92" s="925"/>
      <c r="AV92" s="925"/>
      <c r="AW92" s="925"/>
      <c r="AX92" s="925"/>
      <c r="AY92" s="925"/>
      <c r="AZ92" s="925" t="s">
        <v>159</v>
      </c>
      <c r="BA92" s="841" t="e">
        <f>($B$78+$B$80+$B$82+#REF!-$B$88)/$B$27*$B$26</f>
        <v>#REF!</v>
      </c>
      <c r="BB92" s="841" t="e">
        <f>($B$78+$B$80+$B$82+#REF!-$B$88)/$B$27*($E$26+$H$26)</f>
        <v>#REF!</v>
      </c>
      <c r="BC92" s="841"/>
      <c r="BD92" s="841"/>
      <c r="BE92" s="841"/>
      <c r="BF92" s="841"/>
      <c r="BG92" s="841"/>
      <c r="BH92" s="841"/>
      <c r="BI92" s="841" t="e">
        <f>SUM(BA92:BB92)</f>
        <v>#REF!</v>
      </c>
      <c r="BJ92" s="926"/>
      <c r="BK92" s="927"/>
      <c r="BL92" s="928"/>
    </row>
    <row r="93" spans="1:64" ht="14.65" customHeight="1">
      <c r="A93" s="176" t="s">
        <v>571</v>
      </c>
      <c r="B93" s="49"/>
      <c r="C93" s="80"/>
      <c r="D93" s="207"/>
      <c r="F93" s="975">
        <v>0</v>
      </c>
      <c r="H93" s="45"/>
      <c r="AR93" s="924"/>
      <c r="AS93" s="925"/>
      <c r="AT93" s="925"/>
      <c r="AU93" s="925"/>
      <c r="AV93" s="925"/>
      <c r="AW93" s="925"/>
      <c r="AX93" s="925"/>
      <c r="AY93" s="925"/>
      <c r="AZ93" s="925" t="s">
        <v>109</v>
      </c>
      <c r="BA93" s="929">
        <v>0</v>
      </c>
      <c r="BB93" s="929" t="e">
        <f>($B$79+$B$81+$B$84)/($E$26+$H$26)*($E$26+$H$26)</f>
        <v>#DIV/0!</v>
      </c>
      <c r="BC93" s="929"/>
      <c r="BD93" s="929"/>
      <c r="BE93" s="929"/>
      <c r="BF93" s="929"/>
      <c r="BG93" s="929"/>
      <c r="BH93" s="929"/>
      <c r="BI93" s="929" t="e">
        <f>SUM(BA93:BB93)</f>
        <v>#DIV/0!</v>
      </c>
      <c r="BJ93" s="926"/>
      <c r="BK93" s="927"/>
      <c r="BL93" s="928"/>
    </row>
    <row r="94" spans="1:64" ht="14.65" customHeight="1" thickBot="1">
      <c r="A94" s="176" t="s">
        <v>353</v>
      </c>
      <c r="B94" s="147"/>
      <c r="C94" s="208"/>
      <c r="D94" s="168"/>
      <c r="F94" s="975">
        <f>(F91+F92)*0.29</f>
        <v>95683.909121326171</v>
      </c>
      <c r="H94" s="45"/>
      <c r="AR94" s="930" t="e">
        <f>$BJ$94*BK94*$B$26</f>
        <v>#REF!</v>
      </c>
      <c r="AS94" s="931" t="e">
        <f>$BJ$94*BL94*($E$26+$H$26)</f>
        <v>#REF!</v>
      </c>
      <c r="AT94" s="931"/>
      <c r="AU94" s="931"/>
      <c r="AV94" s="931"/>
      <c r="AW94" s="931"/>
      <c r="AX94" s="931"/>
      <c r="AY94" s="931"/>
      <c r="AZ94" s="932" t="e">
        <f>SUM(AR94:AS94)</f>
        <v>#REF!</v>
      </c>
      <c r="BA94" s="933" t="e">
        <f>SUM(BA92:BA93)</f>
        <v>#REF!</v>
      </c>
      <c r="BB94" s="933" t="e">
        <f>SUM(BB92:BB93)</f>
        <v>#REF!</v>
      </c>
      <c r="BC94" s="933"/>
      <c r="BD94" s="933"/>
      <c r="BE94" s="933"/>
      <c r="BF94" s="933"/>
      <c r="BG94" s="933"/>
      <c r="BH94" s="933"/>
      <c r="BI94" s="933" t="e">
        <f>SUM(BI92:BI93)</f>
        <v>#REF!</v>
      </c>
      <c r="BJ94" s="934">
        <f>$BG$16</f>
        <v>0</v>
      </c>
      <c r="BK94" s="935" t="e">
        <f>BA94/$B$26</f>
        <v>#REF!</v>
      </c>
      <c r="BL94" s="936" t="e">
        <f>BB94/($E$26+$H$26)</f>
        <v>#REF!</v>
      </c>
    </row>
    <row r="95" spans="1:64" ht="14.65" customHeight="1">
      <c r="A95" s="969"/>
      <c r="B95" s="970"/>
      <c r="C95" s="971"/>
      <c r="D95" s="972"/>
      <c r="E95" s="72"/>
      <c r="F95" s="72"/>
      <c r="G95" s="72"/>
      <c r="H95" s="75"/>
    </row>
    <row r="96" spans="1:64" ht="14.65" customHeight="1">
      <c r="A96" s="141"/>
      <c r="B96" s="165"/>
      <c r="C96" s="166"/>
      <c r="D96" s="169"/>
    </row>
    <row r="97" spans="1:50" ht="14.65" customHeight="1">
      <c r="A97" s="141"/>
      <c r="B97" s="165"/>
      <c r="C97" s="196"/>
      <c r="D97" s="169"/>
      <c r="E97" s="26"/>
      <c r="F97" s="26"/>
      <c r="G97" s="26"/>
      <c r="H97" s="26"/>
    </row>
    <row r="98" spans="1:50" ht="14.65" customHeight="1">
      <c r="A98" s="48"/>
      <c r="B98" s="26"/>
      <c r="C98" s="26"/>
      <c r="D98" s="299"/>
      <c r="E98" s="1009"/>
      <c r="F98" s="1009"/>
      <c r="G98" s="1009"/>
      <c r="H98" s="1009"/>
    </row>
    <row r="99" spans="1:50" ht="14.65" customHeight="1">
      <c r="A99" s="48"/>
      <c r="B99" s="26"/>
      <c r="C99" s="26"/>
      <c r="D99" s="299"/>
      <c r="E99" s="199"/>
      <c r="F99" s="199"/>
      <c r="G99" s="199"/>
      <c r="H99" s="953"/>
    </row>
    <row r="100" spans="1:50" ht="14.65" customHeight="1">
      <c r="A100" s="48"/>
      <c r="B100" s="26"/>
      <c r="C100" s="26"/>
      <c r="D100" s="299"/>
      <c r="E100" s="49"/>
      <c r="F100" s="102"/>
      <c r="G100" s="49"/>
      <c r="H100" s="204"/>
    </row>
    <row r="101" spans="1:50" ht="14.65" customHeight="1">
      <c r="A101" s="48"/>
      <c r="B101" s="26"/>
      <c r="C101" s="26"/>
      <c r="D101" s="299"/>
      <c r="E101" s="49"/>
      <c r="F101" s="102"/>
      <c r="G101" s="49"/>
      <c r="H101" s="204"/>
    </row>
    <row r="102" spans="1:50" ht="14.65" customHeight="1">
      <c r="A102" s="112"/>
      <c r="B102" s="26"/>
      <c r="C102" s="26"/>
      <c r="D102" s="299"/>
      <c r="E102" s="49"/>
      <c r="F102" s="102"/>
      <c r="G102" s="49"/>
      <c r="H102" s="204"/>
    </row>
    <row r="103" spans="1:50" ht="14.65" customHeight="1">
      <c r="D103" s="92"/>
      <c r="H103" s="92"/>
    </row>
    <row r="104" spans="1:50" ht="14.65" customHeight="1"/>
    <row r="105" spans="1:50" ht="14.65" customHeight="1">
      <c r="A105" s="82" t="s">
        <v>56</v>
      </c>
      <c r="B105" s="93"/>
      <c r="C105" s="93"/>
      <c r="D105" s="94"/>
      <c r="E105" s="94"/>
      <c r="F105" s="93"/>
      <c r="G105" s="93"/>
      <c r="H105" s="95"/>
    </row>
    <row r="106" spans="1:50" ht="15">
      <c r="A106" s="48"/>
      <c r="B106" s="147" t="s">
        <v>8</v>
      </c>
      <c r="C106" s="213" t="s">
        <v>207</v>
      </c>
      <c r="D106" s="213" t="s">
        <v>213</v>
      </c>
      <c r="F106" s="147" t="s">
        <v>5</v>
      </c>
      <c r="G106" s="213" t="s">
        <v>6</v>
      </c>
      <c r="H106" s="214" t="s">
        <v>214</v>
      </c>
    </row>
    <row r="107" spans="1:50" ht="15">
      <c r="A107" s="48"/>
      <c r="B107" s="49" t="s">
        <v>202</v>
      </c>
      <c r="C107" s="49">
        <f>IF(($B$120*($B$26+$K$26+$T$26+$W$26)+$F$120*($E$26+$H$26+$Q$26))*1000&lt;=0,($B$120*($B$26+$K$26+$T$26+$W$26)+$F$120*($E$26+$H$26+$Q$26))*1000,0)</f>
        <v>0</v>
      </c>
      <c r="D107" s="347"/>
      <c r="F107" s="49" t="s">
        <v>159</v>
      </c>
      <c r="G107" s="49">
        <f>(B113*($B$26+$K$26+$T$26+$W$26)+F113*($E$26+$H$26+$Q$26))*1000</f>
        <v>0</v>
      </c>
      <c r="H107" s="753">
        <v>0.1</v>
      </c>
      <c r="K107" s="65"/>
      <c r="L107" s="65"/>
      <c r="N107" s="65"/>
    </row>
    <row r="108" spans="1:50" ht="16.5">
      <c r="A108" s="48"/>
      <c r="B108" s="49" t="s">
        <v>203</v>
      </c>
      <c r="C108" s="147">
        <f>IF(C107&gt;=0,(((B117+B118+B119)*($B$26+$K$26+$T$26+$W$26)*1000)+((F117+F118+F119)*($E$26+$H$26+$Q$26)*1000))-0,0)</f>
        <v>0</v>
      </c>
      <c r="D108" s="347">
        <v>4.2</v>
      </c>
      <c r="F108" s="49" t="s">
        <v>109</v>
      </c>
      <c r="G108" s="147">
        <f>(B114*($B$26+$K$26+$T$26+$W$26)+F114*($E$26+$H$26+$Q$26))*1000</f>
        <v>0</v>
      </c>
      <c r="H108" s="753">
        <v>0.1</v>
      </c>
      <c r="L108" s="65"/>
    </row>
    <row r="109" spans="1:50">
      <c r="A109" s="48"/>
      <c r="B109" s="49"/>
      <c r="C109" s="49">
        <f>SUM(C107:C108)</f>
        <v>0</v>
      </c>
      <c r="D109" s="80" t="e">
        <f>(C107*D107+C108*D108)/C109</f>
        <v>#DIV/0!</v>
      </c>
      <c r="F109" s="49"/>
      <c r="G109" s="49">
        <f>SUM(G107:G108)</f>
        <v>0</v>
      </c>
      <c r="H109" s="173" t="e">
        <f>(G107*H107+G108*H108)/G109</f>
        <v>#DIV/0!</v>
      </c>
      <c r="J109" s="752"/>
      <c r="L109" s="65"/>
      <c r="M109" s="65"/>
    </row>
    <row r="110" spans="1:50">
      <c r="A110" s="43"/>
      <c r="C110" s="359"/>
      <c r="G110" s="359"/>
      <c r="H110" s="96"/>
      <c r="K110" s="65"/>
      <c r="L110" s="65"/>
    </row>
    <row r="111" spans="1:50">
      <c r="A111" s="48"/>
      <c r="B111" s="1023" t="s">
        <v>159</v>
      </c>
      <c r="C111" s="1023"/>
      <c r="D111" s="1023"/>
      <c r="F111" s="1023" t="s">
        <v>109</v>
      </c>
      <c r="G111" s="1023"/>
      <c r="H111" s="1024"/>
    </row>
    <row r="112" spans="1:50" ht="26.25">
      <c r="A112" s="48"/>
      <c r="B112" s="97" t="s">
        <v>152</v>
      </c>
      <c r="C112" s="13" t="s">
        <v>215</v>
      </c>
      <c r="D112" s="97" t="s">
        <v>153</v>
      </c>
      <c r="F112" s="97" t="s">
        <v>152</v>
      </c>
      <c r="G112" s="13" t="s">
        <v>215</v>
      </c>
      <c r="H112" s="101" t="s">
        <v>153</v>
      </c>
      <c r="AM112"/>
      <c r="AN112"/>
      <c r="AO112"/>
      <c r="AP112"/>
      <c r="AQ112"/>
      <c r="AR112"/>
      <c r="AS112"/>
      <c r="AT112"/>
      <c r="AU112"/>
      <c r="AV112"/>
      <c r="AW112"/>
      <c r="AX112" s="136"/>
    </row>
    <row r="113" spans="1:60" ht="15">
      <c r="A113" s="48" t="s">
        <v>204</v>
      </c>
      <c r="B113" s="843">
        <v>0.1696</v>
      </c>
      <c r="C113" s="172" t="e">
        <f>$H$109</f>
        <v>#DIV/0!</v>
      </c>
      <c r="D113" s="174" t="e">
        <f>B113*C113</f>
        <v>#DIV/0!</v>
      </c>
      <c r="F113" s="843"/>
      <c r="G113" s="172" t="e">
        <f>$H$109</f>
        <v>#DIV/0!</v>
      </c>
      <c r="H113" s="175" t="e">
        <f>F113*G113</f>
        <v>#DIV/0!</v>
      </c>
      <c r="K113" s="65"/>
      <c r="AK113" s="97"/>
      <c r="AM113"/>
      <c r="AN113"/>
      <c r="AO113"/>
      <c r="AP113"/>
      <c r="AQ113"/>
      <c r="AR113"/>
      <c r="AS113"/>
      <c r="AT113"/>
      <c r="AU113"/>
      <c r="AV113"/>
      <c r="AW113"/>
      <c r="AX113" s="136"/>
    </row>
    <row r="114" spans="1:60" ht="15">
      <c r="A114" s="48" t="s">
        <v>205</v>
      </c>
      <c r="B114" s="843">
        <v>0</v>
      </c>
      <c r="C114" s="172" t="e">
        <f>$H$109</f>
        <v>#DIV/0!</v>
      </c>
      <c r="D114" s="174" t="e">
        <f>B114*C114</f>
        <v>#DIV/0!</v>
      </c>
      <c r="F114" s="843">
        <v>0.76519999999999999</v>
      </c>
      <c r="G114" s="172" t="e">
        <f>$H$109</f>
        <v>#DIV/0!</v>
      </c>
      <c r="H114" s="175" t="e">
        <f>F114*G114</f>
        <v>#DIV/0!</v>
      </c>
      <c r="K114" s="835"/>
      <c r="AK114" s="266"/>
      <c r="AM114"/>
      <c r="AN114"/>
      <c r="AO114"/>
      <c r="AP114"/>
      <c r="AQ114"/>
      <c r="AR114"/>
      <c r="AS114"/>
      <c r="AT114"/>
      <c r="AU114"/>
      <c r="AV114"/>
      <c r="AW114"/>
      <c r="AX114" s="136"/>
      <c r="BH114" s="158"/>
    </row>
    <row r="115" spans="1:60" ht="15">
      <c r="A115" s="176" t="s">
        <v>210</v>
      </c>
      <c r="B115" s="222">
        <f>SUM(B113:B114)</f>
        <v>0.1696</v>
      </c>
      <c r="C115" s="223" t="e">
        <f>D115/B115</f>
        <v>#DIV/0!</v>
      </c>
      <c r="D115" s="224" t="e">
        <f>SUM(D113:D114)</f>
        <v>#DIV/0!</v>
      </c>
      <c r="F115" s="222">
        <f>SUM(F113:F114)</f>
        <v>0.76519999999999999</v>
      </c>
      <c r="G115" s="223" t="e">
        <f>H115/F115</f>
        <v>#DIV/0!</v>
      </c>
      <c r="H115" s="225" t="e">
        <f>SUM(H113:H114)</f>
        <v>#DIV/0!</v>
      </c>
      <c r="J115" s="65"/>
      <c r="K115" s="835"/>
      <c r="AK115" s="266"/>
      <c r="AM115"/>
      <c r="AN115"/>
      <c r="AO115"/>
      <c r="AP115"/>
      <c r="AQ115"/>
      <c r="AR115"/>
      <c r="AS115"/>
      <c r="AT115"/>
      <c r="AU115"/>
      <c r="AV115"/>
      <c r="AW115"/>
      <c r="AX115" s="136"/>
      <c r="BH115" s="158"/>
    </row>
    <row r="116" spans="1:60" ht="15">
      <c r="A116" s="176"/>
      <c r="B116" s="217"/>
      <c r="C116" s="221"/>
      <c r="D116" s="174"/>
      <c r="F116" s="217"/>
      <c r="G116" s="221"/>
      <c r="H116" s="175"/>
      <c r="K116" s="940"/>
      <c r="AK116" s="266"/>
      <c r="AM116"/>
      <c r="AN116"/>
      <c r="AO116"/>
      <c r="AP116"/>
      <c r="AQ116"/>
      <c r="AR116"/>
      <c r="AS116"/>
      <c r="AT116"/>
      <c r="AU116"/>
      <c r="AV116"/>
      <c r="AW116"/>
      <c r="AX116" s="136"/>
    </row>
    <row r="117" spans="1:60" ht="15">
      <c r="A117" s="48" t="s">
        <v>208</v>
      </c>
      <c r="B117" s="843">
        <f>0.0059/2</f>
        <v>2.9499999999999999E-3</v>
      </c>
      <c r="C117" s="212" t="e">
        <f>$D$109</f>
        <v>#DIV/0!</v>
      </c>
      <c r="D117" s="174" t="e">
        <f>B117*C117</f>
        <v>#DIV/0!</v>
      </c>
      <c r="F117" s="843">
        <f>0.0071/2</f>
        <v>3.5500000000000002E-3</v>
      </c>
      <c r="G117" s="212" t="e">
        <f>$D$109</f>
        <v>#DIV/0!</v>
      </c>
      <c r="H117" s="175" t="e">
        <f>F117*G117</f>
        <v>#DIV/0!</v>
      </c>
      <c r="K117" s="940"/>
      <c r="AK117" s="266"/>
      <c r="AM117"/>
      <c r="AN117"/>
      <c r="AO117"/>
      <c r="AP117"/>
      <c r="AQ117"/>
      <c r="AR117"/>
      <c r="AS117"/>
      <c r="AT117"/>
      <c r="AU117"/>
      <c r="AV117"/>
      <c r="AW117"/>
      <c r="AX117" s="136"/>
    </row>
    <row r="118" spans="1:60" ht="15">
      <c r="A118" s="48" t="s">
        <v>206</v>
      </c>
      <c r="B118" s="843">
        <f>0.0059/2</f>
        <v>2.9499999999999999E-3</v>
      </c>
      <c r="C118" s="212" t="e">
        <f>$D$109</f>
        <v>#DIV/0!</v>
      </c>
      <c r="D118" s="174" t="e">
        <f>B118*C118</f>
        <v>#DIV/0!</v>
      </c>
      <c r="F118" s="843">
        <v>0</v>
      </c>
      <c r="G118" s="212" t="e">
        <f>$D$109</f>
        <v>#DIV/0!</v>
      </c>
      <c r="H118" s="175" t="e">
        <f>F118*G118</f>
        <v>#DIV/0!</v>
      </c>
      <c r="J118" s="372"/>
      <c r="K118" s="941"/>
      <c r="AM118"/>
      <c r="AN118"/>
      <c r="AO118"/>
      <c r="AP118"/>
      <c r="AQ118"/>
      <c r="AR118"/>
      <c r="AS118"/>
      <c r="AT118"/>
      <c r="AU118"/>
      <c r="AV118"/>
      <c r="AW118"/>
      <c r="AX118" s="136"/>
    </row>
    <row r="119" spans="1:60" ht="15">
      <c r="A119" s="48" t="s">
        <v>209</v>
      </c>
      <c r="B119" s="346">
        <v>0</v>
      </c>
      <c r="C119" s="212" t="e">
        <f>$D$109</f>
        <v>#DIV/0!</v>
      </c>
      <c r="D119" s="219" t="e">
        <f>B119*C119</f>
        <v>#DIV/0!</v>
      </c>
      <c r="F119" s="843">
        <f>0.0071/2</f>
        <v>3.5500000000000002E-3</v>
      </c>
      <c r="G119" s="212" t="e">
        <f>$D$109</f>
        <v>#DIV/0!</v>
      </c>
      <c r="H119" s="220" t="e">
        <f>F119*G119</f>
        <v>#DIV/0!</v>
      </c>
      <c r="K119" s="942"/>
      <c r="L119" s="835"/>
      <c r="AM119"/>
      <c r="AN119"/>
      <c r="AO119"/>
      <c r="AP119"/>
      <c r="AQ119"/>
      <c r="AR119"/>
      <c r="AS119"/>
      <c r="AT119"/>
      <c r="AU119"/>
      <c r="AV119"/>
      <c r="AW119"/>
      <c r="AX119" s="136"/>
    </row>
    <row r="120" spans="1:60" ht="15">
      <c r="A120" s="176" t="s">
        <v>211</v>
      </c>
      <c r="B120" s="228">
        <f>SUM(B117:B119)</f>
        <v>5.8999999999999999E-3</v>
      </c>
      <c r="C120" s="229" t="e">
        <f>D120/B120</f>
        <v>#DIV/0!</v>
      </c>
      <c r="D120" s="226" t="e">
        <f>SUM(D117:D119)</f>
        <v>#DIV/0!</v>
      </c>
      <c r="F120" s="222">
        <f>SUM(F117:F119)</f>
        <v>7.1000000000000004E-3</v>
      </c>
      <c r="G120" s="229" t="e">
        <f>H120/F120</f>
        <v>#DIV/0!</v>
      </c>
      <c r="H120" s="227" t="e">
        <f>SUM(H117:H119)</f>
        <v>#DIV/0!</v>
      </c>
      <c r="K120" s="942"/>
      <c r="AM120"/>
      <c r="AN120"/>
      <c r="AO120"/>
      <c r="AP120"/>
      <c r="AQ120"/>
      <c r="AR120"/>
      <c r="AS120"/>
      <c r="AT120"/>
      <c r="AU120"/>
      <c r="AV120"/>
      <c r="AW120"/>
      <c r="AX120" s="136"/>
    </row>
    <row r="121" spans="1:60" ht="15">
      <c r="A121" s="176"/>
      <c r="B121" s="124"/>
      <c r="C121" s="212"/>
      <c r="D121" s="230"/>
      <c r="F121" s="217"/>
      <c r="G121" s="212"/>
      <c r="H121" s="231"/>
      <c r="AM121"/>
      <c r="AN121"/>
      <c r="AO121"/>
      <c r="AP121"/>
      <c r="AQ121"/>
      <c r="AR121"/>
      <c r="AS121"/>
      <c r="AT121"/>
      <c r="AU121"/>
      <c r="AV121"/>
      <c r="AW121"/>
      <c r="AX121" s="136"/>
    </row>
    <row r="122" spans="1:60" ht="15.75" thickBot="1">
      <c r="A122" s="141" t="s">
        <v>212</v>
      </c>
      <c r="B122" s="218"/>
      <c r="C122" s="13"/>
      <c r="D122" s="232" t="e">
        <f>D115+D120</f>
        <v>#DIV/0!</v>
      </c>
      <c r="F122" s="218"/>
      <c r="G122" s="13"/>
      <c r="H122" s="233" t="e">
        <f>H115+H120</f>
        <v>#DIV/0!</v>
      </c>
      <c r="AM122"/>
      <c r="AN122"/>
      <c r="AO122"/>
      <c r="AP122"/>
      <c r="AQ122"/>
      <c r="AR122"/>
      <c r="AS122"/>
      <c r="AT122"/>
      <c r="AU122"/>
      <c r="AV122"/>
      <c r="AW122"/>
      <c r="AX122" s="136"/>
    </row>
    <row r="123" spans="1:60" ht="15">
      <c r="A123" s="99"/>
      <c r="B123" s="72"/>
      <c r="C123" s="72"/>
      <c r="D123" s="72"/>
      <c r="E123" s="72"/>
      <c r="F123" s="72"/>
      <c r="G123" s="72"/>
      <c r="H123" s="75"/>
      <c r="AM123"/>
      <c r="AN123"/>
      <c r="AO123"/>
      <c r="AP123"/>
      <c r="AQ123"/>
      <c r="AR123"/>
      <c r="AS123"/>
      <c r="AT123"/>
      <c r="AU123"/>
      <c r="AV123"/>
      <c r="AW123"/>
      <c r="AX123" s="136"/>
    </row>
    <row r="124" spans="1:60" ht="15">
      <c r="AM124"/>
      <c r="AN124"/>
      <c r="AO124"/>
      <c r="AP124"/>
      <c r="AQ124"/>
      <c r="AR124"/>
      <c r="AS124"/>
      <c r="AT124"/>
      <c r="AU124"/>
      <c r="AV124"/>
      <c r="AW124"/>
      <c r="AX124" s="136"/>
    </row>
    <row r="125" spans="1:60" ht="15">
      <c r="G125" s="100"/>
      <c r="AM125"/>
      <c r="AN125"/>
      <c r="AO125"/>
      <c r="AP125"/>
      <c r="AQ125"/>
      <c r="AR125"/>
      <c r="AS125"/>
      <c r="AT125"/>
      <c r="AU125"/>
      <c r="AV125"/>
      <c r="AW125"/>
      <c r="AX125" s="136"/>
    </row>
    <row r="126" spans="1:60" ht="15">
      <c r="A126" s="82" t="s">
        <v>218</v>
      </c>
      <c r="B126" s="93"/>
      <c r="C126" s="93"/>
      <c r="D126" s="93"/>
      <c r="E126" s="93"/>
      <c r="F126" s="93"/>
      <c r="G126" s="93"/>
      <c r="H126" s="148"/>
      <c r="AM126"/>
      <c r="AN126"/>
      <c r="AO126"/>
      <c r="AP126"/>
      <c r="AQ126"/>
      <c r="AR126"/>
      <c r="AS126"/>
      <c r="AT126"/>
      <c r="AU126"/>
      <c r="AV126"/>
      <c r="AW126"/>
      <c r="AX126" s="136"/>
    </row>
    <row r="127" spans="1:60" ht="16.5">
      <c r="A127" s="48"/>
      <c r="B127" s="147"/>
      <c r="C127" s="147"/>
      <c r="D127" s="147"/>
      <c r="E127" s="26"/>
      <c r="F127" s="26"/>
      <c r="G127" s="26"/>
      <c r="H127" s="77"/>
      <c r="AM127"/>
      <c r="AN127"/>
      <c r="AO127"/>
      <c r="AP127"/>
      <c r="AQ127"/>
      <c r="AR127"/>
      <c r="AS127"/>
      <c r="AT127"/>
      <c r="AU127"/>
      <c r="AV127"/>
      <c r="AW127"/>
      <c r="AX127" s="136"/>
    </row>
    <row r="128" spans="1:60" ht="14.25" customHeight="1">
      <c r="A128" s="48"/>
      <c r="B128" t="s">
        <v>565</v>
      </c>
      <c r="C128" t="s">
        <v>566</v>
      </c>
      <c r="D128" t="s">
        <v>567</v>
      </c>
      <c r="E128" t="s">
        <v>568</v>
      </c>
      <c r="F128" t="s">
        <v>332</v>
      </c>
      <c r="G128" t="s">
        <v>569</v>
      </c>
      <c r="H128" t="s">
        <v>570</v>
      </c>
      <c r="AM128"/>
      <c r="AN128"/>
      <c r="AO128"/>
      <c r="AP128"/>
      <c r="AQ128"/>
      <c r="AR128"/>
      <c r="AS128"/>
      <c r="AT128"/>
      <c r="AU128"/>
      <c r="AV128"/>
      <c r="AW128"/>
      <c r="AX128" s="136"/>
    </row>
    <row r="129" spans="1:60" ht="15">
      <c r="A129" s="556" t="s">
        <v>430</v>
      </c>
      <c r="B129" s="393">
        <v>78399.789999999994</v>
      </c>
      <c r="C129" s="393">
        <v>167568.38</v>
      </c>
      <c r="D129" s="393">
        <v>183018.16</v>
      </c>
      <c r="E129" s="393">
        <v>167613.41</v>
      </c>
      <c r="F129" s="973">
        <v>199564.5</v>
      </c>
      <c r="G129" s="973">
        <v>144612.57</v>
      </c>
      <c r="H129" s="973">
        <v>244208.81</v>
      </c>
      <c r="AM129"/>
      <c r="AN129"/>
      <c r="AO129" s="260" t="s">
        <v>549</v>
      </c>
      <c r="AW129"/>
      <c r="AX129" s="234"/>
    </row>
    <row r="130" spans="1:60" ht="15">
      <c r="A130" s="556" t="s">
        <v>14</v>
      </c>
      <c r="B130" s="393">
        <v>20675.52</v>
      </c>
      <c r="C130" s="393">
        <v>20561</v>
      </c>
      <c r="D130" s="393">
        <v>4438.26</v>
      </c>
      <c r="E130" s="393">
        <v>16196.11</v>
      </c>
      <c r="F130" s="973">
        <v>31016.71</v>
      </c>
      <c r="G130" s="973">
        <v>81218.679999999993</v>
      </c>
      <c r="H130" s="973">
        <v>7694.52</v>
      </c>
      <c r="AF130" s="240"/>
      <c r="AG130" s="240"/>
      <c r="AH130" s="819">
        <f t="shared" ref="AH130:AH138" si="43">ROUND($AH$11*$AN130,0)</f>
        <v>0</v>
      </c>
      <c r="AI130" s="786"/>
      <c r="AJ130" s="786"/>
      <c r="AK130" s="771"/>
      <c r="AL130" s="787" t="s">
        <v>235</v>
      </c>
      <c r="AM130" s="762">
        <v>631040</v>
      </c>
      <c r="AN130" s="820">
        <f t="shared" ref="AN130:AN138" si="44">AO130/$AO$139</f>
        <v>0</v>
      </c>
      <c r="AO130" s="143">
        <v>0</v>
      </c>
      <c r="AP130" s="136"/>
      <c r="AQ130" s="136"/>
      <c r="AR130" s="136"/>
      <c r="AS130" s="136"/>
      <c r="AT130" s="136"/>
      <c r="AU130" s="136"/>
      <c r="AV130" s="136"/>
      <c r="BG130" s="236"/>
      <c r="BH130" s="236"/>
    </row>
    <row r="131" spans="1:60" ht="15">
      <c r="A131" s="556" t="s">
        <v>351</v>
      </c>
      <c r="B131" s="393">
        <v>90227.34</v>
      </c>
      <c r="C131" s="393">
        <v>54775.24</v>
      </c>
      <c r="D131" s="393">
        <v>91038.86</v>
      </c>
      <c r="E131" s="393">
        <v>68390.16</v>
      </c>
      <c r="F131" s="973">
        <v>82033.89</v>
      </c>
      <c r="G131" s="973">
        <v>92474.559999999998</v>
      </c>
      <c r="H131" s="973">
        <v>108788.56</v>
      </c>
      <c r="AF131" s="240"/>
      <c r="AG131" s="240"/>
      <c r="AH131" s="819">
        <f t="shared" si="43"/>
        <v>0</v>
      </c>
      <c r="AI131" s="786"/>
      <c r="AJ131" s="786"/>
      <c r="AK131" s="771"/>
      <c r="AL131" s="787" t="s">
        <v>236</v>
      </c>
      <c r="AM131" s="762">
        <v>631060</v>
      </c>
      <c r="AN131" s="820">
        <f t="shared" si="44"/>
        <v>2.3635219285040299E-2</v>
      </c>
      <c r="AO131" s="143">
        <v>11648</v>
      </c>
      <c r="AP131" s="136"/>
      <c r="AQ131" s="136"/>
      <c r="AR131" s="136"/>
      <c r="AS131" s="136"/>
      <c r="AT131" s="136"/>
      <c r="AU131" s="136"/>
      <c r="AV131" s="136"/>
      <c r="BG131" s="235"/>
      <c r="BH131" s="235"/>
    </row>
    <row r="132" spans="1:60" ht="16.5">
      <c r="A132" s="48"/>
      <c r="B132" s="26"/>
      <c r="C132" s="26"/>
      <c r="D132" s="26"/>
      <c r="E132" s="26"/>
      <c r="F132" s="104"/>
      <c r="G132" s="199"/>
      <c r="H132" s="77"/>
      <c r="AF132" s="240"/>
      <c r="AG132" s="240"/>
      <c r="AH132" s="819">
        <f t="shared" si="43"/>
        <v>0</v>
      </c>
      <c r="AI132" s="786"/>
      <c r="AJ132" s="786"/>
      <c r="AK132" s="771"/>
      <c r="AL132" s="787" t="s">
        <v>237</v>
      </c>
      <c r="AM132" s="762">
        <v>631900</v>
      </c>
      <c r="AN132" s="820">
        <f t="shared" si="44"/>
        <v>0</v>
      </c>
      <c r="AO132" s="143">
        <v>0</v>
      </c>
      <c r="AP132" s="136"/>
      <c r="AQ132" s="136"/>
      <c r="AR132" s="136"/>
      <c r="AS132" s="136"/>
      <c r="AT132" s="136"/>
      <c r="AU132" s="136"/>
      <c r="AV132" s="136"/>
      <c r="BG132" s="235"/>
      <c r="BH132" s="235"/>
    </row>
    <row r="133" spans="1:60" ht="16.5">
      <c r="A133" s="556" t="s">
        <v>581</v>
      </c>
      <c r="B133" s="921">
        <f>AVERAGE(F129:H129)</f>
        <v>196128.62666666668</v>
      </c>
      <c r="C133" s="26"/>
      <c r="D133" s="26"/>
      <c r="E133" s="26"/>
      <c r="F133" s="26"/>
      <c r="G133" s="199"/>
      <c r="H133" s="77"/>
      <c r="AF133" s="240"/>
      <c r="AG133" s="240"/>
      <c r="AH133" s="819">
        <f t="shared" si="43"/>
        <v>0</v>
      </c>
      <c r="AI133" s="786"/>
      <c r="AJ133" s="786"/>
      <c r="AK133" s="771"/>
      <c r="AL133" s="787" t="s">
        <v>238</v>
      </c>
      <c r="AM133" s="762">
        <v>630020</v>
      </c>
      <c r="AN133" s="820">
        <f t="shared" si="44"/>
        <v>0.15621104465193711</v>
      </c>
      <c r="AO133" s="143">
        <v>76984.53</v>
      </c>
      <c r="AP133" s="136"/>
      <c r="AQ133" s="136"/>
      <c r="AR133" s="136"/>
      <c r="AS133" s="136"/>
      <c r="AT133" s="136"/>
      <c r="AU133" s="136"/>
      <c r="AV133" s="136"/>
      <c r="BG133" s="235"/>
      <c r="BH133" s="235"/>
    </row>
    <row r="134" spans="1:60" ht="16.5">
      <c r="A134" s="556" t="s">
        <v>582</v>
      </c>
      <c r="B134" s="921">
        <f t="shared" ref="B134:B135" si="45">AVERAGE(F130:H130)</f>
        <v>39976.636666666665</v>
      </c>
      <c r="C134" s="26"/>
      <c r="D134" s="26"/>
      <c r="E134" s="26"/>
      <c r="F134" s="26"/>
      <c r="G134" s="199"/>
      <c r="H134" s="103"/>
      <c r="AF134" s="240"/>
      <c r="AG134" s="240"/>
      <c r="AH134" s="819">
        <f t="shared" si="43"/>
        <v>0</v>
      </c>
      <c r="AI134" s="786"/>
      <c r="AJ134" s="786"/>
      <c r="AK134" s="771"/>
      <c r="AL134" s="787" t="s">
        <v>239</v>
      </c>
      <c r="AM134" s="762">
        <v>630030</v>
      </c>
      <c r="AN134" s="820">
        <f t="shared" si="44"/>
        <v>2.5364031684667215E-3</v>
      </c>
      <c r="AO134" s="143">
        <v>1250</v>
      </c>
      <c r="AP134" s="136"/>
      <c r="AQ134" s="136"/>
      <c r="AR134" s="136"/>
      <c r="AS134" s="136"/>
      <c r="AT134" s="136"/>
      <c r="AU134" s="136"/>
      <c r="AV134" s="136"/>
      <c r="BG134" s="235"/>
      <c r="BH134" s="235"/>
    </row>
    <row r="135" spans="1:60" ht="16.5">
      <c r="A135" s="556" t="s">
        <v>583</v>
      </c>
      <c r="B135" s="921">
        <f t="shared" si="45"/>
        <v>94432.33666666667</v>
      </c>
      <c r="C135" s="26"/>
      <c r="D135" s="26"/>
      <c r="E135" s="26"/>
      <c r="F135" s="26"/>
      <c r="G135" s="199"/>
      <c r="H135" s="77"/>
      <c r="AF135" s="240"/>
      <c r="AG135" s="240"/>
      <c r="AH135" s="819">
        <f t="shared" si="43"/>
        <v>0</v>
      </c>
      <c r="AI135" s="786"/>
      <c r="AJ135" s="786"/>
      <c r="AK135" s="771"/>
      <c r="AL135" s="787" t="s">
        <v>240</v>
      </c>
      <c r="AM135" s="762">
        <v>630070</v>
      </c>
      <c r="AN135" s="820">
        <f t="shared" si="44"/>
        <v>0.35964141427730384</v>
      </c>
      <c r="AO135" s="143">
        <v>177239.87</v>
      </c>
      <c r="AP135" s="136"/>
      <c r="AQ135" s="136"/>
      <c r="AR135" s="136"/>
      <c r="AS135" s="136"/>
      <c r="AT135" s="136"/>
      <c r="AU135" s="136"/>
      <c r="AV135" s="136"/>
      <c r="BG135" s="235"/>
      <c r="BH135" s="235"/>
    </row>
    <row r="136" spans="1:60" ht="16.5">
      <c r="A136" s="48"/>
      <c r="B136" s="26"/>
      <c r="C136" s="26"/>
      <c r="D136" s="26"/>
      <c r="E136" s="26"/>
      <c r="F136" s="26"/>
      <c r="G136" s="199"/>
      <c r="H136" s="77"/>
      <c r="AF136" s="240"/>
      <c r="AG136" s="240"/>
      <c r="AH136" s="819">
        <f t="shared" si="43"/>
        <v>0</v>
      </c>
      <c r="AI136" s="786"/>
      <c r="AJ136" s="786"/>
      <c r="AK136" s="771"/>
      <c r="AL136" s="787" t="s">
        <v>241</v>
      </c>
      <c r="AM136" s="762">
        <v>630080</v>
      </c>
      <c r="AN136" s="820">
        <f t="shared" si="44"/>
        <v>0.22755030570151372</v>
      </c>
      <c r="AO136" s="143">
        <v>112142.22</v>
      </c>
      <c r="AP136" s="136"/>
      <c r="AQ136" s="136"/>
      <c r="AR136" s="136"/>
      <c r="AS136" s="136"/>
      <c r="AT136" s="136"/>
      <c r="AU136" s="136"/>
      <c r="AV136" s="136"/>
      <c r="BG136" s="235"/>
      <c r="BH136" s="235"/>
    </row>
    <row r="137" spans="1:60" ht="16.5">
      <c r="A137" s="48"/>
      <c r="B137" s="26"/>
      <c r="C137" s="26"/>
      <c r="D137" s="26"/>
      <c r="E137" s="26"/>
      <c r="F137" s="26"/>
      <c r="G137" s="199"/>
      <c r="H137" s="103"/>
      <c r="AF137" s="240"/>
      <c r="AG137" s="240"/>
      <c r="AH137" s="819">
        <f t="shared" si="43"/>
        <v>0</v>
      </c>
      <c r="AI137" s="786"/>
      <c r="AJ137" s="786"/>
      <c r="AK137" s="771"/>
      <c r="AL137" s="787" t="s">
        <v>242</v>
      </c>
      <c r="AM137" s="762">
        <v>633000</v>
      </c>
      <c r="AN137" s="820">
        <f t="shared" si="44"/>
        <v>0.23042561291573832</v>
      </c>
      <c r="AO137" s="143">
        <v>113559.24</v>
      </c>
      <c r="AP137" s="136"/>
      <c r="AQ137" s="136"/>
      <c r="AR137" s="136"/>
      <c r="AS137" s="136"/>
      <c r="AT137" s="136"/>
      <c r="AU137" s="136"/>
      <c r="AV137" s="136"/>
      <c r="BG137" s="235"/>
      <c r="BH137" s="235"/>
    </row>
    <row r="138" spans="1:60" ht="17.25">
      <c r="A138" s="99"/>
      <c r="B138" s="72"/>
      <c r="C138" s="105"/>
      <c r="D138" s="72"/>
      <c r="E138" s="72"/>
      <c r="F138" s="72"/>
      <c r="G138" s="72"/>
      <c r="H138" s="75"/>
      <c r="AF138" s="240"/>
      <c r="AG138" s="240"/>
      <c r="AH138" s="821">
        <f t="shared" si="43"/>
        <v>0</v>
      </c>
      <c r="AI138" s="786"/>
      <c r="AJ138" s="786"/>
      <c r="AK138" s="771"/>
      <c r="AL138" s="787" t="s">
        <v>243</v>
      </c>
      <c r="AM138" s="762">
        <v>660000</v>
      </c>
      <c r="AN138" s="822">
        <f t="shared" si="44"/>
        <v>0</v>
      </c>
      <c r="AO138" s="161">
        <v>0</v>
      </c>
      <c r="AP138" s="136"/>
      <c r="AQ138" s="136"/>
      <c r="AR138" s="136"/>
      <c r="AS138" s="136"/>
      <c r="AT138" s="136"/>
      <c r="AU138" s="136"/>
      <c r="AV138" s="136"/>
      <c r="BG138" s="235"/>
      <c r="BH138" s="235"/>
    </row>
    <row r="139" spans="1:60" ht="15">
      <c r="AF139" s="160"/>
      <c r="AG139" s="160"/>
      <c r="AH139" s="823">
        <f>SUM(AH130:AH138)</f>
        <v>0</v>
      </c>
      <c r="AI139" s="786"/>
      <c r="AJ139" s="786"/>
      <c r="AK139" s="777" t="s">
        <v>12</v>
      </c>
      <c r="AL139" s="824" t="s">
        <v>17</v>
      </c>
      <c r="AM139" s="825" t="s">
        <v>107</v>
      </c>
      <c r="AN139" s="820">
        <f>SUM(AN130:AN138)</f>
        <v>1</v>
      </c>
      <c r="AO139" s="259">
        <f>SUM(AO130:AO138)</f>
        <v>492823.86</v>
      </c>
      <c r="AX139" s="137"/>
    </row>
    <row r="141" spans="1:60">
      <c r="A141" s="82" t="s">
        <v>64</v>
      </c>
      <c r="B141" s="687"/>
      <c r="C141" s="687"/>
      <c r="D141" s="687"/>
      <c r="E141" s="687"/>
      <c r="F141" s="687"/>
      <c r="G141" s="687"/>
      <c r="H141" s="951"/>
    </row>
    <row r="142" spans="1:60" ht="14.65" customHeight="1">
      <c r="A142" s="48"/>
      <c r="B142" s="199"/>
      <c r="C142" s="199"/>
      <c r="D142" s="199"/>
      <c r="E142" s="26"/>
      <c r="F142" s="26"/>
      <c r="G142" s="26"/>
      <c r="H142" s="77"/>
      <c r="AO142" s="260" t="s">
        <v>549</v>
      </c>
      <c r="AP142" s="136"/>
    </row>
    <row r="143" spans="1:60" ht="14.65" customHeight="1">
      <c r="A143" s="48"/>
      <c r="B143" s="207"/>
      <c r="C143" s="207"/>
      <c r="D143" s="207"/>
      <c r="E143" s="26"/>
      <c r="F143" s="26"/>
      <c r="G143" s="26"/>
      <c r="H143" s="106"/>
      <c r="AF143" s="240"/>
      <c r="AG143" s="240"/>
      <c r="AH143" s="819">
        <f>$AH$19*$AN143</f>
        <v>0</v>
      </c>
      <c r="AI143" s="786"/>
      <c r="AJ143" s="786"/>
      <c r="AK143" s="771"/>
      <c r="AL143" s="787" t="s">
        <v>244</v>
      </c>
      <c r="AM143" s="762" t="s">
        <v>100</v>
      </c>
      <c r="AN143" s="820">
        <v>0.6</v>
      </c>
      <c r="AO143" s="143">
        <v>228337.6</v>
      </c>
      <c r="AP143" s="144">
        <f>AO143/$AO$145</f>
        <v>0.59909278232799934</v>
      </c>
      <c r="AQ143" s="136"/>
      <c r="AR143" s="136"/>
      <c r="AS143" s="136"/>
      <c r="AT143" s="136"/>
      <c r="AU143" s="136"/>
      <c r="AV143" s="136"/>
      <c r="AW143"/>
    </row>
    <row r="144" spans="1:60" ht="14.65" customHeight="1">
      <c r="A144" s="48"/>
      <c r="B144" t="s">
        <v>565</v>
      </c>
      <c r="C144" t="s">
        <v>566</v>
      </c>
      <c r="D144" t="s">
        <v>567</v>
      </c>
      <c r="E144" t="s">
        <v>568</v>
      </c>
      <c r="F144" t="s">
        <v>332</v>
      </c>
      <c r="G144" t="s">
        <v>569</v>
      </c>
      <c r="H144" t="s">
        <v>570</v>
      </c>
      <c r="AF144" s="240"/>
      <c r="AG144" s="240"/>
      <c r="AH144" s="821">
        <f>$AH$19*$AN144</f>
        <v>0</v>
      </c>
      <c r="AI144" s="786"/>
      <c r="AJ144" s="786"/>
      <c r="AK144" s="771"/>
      <c r="AL144" s="787" t="s">
        <v>245</v>
      </c>
      <c r="AM144" s="762">
        <v>630040</v>
      </c>
      <c r="AN144" s="820">
        <v>0.4</v>
      </c>
      <c r="AO144" s="161">
        <v>152801.35999999999</v>
      </c>
      <c r="AP144" s="378">
        <f>AO144/$AO$145</f>
        <v>0.40090721767200077</v>
      </c>
      <c r="AQ144" s="136"/>
      <c r="AR144" s="136"/>
      <c r="AS144" s="136"/>
      <c r="AT144" s="136"/>
      <c r="AU144" s="136"/>
      <c r="AV144" s="136"/>
      <c r="AW144"/>
    </row>
    <row r="145" spans="1:60" ht="14.65" customHeight="1">
      <c r="A145" s="556" t="s">
        <v>29</v>
      </c>
      <c r="B145" s="393">
        <v>17287.14</v>
      </c>
      <c r="C145" s="393">
        <v>17287.21</v>
      </c>
      <c r="D145" s="393">
        <v>20726.13</v>
      </c>
      <c r="E145" s="393">
        <v>19597.349999999999</v>
      </c>
      <c r="F145" s="958">
        <v>18348.86</v>
      </c>
      <c r="G145" s="958">
        <v>18976.400000000001</v>
      </c>
      <c r="H145" s="958">
        <v>19597.580000000002</v>
      </c>
      <c r="AF145" s="160"/>
      <c r="AG145" s="160"/>
      <c r="AH145" s="823">
        <f>SUM(AH143:AH144)</f>
        <v>0</v>
      </c>
      <c r="AI145" s="786"/>
      <c r="AJ145" s="786"/>
      <c r="AK145" s="777" t="s">
        <v>12</v>
      </c>
      <c r="AL145" s="824" t="s">
        <v>28</v>
      </c>
      <c r="AM145" s="825" t="s">
        <v>107</v>
      </c>
      <c r="AN145" s="820">
        <f>SUM(AN143:AN144)</f>
        <v>1</v>
      </c>
      <c r="AO145" s="259">
        <f>SUM(AO143:AO144)</f>
        <v>381138.95999999996</v>
      </c>
      <c r="AP145" s="144">
        <f>SUM(AP143:AP144)</f>
        <v>1</v>
      </c>
    </row>
    <row r="146" spans="1:60" ht="15.75" customHeight="1">
      <c r="A146" s="556" t="s">
        <v>27</v>
      </c>
      <c r="B146" s="393">
        <v>41002.76</v>
      </c>
      <c r="C146" s="393">
        <v>39785.1</v>
      </c>
      <c r="D146" s="393">
        <v>39785.1</v>
      </c>
      <c r="E146" s="393">
        <v>-9830</v>
      </c>
      <c r="F146" s="958">
        <v>43964.5</v>
      </c>
      <c r="G146" s="958">
        <v>30180.7</v>
      </c>
      <c r="H146" s="958">
        <v>31168.75</v>
      </c>
    </row>
    <row r="147" spans="1:60" ht="15">
      <c r="A147" s="48"/>
      <c r="B147" s="97"/>
      <c r="C147" s="97"/>
      <c r="D147" s="976"/>
      <c r="E147" s="976"/>
      <c r="F147" s="156"/>
      <c r="G147" s="156"/>
      <c r="H147" s="238"/>
      <c r="I147" s="253"/>
      <c r="AL147" s="139"/>
      <c r="AM147"/>
      <c r="AN147"/>
      <c r="AO147" s="260" t="s">
        <v>549</v>
      </c>
      <c r="AP147"/>
      <c r="AQ147"/>
      <c r="AR147"/>
      <c r="AS147"/>
      <c r="AT147"/>
      <c r="AU147"/>
      <c r="AV147"/>
      <c r="AW147"/>
    </row>
    <row r="148" spans="1:60" ht="14.65" customHeight="1">
      <c r="A148" s="48" t="s">
        <v>584</v>
      </c>
      <c r="B148" s="982">
        <f>AVERAGE(F145:H145)</f>
        <v>18974.280000000002</v>
      </c>
      <c r="C148" s="97"/>
      <c r="D148" s="977"/>
      <c r="E148" s="977"/>
      <c r="F148" s="156"/>
      <c r="G148" s="156"/>
      <c r="H148" s="238"/>
      <c r="I148" s="253"/>
      <c r="AF148" s="240"/>
      <c r="AG148" s="240"/>
      <c r="AH148" s="819">
        <f t="shared" ref="AH148:AH155" si="46">ROUND($AH$18*$AN148,0)</f>
        <v>0</v>
      </c>
      <c r="AI148" s="786"/>
      <c r="AJ148" s="786"/>
      <c r="AK148" s="771"/>
      <c r="AL148" s="787" t="s">
        <v>399</v>
      </c>
      <c r="AM148" s="762" t="s">
        <v>400</v>
      </c>
      <c r="AN148" s="820">
        <f>AO148/$AO$156</f>
        <v>2.828718849570256E-2</v>
      </c>
      <c r="AO148" s="143">
        <v>4153.88</v>
      </c>
      <c r="AP148" s="136"/>
      <c r="AQ148" s="136"/>
      <c r="AR148" s="136"/>
      <c r="AS148" s="136"/>
      <c r="AT148" s="136"/>
      <c r="AU148" s="136"/>
      <c r="AV148" s="136"/>
      <c r="AW148"/>
    </row>
    <row r="149" spans="1:60" ht="14.65" customHeight="1">
      <c r="A149" s="556" t="s">
        <v>585</v>
      </c>
      <c r="B149" s="983">
        <f>AVERAGE(F146:H146)</f>
        <v>35104.65</v>
      </c>
      <c r="C149" s="97"/>
      <c r="D149" s="978"/>
      <c r="E149" s="978"/>
      <c r="F149" s="156"/>
      <c r="G149" s="156"/>
      <c r="H149" s="238"/>
      <c r="I149" s="253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1"/>
      <c r="AD149" s="281"/>
      <c r="AF149" s="240"/>
      <c r="AG149" s="240"/>
      <c r="AH149" s="819">
        <f t="shared" si="46"/>
        <v>0</v>
      </c>
      <c r="AI149" s="786"/>
      <c r="AJ149" s="786"/>
      <c r="AK149" s="771"/>
      <c r="AL149" s="787" t="s">
        <v>246</v>
      </c>
      <c r="AM149" s="762" t="s">
        <v>101</v>
      </c>
      <c r="AN149" s="820">
        <f t="shared" ref="AN149:AN155" si="47">AO149/$AO$156</f>
        <v>0</v>
      </c>
      <c r="AO149" s="143">
        <v>0</v>
      </c>
      <c r="AP149" s="136"/>
      <c r="AQ149" s="136"/>
      <c r="AR149" s="136"/>
      <c r="AS149" s="136"/>
      <c r="AT149" s="136"/>
      <c r="AU149" s="136"/>
      <c r="AV149" s="136"/>
      <c r="AW149"/>
      <c r="BG149" s="235"/>
      <c r="BH149" s="235"/>
    </row>
    <row r="150" spans="1:60" ht="14.65" customHeight="1">
      <c r="A150" s="48"/>
      <c r="B150" s="97"/>
      <c r="C150" s="97"/>
      <c r="D150" s="976"/>
      <c r="E150" s="976"/>
      <c r="F150" s="301"/>
      <c r="G150" s="301"/>
      <c r="H150" s="238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F150" s="240"/>
      <c r="AG150" s="240"/>
      <c r="AH150" s="819">
        <f t="shared" si="46"/>
        <v>0</v>
      </c>
      <c r="AI150" s="786"/>
      <c r="AJ150" s="786"/>
      <c r="AK150" s="771"/>
      <c r="AL150" s="787" t="s">
        <v>247</v>
      </c>
      <c r="AM150" s="762">
        <v>640010</v>
      </c>
      <c r="AN150" s="820">
        <f t="shared" si="47"/>
        <v>6.4792199265778477E-2</v>
      </c>
      <c r="AO150" s="143">
        <v>9514.52</v>
      </c>
      <c r="AP150" s="136"/>
      <c r="AQ150" s="136"/>
      <c r="AR150" s="136"/>
      <c r="AS150" s="136"/>
      <c r="AT150" s="136"/>
      <c r="AU150" s="136"/>
      <c r="AV150" s="136"/>
      <c r="AW150"/>
      <c r="BG150" s="235"/>
      <c r="BH150" s="235"/>
    </row>
    <row r="151" spans="1:60" ht="14.65" customHeight="1">
      <c r="A151" s="48"/>
      <c r="B151" s="26"/>
      <c r="C151" s="26"/>
      <c r="D151" s="976"/>
      <c r="E151" s="976"/>
      <c r="F151" s="26"/>
      <c r="G151" s="204"/>
      <c r="H151" s="238"/>
      <c r="AF151" s="240"/>
      <c r="AG151" s="240"/>
      <c r="AH151" s="819">
        <f t="shared" si="46"/>
        <v>0</v>
      </c>
      <c r="AI151" s="786"/>
      <c r="AJ151" s="786"/>
      <c r="AK151" s="771"/>
      <c r="AL151" s="787" t="s">
        <v>248</v>
      </c>
      <c r="AM151" s="762">
        <v>640020</v>
      </c>
      <c r="AN151" s="820">
        <f t="shared" si="47"/>
        <v>0.70106918991500589</v>
      </c>
      <c r="AO151" s="143">
        <v>102949.69</v>
      </c>
      <c r="AP151" s="136"/>
      <c r="AQ151" s="136"/>
      <c r="AR151" s="136"/>
      <c r="AS151" s="136"/>
      <c r="AT151" s="136"/>
      <c r="AU151" s="136"/>
      <c r="AV151" s="136"/>
      <c r="AW151"/>
    </row>
    <row r="152" spans="1:60" ht="14.65" customHeight="1">
      <c r="A152" s="48"/>
      <c r="C152" s="26"/>
      <c r="D152" s="979"/>
      <c r="E152" s="979"/>
      <c r="F152" s="26"/>
      <c r="G152" s="204"/>
      <c r="H152" s="238"/>
      <c r="AF152" s="240"/>
      <c r="AG152" s="240"/>
      <c r="AH152" s="819">
        <f t="shared" si="46"/>
        <v>0</v>
      </c>
      <c r="AI152" s="786"/>
      <c r="AJ152" s="786"/>
      <c r="AK152" s="771"/>
      <c r="AL152" s="787" t="s">
        <v>401</v>
      </c>
      <c r="AM152" s="762" t="s">
        <v>402</v>
      </c>
      <c r="AN152" s="820">
        <f t="shared" si="47"/>
        <v>0.20585142232351303</v>
      </c>
      <c r="AO152" s="143">
        <v>30228.6</v>
      </c>
      <c r="AP152" s="136"/>
      <c r="AQ152" s="136"/>
      <c r="AR152" s="136"/>
      <c r="AS152" s="136"/>
      <c r="AT152" s="136"/>
      <c r="AU152" s="136"/>
      <c r="AV152" s="136"/>
      <c r="AW152"/>
      <c r="BG152" s="235"/>
      <c r="BH152" s="235"/>
    </row>
    <row r="153" spans="1:60" ht="14.65" customHeight="1">
      <c r="A153" s="48"/>
      <c r="B153" s="26"/>
      <c r="C153" s="26"/>
      <c r="D153" s="980"/>
      <c r="E153" s="207"/>
      <c r="F153" s="156"/>
      <c r="G153" s="204"/>
      <c r="H153" s="981"/>
      <c r="AF153" s="240"/>
      <c r="AG153" s="240"/>
      <c r="AH153" s="819">
        <f t="shared" si="46"/>
        <v>0</v>
      </c>
      <c r="AI153" s="786"/>
      <c r="AJ153" s="786"/>
      <c r="AK153" s="771"/>
      <c r="AL153" s="787" t="s">
        <v>249</v>
      </c>
      <c r="AM153" s="762">
        <v>640040</v>
      </c>
      <c r="AN153" s="820">
        <f t="shared" si="47"/>
        <v>0</v>
      </c>
      <c r="AO153" s="143">
        <v>0</v>
      </c>
      <c r="AP153" s="136"/>
      <c r="AQ153" s="136"/>
      <c r="AR153" s="136"/>
      <c r="AS153" s="136"/>
      <c r="AT153" s="136"/>
      <c r="AU153" s="136"/>
      <c r="AV153" s="136"/>
      <c r="AW153"/>
      <c r="BG153" s="235"/>
      <c r="BH153" s="235"/>
    </row>
    <row r="154" spans="1:60" ht="14.65" customHeight="1">
      <c r="A154" s="48"/>
      <c r="B154" s="26"/>
      <c r="C154" s="26"/>
      <c r="D154" s="980"/>
      <c r="E154" s="168"/>
      <c r="F154" s="156"/>
      <c r="G154" s="239"/>
      <c r="H154" s="981"/>
      <c r="AF154" s="160"/>
      <c r="AG154" s="160"/>
      <c r="AH154" s="819">
        <f t="shared" si="46"/>
        <v>0</v>
      </c>
      <c r="AI154" s="786"/>
      <c r="AJ154" s="786"/>
      <c r="AK154" s="771"/>
      <c r="AL154" s="787" t="s">
        <v>250</v>
      </c>
      <c r="AM154" s="762">
        <v>640070</v>
      </c>
      <c r="AN154" s="820">
        <f t="shared" si="47"/>
        <v>0</v>
      </c>
      <c r="AO154" s="143">
        <v>0</v>
      </c>
      <c r="AP154"/>
      <c r="AQ154"/>
      <c r="AR154"/>
      <c r="AS154"/>
      <c r="AT154"/>
      <c r="AU154"/>
      <c r="AV154"/>
      <c r="AW154"/>
      <c r="BG154" s="235"/>
      <c r="BH154" s="235"/>
    </row>
    <row r="155" spans="1:60" ht="14.65" customHeight="1">
      <c r="A155" s="48"/>
      <c r="B155" s="26"/>
      <c r="C155" s="26"/>
      <c r="D155" s="980"/>
      <c r="E155" s="289"/>
      <c r="F155" s="156"/>
      <c r="G155" s="285"/>
      <c r="H155" s="238"/>
      <c r="AH155" s="821">
        <f t="shared" si="46"/>
        <v>0</v>
      </c>
      <c r="AI155" s="786"/>
      <c r="AJ155" s="786"/>
      <c r="AK155" s="771"/>
      <c r="AL155" s="787" t="s">
        <v>251</v>
      </c>
      <c r="AM155" s="762">
        <v>640080</v>
      </c>
      <c r="AN155" s="820">
        <f t="shared" si="47"/>
        <v>0</v>
      </c>
      <c r="AO155" s="161">
        <v>0</v>
      </c>
      <c r="BG155" s="235"/>
      <c r="BH155" s="235"/>
    </row>
    <row r="156" spans="1:60" ht="14.65" customHeight="1">
      <c r="A156" s="112"/>
      <c r="B156" s="113"/>
      <c r="C156" s="113"/>
      <c r="D156" s="113"/>
      <c r="E156" s="113"/>
      <c r="F156" s="113"/>
      <c r="G156" s="113"/>
      <c r="H156" s="284"/>
      <c r="AH156" s="823">
        <f>SUM(AH148:AH155)</f>
        <v>0</v>
      </c>
      <c r="AI156" s="786"/>
      <c r="AJ156" s="786"/>
      <c r="AK156" s="777" t="s">
        <v>12</v>
      </c>
      <c r="AL156" s="824" t="s">
        <v>30</v>
      </c>
      <c r="AM156" s="825" t="s">
        <v>107</v>
      </c>
      <c r="AN156" s="820">
        <f>SUM(AN148:AN155)</f>
        <v>1</v>
      </c>
      <c r="AO156" s="259">
        <f>SUM(AO148:AO155)</f>
        <v>146846.69</v>
      </c>
      <c r="BG156" s="235"/>
      <c r="BH156" s="235"/>
    </row>
    <row r="157" spans="1:60">
      <c r="BG157" s="235"/>
      <c r="BH157" s="235"/>
    </row>
    <row r="158" spans="1:60">
      <c r="A158" s="72"/>
      <c r="B158" s="72"/>
      <c r="C158" s="72"/>
      <c r="D158" s="72"/>
      <c r="E158" s="72"/>
      <c r="F158" s="72"/>
      <c r="G158" s="72"/>
      <c r="H158" s="72"/>
    </row>
    <row r="159" spans="1:60">
      <c r="A159" s="82" t="s">
        <v>71</v>
      </c>
      <c r="B159" s="93"/>
      <c r="C159" s="93"/>
      <c r="D159" s="93"/>
      <c r="E159" s="93"/>
      <c r="F159" s="93"/>
      <c r="G159" s="93"/>
      <c r="H159" s="148"/>
    </row>
    <row r="160" spans="1:60" ht="15">
      <c r="A160" s="82"/>
      <c r="B160" s="1011" t="s">
        <v>189</v>
      </c>
      <c r="C160" s="1011"/>
      <c r="D160" s="1011"/>
      <c r="E160" s="202"/>
      <c r="F160" s="93"/>
      <c r="G160" s="93"/>
      <c r="H160" s="148"/>
    </row>
    <row r="161" spans="1:11" ht="15">
      <c r="A161" s="48"/>
      <c r="B161" s="1004" t="s">
        <v>72</v>
      </c>
      <c r="C161" s="1004"/>
      <c r="D161" s="342">
        <f>D41/7</f>
        <v>0</v>
      </c>
      <c r="E161" s="49" t="s">
        <v>354</v>
      </c>
      <c r="F161" s="456">
        <v>0.04</v>
      </c>
      <c r="G161" s="26"/>
      <c r="H161" s="77"/>
    </row>
    <row r="162" spans="1:11" ht="15">
      <c r="A162" s="48"/>
      <c r="B162" s="1004" t="s">
        <v>479</v>
      </c>
      <c r="C162" s="1004"/>
      <c r="D162" s="842">
        <v>40</v>
      </c>
      <c r="E162" s="200"/>
      <c r="F162" s="26"/>
      <c r="G162" s="26"/>
      <c r="H162" s="77"/>
      <c r="K162" s="949"/>
    </row>
    <row r="163" spans="1:11" ht="15">
      <c r="A163" s="48"/>
      <c r="B163" s="1004" t="s">
        <v>74</v>
      </c>
      <c r="C163" s="1004"/>
      <c r="D163" s="353">
        <v>1.5</v>
      </c>
      <c r="E163" s="201"/>
      <c r="F163" s="26"/>
      <c r="G163" s="26"/>
      <c r="H163" s="111"/>
    </row>
    <row r="164" spans="1:11" ht="15">
      <c r="A164" s="112"/>
      <c r="B164" s="1005" t="s">
        <v>160</v>
      </c>
      <c r="C164" s="1005"/>
      <c r="D164" s="456">
        <v>0.3</v>
      </c>
      <c r="E164" s="180"/>
      <c r="F164" s="113"/>
      <c r="G164" s="113"/>
      <c r="H164" s="181"/>
    </row>
    <row r="165" spans="1:11">
      <c r="A165" s="82"/>
      <c r="B165" s="93"/>
      <c r="C165" s="93"/>
      <c r="D165" s="182"/>
      <c r="E165" s="93"/>
      <c r="F165" s="93"/>
      <c r="G165" s="93"/>
      <c r="H165" s="191"/>
    </row>
    <row r="167" spans="1:11">
      <c r="B167" s="1006"/>
      <c r="C167" s="1006"/>
      <c r="D167" s="1006"/>
      <c r="F167" s="1006"/>
      <c r="G167" s="1006"/>
      <c r="H167" s="1006"/>
    </row>
    <row r="168" spans="1:11">
      <c r="B168" s="114"/>
      <c r="C168" s="114"/>
      <c r="D168" s="115"/>
      <c r="E168" s="6"/>
      <c r="F168" s="114"/>
      <c r="G168" s="114"/>
      <c r="H168" s="115"/>
    </row>
    <row r="169" spans="1:11">
      <c r="C169" s="116"/>
      <c r="D169" s="117"/>
      <c r="G169" s="116"/>
      <c r="H169" s="117"/>
    </row>
    <row r="170" spans="1:11">
      <c r="C170" s="116"/>
      <c r="D170" s="108"/>
      <c r="G170" s="116"/>
      <c r="H170" s="108"/>
    </row>
    <row r="171" spans="1:11">
      <c r="C171" s="118"/>
      <c r="D171" s="108"/>
      <c r="G171" s="118"/>
      <c r="H171" s="108"/>
    </row>
    <row r="172" spans="1:11">
      <c r="C172" s="119"/>
      <c r="D172" s="108"/>
      <c r="G172" s="119"/>
      <c r="H172" s="108"/>
    </row>
    <row r="173" spans="1:11">
      <c r="C173" s="120"/>
      <c r="D173" s="108"/>
      <c r="G173" s="120"/>
      <c r="H173" s="108"/>
    </row>
    <row r="174" spans="1:11">
      <c r="C174" s="118"/>
      <c r="D174" s="108"/>
      <c r="G174" s="118"/>
      <c r="H174" s="108"/>
    </row>
    <row r="175" spans="1:11" ht="15">
      <c r="C175" s="121"/>
      <c r="D175" s="122"/>
      <c r="G175" s="121"/>
      <c r="H175" s="122"/>
    </row>
    <row r="176" spans="1:11" ht="15">
      <c r="D176" s="123"/>
      <c r="H176" s="123"/>
    </row>
  </sheetData>
  <mergeCells count="41">
    <mergeCell ref="A1:V1"/>
    <mergeCell ref="AF1:AJ1"/>
    <mergeCell ref="AO1:BG1"/>
    <mergeCell ref="A2:J2"/>
    <mergeCell ref="B3:D3"/>
    <mergeCell ref="E3:G3"/>
    <mergeCell ref="H3:J3"/>
    <mergeCell ref="K3:M3"/>
    <mergeCell ref="N3:P3"/>
    <mergeCell ref="Q3:S3"/>
    <mergeCell ref="T3:V3"/>
    <mergeCell ref="W3:Y3"/>
    <mergeCell ref="AA3:AC3"/>
    <mergeCell ref="BH3:BJ3"/>
    <mergeCell ref="AM22:AN22"/>
    <mergeCell ref="AM26:AN26"/>
    <mergeCell ref="AB30:AD30"/>
    <mergeCell ref="C45:D45"/>
    <mergeCell ref="E45:F45"/>
    <mergeCell ref="G45:H45"/>
    <mergeCell ref="I45:J45"/>
    <mergeCell ref="K45:L45"/>
    <mergeCell ref="M45:N45"/>
    <mergeCell ref="O45:P45"/>
    <mergeCell ref="Q45:R45"/>
    <mergeCell ref="AM23:AN23"/>
    <mergeCell ref="B70:D70"/>
    <mergeCell ref="F70:H70"/>
    <mergeCell ref="B76:D76"/>
    <mergeCell ref="F76:H76"/>
    <mergeCell ref="E98:F98"/>
    <mergeCell ref="G98:H98"/>
    <mergeCell ref="B164:C164"/>
    <mergeCell ref="B167:D167"/>
    <mergeCell ref="F167:H167"/>
    <mergeCell ref="B111:D111"/>
    <mergeCell ref="F111:H111"/>
    <mergeCell ref="B160:D160"/>
    <mergeCell ref="B161:C161"/>
    <mergeCell ref="B162:C162"/>
    <mergeCell ref="B163:C16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U165"/>
  <sheetViews>
    <sheetView zoomScaleNormal="10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28515625" style="1" bestFit="1" customWidth="1"/>
    <col min="9" max="9" width="13.28515625" style="1" bestFit="1" customWidth="1"/>
    <col min="10" max="10" width="12.28515625" style="1" bestFit="1" customWidth="1"/>
    <col min="11" max="11" width="13.28515625" style="1" bestFit="1" customWidth="1"/>
    <col min="12" max="12" width="12.28515625" style="1" bestFit="1" customWidth="1"/>
    <col min="13" max="13" width="7.5703125" style="1" bestFit="1" customWidth="1"/>
    <col min="14" max="14" width="7.7109375" style="1" bestFit="1" customWidth="1"/>
    <col min="15" max="15" width="8.5703125" style="1" bestFit="1" customWidth="1"/>
    <col min="16" max="16" width="7.5703125" style="1" bestFit="1" customWidth="1"/>
    <col min="17" max="17" width="5.5703125" style="1" customWidth="1"/>
    <col min="18" max="18" width="15.28515625" style="1" bestFit="1" customWidth="1"/>
    <col min="19" max="19" width="13.5703125" style="1" bestFit="1" customWidth="1"/>
    <col min="20" max="20" width="11.28515625" style="1" bestFit="1" customWidth="1"/>
    <col min="21" max="21" width="13.42578125" style="1" bestFit="1" customWidth="1"/>
    <col min="22" max="22" width="7.28515625" style="1" bestFit="1" customWidth="1"/>
    <col min="23" max="23" width="12.42578125" style="1" customWidth="1" outlineLevel="1"/>
    <col min="24" max="24" width="9.7109375" style="1" customWidth="1" outlineLevel="1"/>
    <col min="25" max="25" width="12.42578125" style="1" customWidth="1" outlineLevel="1"/>
    <col min="26" max="26" width="11.5703125" style="1" customWidth="1" outlineLevel="1"/>
    <col min="27" max="27" width="11.7109375" style="1" customWidth="1" outlineLevel="1"/>
    <col min="28" max="28" width="5.28515625" style="62" customWidth="1" outlineLevel="1"/>
    <col min="29" max="29" width="16.5703125" style="1" customWidth="1" outlineLevel="1"/>
    <col min="30" max="31" width="9" style="1" customWidth="1" outlineLevel="1"/>
    <col min="32" max="32" width="12.42578125" style="1" customWidth="1" outlineLevel="1"/>
    <col min="33" max="33" width="12.42578125" style="1" bestFit="1" customWidth="1" outlineLevel="1"/>
    <col min="34" max="34" width="11.42578125" style="1" bestFit="1" customWidth="1" outlineLevel="1"/>
    <col min="35" max="35" width="12.42578125" style="1" customWidth="1" outlineLevel="1"/>
    <col min="36" max="36" width="11.5703125" style="135" customWidth="1" outlineLevel="1"/>
    <col min="37" max="37" width="11.5703125" style="1" customWidth="1" outlineLevel="1"/>
    <col min="38" max="38" width="10.5703125" style="1" bestFit="1" customWidth="1" outlineLevel="1"/>
    <col min="39" max="39" width="11.5703125" style="1" customWidth="1" outlineLevel="1"/>
    <col min="40" max="40" width="11.7109375" style="1" customWidth="1" outlineLevel="1"/>
    <col min="41" max="42" width="11.5703125" style="1" customWidth="1" outlineLevel="1"/>
    <col min="43" max="43" width="11.5703125" style="1" bestFit="1" customWidth="1" outlineLevel="1"/>
    <col min="44" max="45" width="11.5703125" style="1" bestFit="1" customWidth="1"/>
    <col min="46" max="47" width="10.28515625" style="1" bestFit="1" customWidth="1"/>
    <col min="48" max="242" width="8.5703125" style="1" customWidth="1"/>
    <col min="243" max="16384" width="10.5703125" style="1"/>
  </cols>
  <sheetData>
    <row r="1" spans="1:47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W1" s="1029" t="s">
        <v>216</v>
      </c>
      <c r="X1" s="1029"/>
      <c r="Y1" s="1029"/>
      <c r="Z1" s="1029"/>
      <c r="AA1" s="1029"/>
      <c r="AB1" s="245"/>
      <c r="AC1" s="246"/>
      <c r="AD1" s="128"/>
      <c r="AE1" s="128"/>
      <c r="AF1" s="1029" t="s">
        <v>225</v>
      </c>
      <c r="AG1" s="1029"/>
      <c r="AH1" s="1029"/>
      <c r="AI1" s="1029"/>
      <c r="AJ1" s="1029"/>
      <c r="AK1" s="1029"/>
      <c r="AL1" s="1029"/>
      <c r="AM1" s="1029"/>
      <c r="AN1" s="1029"/>
      <c r="AO1" s="248" t="s">
        <v>194</v>
      </c>
      <c r="AP1" s="248" t="s">
        <v>177</v>
      </c>
      <c r="AQ1" s="248" t="s">
        <v>282</v>
      </c>
      <c r="AR1" s="387" t="s">
        <v>107</v>
      </c>
      <c r="AS1" s="387" t="s">
        <v>194</v>
      </c>
      <c r="AT1" s="387" t="s">
        <v>177</v>
      </c>
      <c r="AU1" s="387" t="s">
        <v>282</v>
      </c>
    </row>
    <row r="2" spans="1:47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W2" s="10" t="s">
        <v>190</v>
      </c>
      <c r="X2" s="10" t="s">
        <v>55</v>
      </c>
      <c r="Y2" s="10" t="s">
        <v>3</v>
      </c>
      <c r="Z2" s="140" t="s">
        <v>1</v>
      </c>
      <c r="AA2" s="140" t="s">
        <v>215</v>
      </c>
      <c r="AB2" s="249" t="s">
        <v>2</v>
      </c>
      <c r="AC2" s="9" t="s">
        <v>223</v>
      </c>
      <c r="AD2" s="129" t="s">
        <v>226</v>
      </c>
      <c r="AE2" s="129" t="s">
        <v>227</v>
      </c>
      <c r="AF2" s="10" t="s">
        <v>194</v>
      </c>
      <c r="AG2" s="10" t="s">
        <v>177</v>
      </c>
      <c r="AH2" s="10" t="s">
        <v>282</v>
      </c>
      <c r="AI2" s="10" t="s">
        <v>3</v>
      </c>
      <c r="AJ2" s="140" t="s">
        <v>228</v>
      </c>
      <c r="AK2" s="140" t="s">
        <v>229</v>
      </c>
      <c r="AL2" s="140" t="s">
        <v>283</v>
      </c>
      <c r="AM2" s="140" t="s">
        <v>230</v>
      </c>
      <c r="AN2" s="140" t="s">
        <v>215</v>
      </c>
      <c r="AO2" s="249" t="s">
        <v>222</v>
      </c>
      <c r="AP2" s="249" t="s">
        <v>222</v>
      </c>
      <c r="AQ2" s="249" t="s">
        <v>222</v>
      </c>
      <c r="AR2" s="388" t="s">
        <v>327</v>
      </c>
      <c r="AS2" s="388" t="s">
        <v>327</v>
      </c>
      <c r="AT2" s="388" t="s">
        <v>327</v>
      </c>
      <c r="AU2" s="388" t="s">
        <v>327</v>
      </c>
    </row>
    <row r="3" spans="1:47" ht="17.25" customHeight="1">
      <c r="B3" s="1031" t="s">
        <v>476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477</v>
      </c>
      <c r="L3" s="1032"/>
      <c r="M3" s="1033"/>
      <c r="N3" s="1031" t="s">
        <v>478</v>
      </c>
      <c r="O3" s="1032"/>
      <c r="P3" s="1033"/>
      <c r="Q3" s="363"/>
      <c r="R3" s="1031" t="s">
        <v>309</v>
      </c>
      <c r="S3" s="1032"/>
      <c r="T3" s="1032"/>
      <c r="U3" s="1033"/>
      <c r="W3" s="4"/>
      <c r="X3" s="4"/>
      <c r="Y3" s="4"/>
      <c r="Z3" s="4"/>
      <c r="AA3" s="5"/>
      <c r="AB3" s="265"/>
      <c r="AC3" s="3"/>
      <c r="AD3" s="125"/>
      <c r="AE3" s="126"/>
      <c r="AF3" s="242"/>
      <c r="AG3" s="242"/>
      <c r="AH3" s="242"/>
      <c r="AI3" s="4"/>
      <c r="AJ3" s="242"/>
      <c r="AK3" s="242"/>
      <c r="AL3" s="242"/>
      <c r="AM3" s="242"/>
      <c r="AN3" s="5"/>
      <c r="AO3" s="1025"/>
      <c r="AP3" s="1025"/>
      <c r="AQ3" s="1025"/>
      <c r="AR3" s="389"/>
      <c r="AS3" s="389"/>
      <c r="AT3" s="389"/>
      <c r="AU3" s="389"/>
    </row>
    <row r="4" spans="1:47" s="6" customFormat="1" ht="16.5">
      <c r="B4" s="664" t="s">
        <v>464</v>
      </c>
      <c r="C4" s="185" t="s">
        <v>466</v>
      </c>
      <c r="D4" s="665" t="s">
        <v>465</v>
      </c>
      <c r="E4" s="664" t="s">
        <v>464</v>
      </c>
      <c r="F4" s="185" t="s">
        <v>466</v>
      </c>
      <c r="G4" s="665" t="s">
        <v>465</v>
      </c>
      <c r="H4" s="664" t="s">
        <v>464</v>
      </c>
      <c r="I4" s="185" t="s">
        <v>466</v>
      </c>
      <c r="J4" s="665" t="s">
        <v>465</v>
      </c>
      <c r="K4" s="664" t="s">
        <v>464</v>
      </c>
      <c r="L4" s="185" t="s">
        <v>466</v>
      </c>
      <c r="M4" s="665" t="s">
        <v>465</v>
      </c>
      <c r="N4" s="664" t="s">
        <v>464</v>
      </c>
      <c r="O4" s="185" t="s">
        <v>466</v>
      </c>
      <c r="P4" s="665" t="s">
        <v>465</v>
      </c>
      <c r="Q4" s="8"/>
      <c r="R4" s="664" t="s">
        <v>464</v>
      </c>
      <c r="S4" s="683" t="s">
        <v>306</v>
      </c>
      <c r="T4" s="683" t="s">
        <v>469</v>
      </c>
      <c r="U4" s="684" t="s">
        <v>470</v>
      </c>
      <c r="W4" s="10"/>
      <c r="X4" s="10"/>
      <c r="Y4" s="10"/>
      <c r="Z4" s="5"/>
      <c r="AA4" s="5"/>
      <c r="AB4" s="256"/>
      <c r="AC4" s="9"/>
      <c r="AD4" s="125"/>
      <c r="AE4" s="126"/>
      <c r="AF4" s="243"/>
      <c r="AG4" s="243"/>
      <c r="AH4" s="243"/>
      <c r="AI4" s="10"/>
      <c r="AJ4" s="244"/>
      <c r="AK4" s="244"/>
      <c r="AL4" s="244"/>
      <c r="AM4" s="244"/>
      <c r="AN4" s="5"/>
      <c r="AO4" s="5"/>
      <c r="AP4" s="5"/>
      <c r="AQ4" s="5"/>
      <c r="AR4" s="390"/>
      <c r="AS4" s="390"/>
      <c r="AT4" s="390"/>
      <c r="AU4" s="390"/>
    </row>
    <row r="5" spans="1:47" s="6" customFormat="1" ht="15">
      <c r="A5" s="11"/>
      <c r="B5" s="335"/>
      <c r="C5" s="13" t="s">
        <v>287</v>
      </c>
      <c r="D5" s="314"/>
      <c r="E5" s="321"/>
      <c r="F5" s="13" t="s">
        <v>287</v>
      </c>
      <c r="G5" s="322"/>
      <c r="H5" s="321"/>
      <c r="I5" s="13" t="s">
        <v>287</v>
      </c>
      <c r="J5" s="322"/>
      <c r="K5" s="321"/>
      <c r="L5" s="13" t="s">
        <v>287</v>
      </c>
      <c r="M5" s="322"/>
      <c r="N5" s="321"/>
      <c r="O5" s="13" t="s">
        <v>287</v>
      </c>
      <c r="P5" s="322"/>
      <c r="Q5" s="309"/>
      <c r="R5" s="321"/>
      <c r="S5" s="11"/>
      <c r="T5" s="11"/>
      <c r="U5" s="322"/>
      <c r="W5" s="15"/>
      <c r="X5" s="15"/>
      <c r="Y5" s="15"/>
      <c r="Z5" s="16"/>
      <c r="AA5" s="16"/>
      <c r="AB5" s="159"/>
      <c r="AC5" s="14"/>
      <c r="AD5" s="125"/>
      <c r="AE5" s="126"/>
      <c r="AF5" s="15"/>
      <c r="AG5" s="15"/>
      <c r="AH5" s="15"/>
      <c r="AI5" s="15"/>
      <c r="AJ5" s="16"/>
      <c r="AK5" s="16"/>
      <c r="AL5" s="16"/>
      <c r="AM5" s="16"/>
      <c r="AN5" s="16"/>
      <c r="AO5" s="16"/>
      <c r="AP5" s="16"/>
      <c r="AQ5" s="16"/>
      <c r="AR5" s="391"/>
      <c r="AS5" s="391"/>
      <c r="AT5" s="391"/>
      <c r="AU5" s="391"/>
    </row>
    <row r="6" spans="1:47" ht="15">
      <c r="A6" s="17" t="s">
        <v>4</v>
      </c>
      <c r="B6" s="668">
        <f>IF($B$24&lt;&gt;0,$D$56,0)</f>
        <v>4.6284642573161047E-2</v>
      </c>
      <c r="C6" s="666">
        <v>4.8917889727838434E-2</v>
      </c>
      <c r="D6" s="667">
        <v>3.738323662052577E-2</v>
      </c>
      <c r="E6" s="668">
        <f>$F$56</f>
        <v>0.14603302910492424</v>
      </c>
      <c r="F6" s="666">
        <v>0.1482862426540402</v>
      </c>
      <c r="G6" s="667">
        <v>0.10706625391381686</v>
      </c>
      <c r="H6" s="668">
        <f>IF($H$24&lt;&gt;0,$H$56,0)</f>
        <v>0.5815406062835875</v>
      </c>
      <c r="I6" s="666">
        <v>0.58125835091579836</v>
      </c>
      <c r="J6" s="667">
        <v>0.5066647876706033</v>
      </c>
      <c r="K6" s="668">
        <f>J56</f>
        <v>0.27654982296173175</v>
      </c>
      <c r="L6" s="666">
        <v>0.28027625220903413</v>
      </c>
      <c r="M6" s="667">
        <v>0</v>
      </c>
      <c r="N6" s="668">
        <f>L56</f>
        <v>0.14685585187605005</v>
      </c>
      <c r="O6" s="666">
        <v>0.18504974799327983</v>
      </c>
      <c r="P6" s="667">
        <v>0</v>
      </c>
      <c r="Q6" s="18"/>
      <c r="R6" s="668">
        <f>(B6*B$24+E6*E$24+H6*H$24+K6*K$24+N6*N$24)/R$24</f>
        <v>0.20606318604428597</v>
      </c>
      <c r="S6" s="666">
        <f>R6</f>
        <v>0.20606318604428597</v>
      </c>
      <c r="T6" s="666">
        <f>R6</f>
        <v>0.20606318604428597</v>
      </c>
      <c r="U6" s="667">
        <f>R6-T6</f>
        <v>0</v>
      </c>
      <c r="V6" s="1">
        <f>R6*$R$24</f>
        <v>14857.155713793019</v>
      </c>
      <c r="W6" s="24"/>
      <c r="X6" s="21"/>
      <c r="Y6" s="21"/>
      <c r="Z6" s="2"/>
      <c r="AA6" s="2"/>
      <c r="AB6" s="159"/>
      <c r="AC6" s="20"/>
      <c r="AD6" s="125"/>
      <c r="AE6" s="126"/>
      <c r="AF6" s="21"/>
      <c r="AG6" s="21"/>
      <c r="AH6" s="21"/>
      <c r="AI6" s="21"/>
      <c r="AJ6" s="2"/>
      <c r="AK6" s="2"/>
      <c r="AL6" s="2"/>
      <c r="AM6" s="2"/>
      <c r="AN6" s="2"/>
      <c r="AO6" s="2"/>
      <c r="AP6" s="2"/>
      <c r="AQ6" s="2"/>
      <c r="AR6" s="253"/>
      <c r="AS6" s="253"/>
      <c r="AT6" s="253"/>
      <c r="AU6" s="253"/>
    </row>
    <row r="7" spans="1:47" ht="15">
      <c r="A7" s="17" t="s">
        <v>5</v>
      </c>
      <c r="B7" s="672">
        <f>IF($B$24&lt;&gt;0,$D$104,0)</f>
        <v>5.8460609145492698E-3</v>
      </c>
      <c r="C7" s="251">
        <v>6.7184367154371882E-3</v>
      </c>
      <c r="D7" s="673">
        <v>5.644520175438596E-3</v>
      </c>
      <c r="E7" s="672">
        <f>$H$104</f>
        <v>5.1013841075769222E-2</v>
      </c>
      <c r="F7" s="251">
        <v>5.3032975011683359E-2</v>
      </c>
      <c r="G7" s="674">
        <v>4.635952916666667E-2</v>
      </c>
      <c r="H7" s="672">
        <f>IF($H$24&lt;&gt;0,$H$104,0)</f>
        <v>5.1013841075769222E-2</v>
      </c>
      <c r="I7" s="251">
        <v>5.5088299786421595E-2</v>
      </c>
      <c r="J7" s="673">
        <v>5.1146000000000004E-2</v>
      </c>
      <c r="K7" s="672">
        <f>B7</f>
        <v>5.8460609145492698E-3</v>
      </c>
      <c r="L7" s="251">
        <v>4.5711697648667593E-3</v>
      </c>
      <c r="M7" s="673">
        <v>0</v>
      </c>
      <c r="N7" s="672">
        <f t="shared" ref="N7:N11" si="0">B7</f>
        <v>5.8460609145492698E-3</v>
      </c>
      <c r="O7" s="251">
        <v>4.7608362889677057E-3</v>
      </c>
      <c r="P7" s="673">
        <v>0</v>
      </c>
      <c r="Q7" s="23"/>
      <c r="R7" s="672">
        <f>(B7*B$24+E7*E$24+H7*H$24+K7*K$24+N7*N$24)/R$24</f>
        <v>3.7169070735090154E-2</v>
      </c>
      <c r="S7" s="251">
        <v>6.5396806966618289E-3</v>
      </c>
      <c r="T7" s="251">
        <f>IF($R$22&lt;$S$22,R7,IF($R$12&lt;$S$12,R7,IF(AND($R$12&gt;$S$12,$R$20&lt;$S$20),(($S$7+$S$8+$S$9+$S$10+$S$11)+($S$20-$R$20))/($R$7+$R$8+$R$9+$R$10+$R$11)*R7,R7/($R$7+$R$8+$R$9+$R$10+$R$11)*($S$7+$S$8+$S$9+$S$10+$S$11))))</f>
        <v>1.5942837961380078E-2</v>
      </c>
      <c r="U7" s="673">
        <f t="shared" ref="U7:U11" si="1">R7-T7</f>
        <v>2.1226232773710076E-2</v>
      </c>
      <c r="V7" s="1">
        <f t="shared" ref="V7:V11" si="2">R7*$R$24</f>
        <v>2679.89</v>
      </c>
      <c r="W7" s="24">
        <f>ROUND($G$98*$H$98,0)</f>
        <v>2679890</v>
      </c>
      <c r="X7" s="24">
        <v>0</v>
      </c>
      <c r="Y7" s="24">
        <f>SUM(W7:X7)</f>
        <v>2679890</v>
      </c>
      <c r="Z7" s="19">
        <f>G98</f>
        <v>38506400</v>
      </c>
      <c r="AA7" s="25">
        <f>Y7/Z7</f>
        <v>6.9595963268443681E-2</v>
      </c>
      <c r="AB7" s="159" t="s">
        <v>6</v>
      </c>
      <c r="AC7" s="20" t="s">
        <v>7</v>
      </c>
      <c r="AD7" s="125">
        <v>630010</v>
      </c>
      <c r="AE7" s="126">
        <v>1</v>
      </c>
      <c r="AF7" s="24">
        <f>ROUND($B$104*$C$104*$B$24*1000,0)</f>
        <v>129198</v>
      </c>
      <c r="AG7" s="24">
        <f>ROUND($F$104*$G$104*$E$24*1000,0)</f>
        <v>1785484</v>
      </c>
      <c r="AH7" s="24">
        <f>ROUND($F$104*$G$104*$H$24*1000,0)</f>
        <v>765208</v>
      </c>
      <c r="AI7" s="24">
        <f>SUM(AF7:AH7)</f>
        <v>2679890</v>
      </c>
      <c r="AJ7" s="19">
        <f>$B$104*$B$24*1000</f>
        <v>1856400</v>
      </c>
      <c r="AK7" s="19">
        <f>$F$104*$E$24*1000</f>
        <v>25655000.000000004</v>
      </c>
      <c r="AL7" s="19">
        <f>$F$104*$H$24*1000</f>
        <v>10995000.000000002</v>
      </c>
      <c r="AM7" s="19">
        <f>SUM(AJ7:AL7)</f>
        <v>38506400.000000007</v>
      </c>
      <c r="AN7" s="25">
        <f>AI7/AM7</f>
        <v>6.9595963268443681E-2</v>
      </c>
      <c r="AO7" s="56">
        <f>ROUND(AJ7/$B$24,3)</f>
        <v>84</v>
      </c>
      <c r="AP7" s="56">
        <f>ROUND(AK7/$E$24,3)</f>
        <v>733</v>
      </c>
      <c r="AQ7" s="56">
        <f>IF($H$24&lt;&gt;0,ROUND(AL7/$H$24,3),0)</f>
        <v>733</v>
      </c>
      <c r="AR7" s="241">
        <f>U7*$R$24</f>
        <v>1530.4113829844964</v>
      </c>
      <c r="AS7" s="241">
        <f>$AR7/$AM7*AJ7</f>
        <v>73.781389363129733</v>
      </c>
      <c r="AT7" s="241">
        <f t="shared" ref="AT7:AU11" si="3">$AR7/$AM7*AK7</f>
        <v>1019.6409955349566</v>
      </c>
      <c r="AU7" s="241">
        <f t="shared" si="3"/>
        <v>436.98899808640999</v>
      </c>
    </row>
    <row r="8" spans="1:47" ht="15">
      <c r="A8" s="26" t="s">
        <v>8</v>
      </c>
      <c r="B8" s="675">
        <f>IF($B$24&lt;&gt;0,$D$109,0)</f>
        <v>2.5057337979094076E-2</v>
      </c>
      <c r="C8" s="251">
        <v>2.3250695603634748E-2</v>
      </c>
      <c r="D8" s="673">
        <v>1.757311140350877E-2</v>
      </c>
      <c r="E8" s="675">
        <f>$H$109</f>
        <v>1.4094752613240417E-2</v>
      </c>
      <c r="F8" s="251">
        <v>1.439344247035242E-2</v>
      </c>
      <c r="G8" s="673">
        <v>1.007329375E-2</v>
      </c>
      <c r="H8" s="675">
        <f>IF($H$24&lt;&gt;0,$H$109,0)</f>
        <v>1.4094752613240417E-2</v>
      </c>
      <c r="I8" s="251">
        <v>1.2985864992557116E-2</v>
      </c>
      <c r="J8" s="673">
        <v>1.2474500000000001E-2</v>
      </c>
      <c r="K8" s="675">
        <f t="shared" ref="K8:K11" si="4">B8</f>
        <v>2.5057337979094076E-2</v>
      </c>
      <c r="L8" s="251">
        <v>3.1930814796483312E-2</v>
      </c>
      <c r="M8" s="673">
        <v>0</v>
      </c>
      <c r="N8" s="675">
        <f t="shared" si="0"/>
        <v>2.5057337979094076E-2</v>
      </c>
      <c r="O8" s="251">
        <v>2.0645267873809967E-2</v>
      </c>
      <c r="P8" s="673">
        <v>0</v>
      </c>
      <c r="Q8" s="23"/>
      <c r="R8" s="675">
        <f t="shared" ref="R8:R11" si="5">(B8*B$24+E8*E$24+H8*H$24+K8*K$24+N8*N$24)/R$24</f>
        <v>1.7454990291262136E-2</v>
      </c>
      <c r="S8" s="251">
        <v>2.9646432510885341E-2</v>
      </c>
      <c r="T8" s="251">
        <f>IF($R$22&lt;$S$22,R8,IF($R$12&lt;$S$12,R8,IF(AND($R$12&gt;$S$12,$R$20&lt;$S$20),(($S$7+$S$8+$S$9+$S$10+$S$11)+($S$20-$R$20))/($R$7+$R$8+$R$9+$R$10+$R$11)*R8,R8/($R$7+$R$8+$R$9+$R$10+$R$11)*($S$7+$S$8+$S$9+$S$10+$S$11))))</f>
        <v>7.4869259932381707E-3</v>
      </c>
      <c r="U8" s="673">
        <f t="shared" si="1"/>
        <v>9.9680642980239653E-3</v>
      </c>
      <c r="V8" s="1">
        <f t="shared" si="2"/>
        <v>1258.5047999999999</v>
      </c>
      <c r="W8" s="24">
        <f>ROUND($D$98*$C$98,0)</f>
        <v>1258505</v>
      </c>
      <c r="X8" s="24">
        <v>0</v>
      </c>
      <c r="Y8" s="24">
        <f>SUM(W8:X8)</f>
        <v>1258505</v>
      </c>
      <c r="Z8" s="19">
        <f>C98*1000</f>
        <v>241079999.99999994</v>
      </c>
      <c r="AA8" s="25">
        <f>Y8/Z8</f>
        <v>5.2202795752447333E-3</v>
      </c>
      <c r="AB8" s="159" t="s">
        <v>9</v>
      </c>
      <c r="AC8" s="20" t="s">
        <v>10</v>
      </c>
      <c r="AD8" s="125" t="s">
        <v>75</v>
      </c>
      <c r="AE8" s="126">
        <v>1</v>
      </c>
      <c r="AF8" s="24">
        <f>ROUND($B$109*$C$109*$B$24*1000,0)</f>
        <v>553767</v>
      </c>
      <c r="AG8" s="24">
        <f>ROUND($F$109*$G$109*$E$24*1000,0)</f>
        <v>493316</v>
      </c>
      <c r="AH8" s="24">
        <f>ROUND($F$109*$G$109*$H$24*1000,0)</f>
        <v>211421</v>
      </c>
      <c r="AI8" s="24">
        <f t="shared" ref="AI8:AI11" si="6">SUM(AF8:AH8)</f>
        <v>1258504</v>
      </c>
      <c r="AJ8" s="19">
        <f>$B$109*$B$24*1000*1000</f>
        <v>106079999.99999999</v>
      </c>
      <c r="AK8" s="19">
        <f>$F$109*$E$24*1000*1000</f>
        <v>94499999.999999985</v>
      </c>
      <c r="AL8" s="19">
        <f>$F$109*$H$24*1000*1000</f>
        <v>40499999.999999993</v>
      </c>
      <c r="AM8" s="19">
        <f t="shared" ref="AM8:AM11" si="7">SUM(AJ8:AL8)</f>
        <v>241079999.99999997</v>
      </c>
      <c r="AN8" s="25">
        <f>AI8/AM8</f>
        <v>5.220275427244069E-3</v>
      </c>
      <c r="AO8" s="56">
        <f>ROUND(AJ8/$B$24,3)</f>
        <v>4800</v>
      </c>
      <c r="AP8" s="56">
        <f>ROUND(AK8/$E$24,3)</f>
        <v>2700</v>
      </c>
      <c r="AQ8" s="56">
        <f>IF($H$24&lt;&gt;0,ROUND(AL8/$H$24,3),0)</f>
        <v>2700</v>
      </c>
      <c r="AR8" s="241">
        <f>U8*$R$24</f>
        <v>718.69743588752794</v>
      </c>
      <c r="AS8" s="241">
        <f>$AR8/$AM8*AJ8</f>
        <v>316.24118134622933</v>
      </c>
      <c r="AT8" s="241">
        <f t="shared" si="3"/>
        <v>281.71937817890904</v>
      </c>
      <c r="AU8" s="241">
        <f t="shared" si="3"/>
        <v>120.73687636238958</v>
      </c>
    </row>
    <row r="9" spans="1:47" ht="15">
      <c r="A9" s="17" t="s">
        <v>11</v>
      </c>
      <c r="B9" s="675">
        <f>IF($B$24&lt;&gt;0,$H$119,0)</f>
        <v>4.9930653869625516E-2</v>
      </c>
      <c r="C9" s="251">
        <v>2.0888728808069957E-2</v>
      </c>
      <c r="D9" s="673">
        <v>9.1201588372432588E-3</v>
      </c>
      <c r="E9" s="675">
        <f>$H$119</f>
        <v>4.9930653869625516E-2</v>
      </c>
      <c r="F9" s="251">
        <v>2.1258138375900237E-2</v>
      </c>
      <c r="G9" s="673">
        <v>9.3875756480945125E-3</v>
      </c>
      <c r="H9" s="675">
        <f>IF($H$24&lt;&gt;0,$H$119,0)</f>
        <v>4.9930653869625516E-2</v>
      </c>
      <c r="I9" s="251">
        <v>1.5830357905637176E-2</v>
      </c>
      <c r="J9" s="673">
        <v>3.1944442500000003E-2</v>
      </c>
      <c r="K9" s="675">
        <f t="shared" si="4"/>
        <v>4.9930653869625516E-2</v>
      </c>
      <c r="L9" s="251">
        <v>1.8773030271302702E-2</v>
      </c>
      <c r="M9" s="673">
        <v>0</v>
      </c>
      <c r="N9" s="675">
        <f t="shared" si="0"/>
        <v>4.9930653869625516E-2</v>
      </c>
      <c r="O9" s="251">
        <v>2.4556496173231288E-2</v>
      </c>
      <c r="P9" s="673">
        <v>0</v>
      </c>
      <c r="Q9" s="23"/>
      <c r="R9" s="675">
        <f t="shared" si="5"/>
        <v>4.9930653869625516E-2</v>
      </c>
      <c r="S9" s="251">
        <v>1.4439611030478954E-2</v>
      </c>
      <c r="T9" s="251">
        <f>IF($R$22&lt;$S$22,R9,IF($R$12&lt;$S$12,R9,IF(AND($R$12&gt;$S$12,$R$20&lt;$S$20),(($S$7+$S$8+$S$9+$S$10+$S$11)+($S$20-$R$20))/($R$7+$R$8+$R$9+$R$10+$R$11)*R9,R9/($R$7+$R$8+$R$9+$R$10+$R$11)*($S$7+$S$8+$S$9+$S$10+$S$11))))</f>
        <v>2.1416632382947411E-2</v>
      </c>
      <c r="U9" s="673">
        <f t="shared" si="1"/>
        <v>2.8514021486678105E-2</v>
      </c>
      <c r="V9" s="1">
        <f t="shared" si="2"/>
        <v>3600.0001439999996</v>
      </c>
      <c r="W9" s="24">
        <f>ROUND($G$119,0)</f>
        <v>3600000</v>
      </c>
      <c r="X9" s="24">
        <v>0</v>
      </c>
      <c r="Y9" s="24">
        <f>SUM(W9:X9)</f>
        <v>3600000</v>
      </c>
      <c r="Z9" s="19">
        <f>$B$25*1000</f>
        <v>72100000</v>
      </c>
      <c r="AA9" s="25">
        <f>Y9/Z9</f>
        <v>4.9930651872399444E-2</v>
      </c>
      <c r="AB9" s="159" t="s">
        <v>12</v>
      </c>
      <c r="AC9" s="20" t="s">
        <v>13</v>
      </c>
      <c r="AD9" s="125" t="s">
        <v>76</v>
      </c>
      <c r="AE9" s="126">
        <v>1</v>
      </c>
      <c r="AF9" s="24">
        <f>$H$119*$B$24*1000</f>
        <v>1103467.4505187238</v>
      </c>
      <c r="AG9" s="24">
        <f>$H$119*$E$24*1000</f>
        <v>1747572.8854368932</v>
      </c>
      <c r="AH9" s="24">
        <f>$H$119*$H$24*1000</f>
        <v>748959.80804438272</v>
      </c>
      <c r="AI9" s="24">
        <f t="shared" si="6"/>
        <v>3600000.1439999999</v>
      </c>
      <c r="AJ9" s="19">
        <f>$B$24*1000</f>
        <v>22100000</v>
      </c>
      <c r="AK9" s="19">
        <f>$E$24*1000</f>
        <v>35000000</v>
      </c>
      <c r="AL9" s="19">
        <f>$H$24*1000</f>
        <v>15000000</v>
      </c>
      <c r="AM9" s="19">
        <f t="shared" si="7"/>
        <v>72100000</v>
      </c>
      <c r="AN9" s="25">
        <f>AI9/AM9</f>
        <v>4.9930653869625516E-2</v>
      </c>
      <c r="AO9" s="56">
        <f>ROUND(AJ9/$B$24,3)</f>
        <v>1000</v>
      </c>
      <c r="AP9" s="56">
        <f>ROUND(AK9/$E$24,3)</f>
        <v>1000</v>
      </c>
      <c r="AQ9" s="56">
        <f>IF($H$24&lt;&gt;0,ROUND(AL9/$H$24,3),0)</f>
        <v>1000</v>
      </c>
      <c r="AR9" s="241">
        <f>U9*$R$24</f>
        <v>2055.8609491894913</v>
      </c>
      <c r="AS9" s="241">
        <f t="shared" ref="AS9:AS11" si="8">$AR9/$AM9*AJ9</f>
        <v>630.15987485558605</v>
      </c>
      <c r="AT9" s="241">
        <f t="shared" si="3"/>
        <v>997.99075203373366</v>
      </c>
      <c r="AU9" s="241">
        <f t="shared" si="3"/>
        <v>427.71032230017153</v>
      </c>
    </row>
    <row r="10" spans="1:47" ht="15">
      <c r="A10" s="17" t="s">
        <v>14</v>
      </c>
      <c r="B10" s="675">
        <f>IF($B$24&lt;&gt;0,$H$123,0)</f>
        <v>6.6574202496532597E-3</v>
      </c>
      <c r="C10" s="251">
        <v>2.5984533297509871E-3</v>
      </c>
      <c r="D10" s="673">
        <v>7.9305733846812159E-4</v>
      </c>
      <c r="E10" s="675">
        <f>$H$123</f>
        <v>6.6574202496532597E-3</v>
      </c>
      <c r="F10" s="251">
        <v>2.0231731586708226E-3</v>
      </c>
      <c r="G10" s="673">
        <v>8.1631097560975617E-4</v>
      </c>
      <c r="H10" s="675">
        <f>IF($H$24&lt;&gt;0,$H$123,0)</f>
        <v>6.6574202496532597E-3</v>
      </c>
      <c r="I10" s="251">
        <v>3.5917746424179663E-3</v>
      </c>
      <c r="J10" s="673">
        <v>2.7777777777777783E-3</v>
      </c>
      <c r="K10" s="675">
        <f t="shared" si="4"/>
        <v>6.6574202496532597E-3</v>
      </c>
      <c r="L10" s="251">
        <v>2.1372028313709811E-3</v>
      </c>
      <c r="M10" s="673">
        <v>0</v>
      </c>
      <c r="N10" s="675">
        <f t="shared" si="0"/>
        <v>6.6574202496532597E-3</v>
      </c>
      <c r="O10" s="251">
        <v>1.6521560574948664E-3</v>
      </c>
      <c r="P10" s="673">
        <v>0</v>
      </c>
      <c r="Q10" s="23"/>
      <c r="R10" s="675">
        <f t="shared" si="5"/>
        <v>6.6574202496532597E-3</v>
      </c>
      <c r="S10" s="251">
        <v>1.1089114658925979E-3</v>
      </c>
      <c r="T10" s="251">
        <f>IF($R$22&lt;$S$22,R10,IF($R$12&lt;$S$12,R10,IF(AND($R$12&gt;$S$12,$R$20&lt;$S$20),(($S$7+$S$8+$S$9+$S$10+$S$11)+($S$20-$R$20))/($R$7+$R$8+$R$9+$R$10+$R$11)*R10,R10/($R$7+$R$8+$R$9+$R$10+$R$11)*($S$7+$S$8+$S$9+$S$10+$S$11))))</f>
        <v>2.8555508701709541E-3</v>
      </c>
      <c r="U10" s="673">
        <f t="shared" si="1"/>
        <v>3.8018693794823056E-3</v>
      </c>
      <c r="V10" s="1">
        <f t="shared" si="2"/>
        <v>480</v>
      </c>
      <c r="W10" s="24">
        <f>ROUND($G$123,0)</f>
        <v>480000</v>
      </c>
      <c r="X10" s="24">
        <v>0</v>
      </c>
      <c r="Y10" s="24">
        <f>SUM(W10:X10)</f>
        <v>480000</v>
      </c>
      <c r="Z10" s="19">
        <f>$B$25*1000</f>
        <v>72100000</v>
      </c>
      <c r="AA10" s="25">
        <f>Y10/Z10</f>
        <v>6.6574202496532597E-3</v>
      </c>
      <c r="AB10" s="159" t="s">
        <v>12</v>
      </c>
      <c r="AC10" s="20" t="s">
        <v>15</v>
      </c>
      <c r="AD10" s="125" t="s">
        <v>77</v>
      </c>
      <c r="AE10" s="126">
        <v>1</v>
      </c>
      <c r="AF10" s="24">
        <f>$H$123*$B$24*1000</f>
        <v>147128.98751733702</v>
      </c>
      <c r="AG10" s="24">
        <f>$H$123*$E$24*1000</f>
        <v>233009.7087378641</v>
      </c>
      <c r="AH10" s="24">
        <f>$H$123*$H$24*1000</f>
        <v>99861.30374479889</v>
      </c>
      <c r="AI10" s="24">
        <f t="shared" si="6"/>
        <v>480000</v>
      </c>
      <c r="AJ10" s="19">
        <f>$B$24*1000</f>
        <v>22100000</v>
      </c>
      <c r="AK10" s="19">
        <f>$E$24*1000</f>
        <v>35000000</v>
      </c>
      <c r="AL10" s="19">
        <f>$H$24*1000</f>
        <v>15000000</v>
      </c>
      <c r="AM10" s="19">
        <f t="shared" si="7"/>
        <v>72100000</v>
      </c>
      <c r="AN10" s="25">
        <f>AI10/AM10</f>
        <v>6.6574202496532597E-3</v>
      </c>
      <c r="AO10" s="56">
        <f>ROUND(AJ10/$B$24,3)</f>
        <v>1000</v>
      </c>
      <c r="AP10" s="56">
        <f>ROUND(AK10/$E$24,3)</f>
        <v>1000</v>
      </c>
      <c r="AQ10" s="56">
        <f>IF($H$24&lt;&gt;0,ROUND(AL10/$H$24,3),0)</f>
        <v>1000</v>
      </c>
      <c r="AR10" s="241">
        <f>U10*$R$24</f>
        <v>274.11478226067425</v>
      </c>
      <c r="AS10" s="241">
        <f t="shared" si="8"/>
        <v>84.02131328655895</v>
      </c>
      <c r="AT10" s="241">
        <f t="shared" si="3"/>
        <v>133.06542828188068</v>
      </c>
      <c r="AU10" s="241">
        <f t="shared" si="3"/>
        <v>57.028040692234583</v>
      </c>
    </row>
    <row r="11" spans="1:47" ht="15">
      <c r="A11" s="17" t="s">
        <v>16</v>
      </c>
      <c r="B11" s="676">
        <f>IF($B$24&lt;&gt;0,$H$126,0)</f>
        <v>1.6643550624133148E-2</v>
      </c>
      <c r="C11" s="677">
        <v>7.126124167183989E-3</v>
      </c>
      <c r="D11" s="678">
        <v>2.9739650192554556E-3</v>
      </c>
      <c r="E11" s="679">
        <f>$H$126</f>
        <v>1.6643550624133148E-2</v>
      </c>
      <c r="F11" s="677">
        <v>8.722240971826745E-3</v>
      </c>
      <c r="G11" s="680">
        <v>3.0611661585365855E-3</v>
      </c>
      <c r="H11" s="679">
        <f>IF($H$24&lt;&gt;0,$H$126,0)</f>
        <v>1.6643550624133148E-2</v>
      </c>
      <c r="I11" s="677">
        <v>6.8701844540806417E-3</v>
      </c>
      <c r="J11" s="680">
        <v>1.0416666666666666E-2</v>
      </c>
      <c r="K11" s="679">
        <f t="shared" si="4"/>
        <v>1.6643550624133148E-2</v>
      </c>
      <c r="L11" s="677">
        <v>7.8377165012072352E-3</v>
      </c>
      <c r="M11" s="680">
        <v>0</v>
      </c>
      <c r="N11" s="679">
        <f t="shared" si="0"/>
        <v>1.6643550624133148E-2</v>
      </c>
      <c r="O11" s="677">
        <v>1.1616427104722792E-2</v>
      </c>
      <c r="P11" s="680">
        <v>0</v>
      </c>
      <c r="Q11" s="31"/>
      <c r="R11" s="679">
        <f t="shared" si="5"/>
        <v>1.6643550624133148E-2</v>
      </c>
      <c r="S11" s="677">
        <v>3.106188679245283E-3</v>
      </c>
      <c r="T11" s="677">
        <f>IF($R$22&lt;$S$22,R11,IF($R$12&lt;$S$12,R11,IF(AND($R$12&gt;$S$12,$R$20&lt;$S$20),(($S$7+$S$8+$S$9+$S$10+$S$11)+($S$20-$R$20))/($R$7+$R$8+$R$9+$R$10+$R$11)*R11,R11/($R$7+$R$8+$R$9+$R$10+$R$11)*($S$7+$S$8+$S$9+$S$10+$S$11))))</f>
        <v>7.1388771754273845E-3</v>
      </c>
      <c r="U11" s="680">
        <f t="shared" si="1"/>
        <v>9.5046734487057635E-3</v>
      </c>
      <c r="V11" s="372">
        <f t="shared" si="2"/>
        <v>1200</v>
      </c>
      <c r="W11" s="28">
        <f>ROUND($G$126,0)</f>
        <v>1200000</v>
      </c>
      <c r="X11" s="28">
        <v>0</v>
      </c>
      <c r="Y11" s="28">
        <f>SUM(W11:X11)</f>
        <v>1200000</v>
      </c>
      <c r="Z11" s="19">
        <f>$B$25*1000</f>
        <v>72100000</v>
      </c>
      <c r="AA11" s="25">
        <f>Y11/Z11</f>
        <v>1.6643550624133148E-2</v>
      </c>
      <c r="AB11" s="159" t="s">
        <v>12</v>
      </c>
      <c r="AC11" s="20" t="s">
        <v>17</v>
      </c>
      <c r="AD11" s="125" t="s">
        <v>78</v>
      </c>
      <c r="AE11" s="127" t="s">
        <v>78</v>
      </c>
      <c r="AF11" s="28">
        <f>$H$126*$B$24*1000</f>
        <v>367822.46879334259</v>
      </c>
      <c r="AG11" s="28">
        <f>$H$126*$E$24*1000</f>
        <v>582524.27184466028</v>
      </c>
      <c r="AH11" s="28">
        <f>$H$126*$H$24*1000</f>
        <v>249653.25936199722</v>
      </c>
      <c r="AI11" s="28">
        <f t="shared" si="6"/>
        <v>1200000</v>
      </c>
      <c r="AJ11" s="19">
        <f>$B$24*1000</f>
        <v>22100000</v>
      </c>
      <c r="AK11" s="19">
        <f>$E$24*1000</f>
        <v>35000000</v>
      </c>
      <c r="AL11" s="19">
        <f>$H$24*1000</f>
        <v>15000000</v>
      </c>
      <c r="AM11" s="19">
        <f t="shared" si="7"/>
        <v>72100000</v>
      </c>
      <c r="AN11" s="25">
        <f>AI11/AM11</f>
        <v>1.6643550624133148E-2</v>
      </c>
      <c r="AO11" s="56">
        <f>ROUND(AJ11/$B$24,3)</f>
        <v>1000</v>
      </c>
      <c r="AP11" s="56">
        <f>ROUND(AK11/$E$24,3)</f>
        <v>1000</v>
      </c>
      <c r="AQ11" s="56">
        <f>IF($H$24&lt;&gt;0,ROUND(AL11/$H$24,3),0)</f>
        <v>1000</v>
      </c>
      <c r="AR11" s="384">
        <f>U11*$R$24</f>
        <v>685.2869556516855</v>
      </c>
      <c r="AS11" s="384">
        <f t="shared" si="8"/>
        <v>210.05328321639738</v>
      </c>
      <c r="AT11" s="384">
        <f t="shared" si="3"/>
        <v>332.66357070470173</v>
      </c>
      <c r="AU11" s="384">
        <f t="shared" si="3"/>
        <v>142.57010173058646</v>
      </c>
    </row>
    <row r="12" spans="1:47">
      <c r="A12" s="192" t="s">
        <v>169</v>
      </c>
      <c r="B12" s="675">
        <f t="shared" ref="B12:D12" si="9">SUM(B6:B11)</f>
        <v>0.1504196662102163</v>
      </c>
      <c r="C12" s="251">
        <f t="shared" si="9"/>
        <v>0.1095003283519153</v>
      </c>
      <c r="D12" s="673">
        <f t="shared" si="9"/>
        <v>7.348804939443998E-2</v>
      </c>
      <c r="E12" s="675">
        <f>SUM(E6:E11)</f>
        <v>0.28437324753734583</v>
      </c>
      <c r="F12" s="251">
        <f t="shared" ref="F12" si="10">SUM(F6:F11)</f>
        <v>0.24771621264247379</v>
      </c>
      <c r="G12" s="673">
        <f>SUM(G6:G11)</f>
        <v>0.17676412961272434</v>
      </c>
      <c r="H12" s="675">
        <f>SUM(H6:H11)</f>
        <v>0.719880824716009</v>
      </c>
      <c r="I12" s="251">
        <f t="shared" ref="I12" si="11">SUM(I6:I11)</f>
        <v>0.67562483269691287</v>
      </c>
      <c r="J12" s="673">
        <f>SUM(J6:J11)</f>
        <v>0.61542417461504784</v>
      </c>
      <c r="K12" s="675">
        <f>SUM(K6:K11)</f>
        <v>0.38068484659878704</v>
      </c>
      <c r="L12" s="251">
        <f t="shared" ref="L12" si="12">SUM(L6:L11)</f>
        <v>0.34552618637426513</v>
      </c>
      <c r="M12" s="673">
        <f>SUM(M6:M11)</f>
        <v>0</v>
      </c>
      <c r="N12" s="675">
        <f>SUM(N6:N11)</f>
        <v>0.25099087551310528</v>
      </c>
      <c r="O12" s="251">
        <f t="shared" ref="O12" si="13">SUM(O6:O11)</f>
        <v>0.24828093149150646</v>
      </c>
      <c r="P12" s="673">
        <f>SUM(P6:P11)</f>
        <v>0</v>
      </c>
      <c r="Q12" s="23"/>
      <c r="R12" s="675">
        <f>SUM(R6:R11)</f>
        <v>0.33391887181405022</v>
      </c>
      <c r="S12" s="251">
        <f t="shared" ref="S12:U12" si="14">SUM(S6:S11)</f>
        <v>0.26090401042744998</v>
      </c>
      <c r="T12" s="251">
        <f t="shared" si="14"/>
        <v>0.26090401042744998</v>
      </c>
      <c r="U12" s="673">
        <f t="shared" si="14"/>
        <v>7.3014861386600211E-2</v>
      </c>
      <c r="V12" s="1">
        <f>SUM(V7:V11)</f>
        <v>9218.3949439999997</v>
      </c>
      <c r="W12" s="29">
        <f>SUM(W7:W11)</f>
        <v>9218395</v>
      </c>
      <c r="X12" s="29">
        <f>SUM(X7:X11)</f>
        <v>0</v>
      </c>
      <c r="Y12" s="29">
        <f>SUM(Y7:Y11)</f>
        <v>9218395</v>
      </c>
      <c r="Z12" s="19"/>
      <c r="AA12" s="19"/>
      <c r="AB12" s="159"/>
      <c r="AC12" s="20"/>
      <c r="AD12" s="125"/>
      <c r="AE12" s="127"/>
      <c r="AF12" s="29">
        <f>SUM(AF7:AF11)</f>
        <v>2301383.9068294037</v>
      </c>
      <c r="AG12" s="29">
        <f>SUM(AG7:AG11)</f>
        <v>4841906.8660194175</v>
      </c>
      <c r="AH12" s="29">
        <f>SUM(AH7:AH11)</f>
        <v>2075103.3711511791</v>
      </c>
      <c r="AI12" s="29">
        <f>SUM(AI7:AI11)</f>
        <v>9218394.1439999994</v>
      </c>
      <c r="AJ12" s="19"/>
      <c r="AK12" s="19"/>
      <c r="AL12" s="19"/>
      <c r="AM12" s="19"/>
      <c r="AN12" s="19"/>
      <c r="AO12" s="19"/>
      <c r="AP12" s="19"/>
      <c r="AQ12" s="19"/>
      <c r="AR12" s="102">
        <f>SUM(AR7:AR11)</f>
        <v>5264.3715059738752</v>
      </c>
      <c r="AS12" s="102">
        <f t="shared" ref="AS12:AU12" si="15">SUM(AS7:AS11)</f>
        <v>1314.2570420679015</v>
      </c>
      <c r="AT12" s="102">
        <f t="shared" si="15"/>
        <v>2765.0801247341815</v>
      </c>
      <c r="AU12" s="102">
        <f t="shared" si="15"/>
        <v>1185.034339171792</v>
      </c>
    </row>
    <row r="13" spans="1:47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675"/>
      <c r="O13" s="251"/>
      <c r="P13" s="673"/>
      <c r="Q13" s="23"/>
      <c r="R13" s="675"/>
      <c r="S13" s="251"/>
      <c r="T13" s="251"/>
      <c r="U13" s="673"/>
      <c r="W13" s="29"/>
      <c r="X13" s="29"/>
      <c r="Y13" s="29"/>
      <c r="Z13" s="19"/>
      <c r="AA13" s="19"/>
      <c r="AB13" s="159"/>
      <c r="AC13" s="20"/>
      <c r="AD13" s="125"/>
      <c r="AE13" s="127"/>
      <c r="AF13" s="29"/>
      <c r="AG13" s="29"/>
      <c r="AH13" s="29"/>
      <c r="AI13" s="29"/>
      <c r="AJ13" s="19"/>
      <c r="AK13" s="19"/>
      <c r="AL13" s="19"/>
      <c r="AM13" s="19"/>
      <c r="AN13" s="19"/>
      <c r="AO13" s="19"/>
      <c r="AP13" s="19"/>
      <c r="AQ13" s="19"/>
      <c r="AR13" s="102"/>
      <c r="AS13" s="102"/>
      <c r="AT13" s="102"/>
      <c r="AU13" s="102"/>
    </row>
    <row r="14" spans="1:47">
      <c r="A14" s="17" t="s">
        <v>18</v>
      </c>
      <c r="B14" s="675">
        <f>IF($B$24&lt;&gt;0,$F$89/$B$24/1000,0)</f>
        <v>4.257129598906486E-2</v>
      </c>
      <c r="C14" s="251">
        <v>1.3083500137702623E-2</v>
      </c>
      <c r="D14" s="673">
        <v>1.5388494196625942E-2</v>
      </c>
      <c r="E14" s="675">
        <f>$H$89/($E$24+$H$24)/1000</f>
        <v>4.2571295989064853E-2</v>
      </c>
      <c r="F14" s="251">
        <v>1.53156155139797E-2</v>
      </c>
      <c r="G14" s="673">
        <v>1.5854473602379751E-2</v>
      </c>
      <c r="H14" s="675">
        <f>IF($H$24&lt;&gt;0,$H$89/($E$24+$H$24)/1000,0)</f>
        <v>4.2571295989064853E-2</v>
      </c>
      <c r="I14" s="251">
        <v>3.573798653808815E-2</v>
      </c>
      <c r="J14" s="673">
        <v>5.5160287540776363E-2</v>
      </c>
      <c r="K14" s="675">
        <f t="shared" ref="K14:K19" si="16">B14</f>
        <v>4.257129598906486E-2</v>
      </c>
      <c r="L14" s="251">
        <v>1.4090322130317941E-2</v>
      </c>
      <c r="M14" s="673">
        <v>0</v>
      </c>
      <c r="N14" s="675">
        <f t="shared" ref="N14:N19" si="17">B14</f>
        <v>4.257129598906486E-2</v>
      </c>
      <c r="O14" s="251">
        <v>1.3746770580548814E-2</v>
      </c>
      <c r="P14" s="673">
        <v>0</v>
      </c>
      <c r="Q14" s="23"/>
      <c r="R14" s="675">
        <f t="shared" ref="R14:R19" si="18">(B14*B$24+E14*E$24+H14*H$24+K14*K$24+N14*N$24)/R$24</f>
        <v>4.2571295989064853E-2</v>
      </c>
      <c r="S14" s="251">
        <v>1.130844702467344E-2</v>
      </c>
      <c r="T14" s="251">
        <f>R14</f>
        <v>4.2571295989064853E-2</v>
      </c>
      <c r="U14" s="673">
        <f t="shared" ref="U14:U19" si="19">R14-T14</f>
        <v>0</v>
      </c>
      <c r="V14" s="1">
        <f t="shared" ref="V14:V19" si="20">R14*$R$24</f>
        <v>3069.3904408115759</v>
      </c>
      <c r="W14" s="24">
        <f>ROUND($D$78,0)</f>
        <v>3069390</v>
      </c>
      <c r="X14" s="24">
        <f>ROUND($D$77,0)</f>
        <v>35205</v>
      </c>
      <c r="Y14" s="24">
        <f t="shared" ref="Y14:Y19" si="21">SUM(W14:X14)</f>
        <v>3104595</v>
      </c>
      <c r="Z14" s="19">
        <f>$B$76</f>
        <v>99348</v>
      </c>
      <c r="AA14" s="25">
        <f t="shared" ref="AA14:AA19" si="22">Y14/Z14</f>
        <v>31.249698031163184</v>
      </c>
      <c r="AB14" s="159" t="s">
        <v>19</v>
      </c>
      <c r="AC14" s="20" t="s">
        <v>20</v>
      </c>
      <c r="AD14" s="125" t="s">
        <v>78</v>
      </c>
      <c r="AE14" s="127" t="s">
        <v>78</v>
      </c>
      <c r="AF14" s="24">
        <f>$F89</f>
        <v>940825.64135833329</v>
      </c>
      <c r="AG14" s="24">
        <f>$H89/($E$24+$H$24)*E24</f>
        <v>1489995.3596172698</v>
      </c>
      <c r="AH14" s="24">
        <f>$H89/($E$24+$H$24)*H24</f>
        <v>638569.43983597273</v>
      </c>
      <c r="AI14" s="24">
        <f t="shared" ref="AI14:AI19" si="23">SUM(AF14:AH14)</f>
        <v>3069390.4408115759</v>
      </c>
      <c r="AJ14" s="19">
        <f>$E89</f>
        <v>30106.709691400829</v>
      </c>
      <c r="AK14" s="19">
        <f>$G89/($E$24+$H$24)*E24</f>
        <v>47680.309466019404</v>
      </c>
      <c r="AL14" s="19">
        <f>$G89/($E$24+$H$24)*H24</f>
        <v>20434.418342579746</v>
      </c>
      <c r="AM14" s="19">
        <f t="shared" ref="AM14:AM19" si="24">SUM(AJ14:AL14)</f>
        <v>98221.437499999971</v>
      </c>
      <c r="AN14" s="25">
        <f t="shared" ref="AN14:AN19" si="25">AI14/AM14</f>
        <v>31.249699851028719</v>
      </c>
      <c r="AO14" s="56">
        <f t="shared" ref="AO14:AO19" si="26">ROUND(AJ14/$B$24,3)</f>
        <v>1.3620000000000001</v>
      </c>
      <c r="AP14" s="56">
        <f t="shared" ref="AP14:AP19" si="27">ROUND(AK14/$E$24,3)</f>
        <v>1.3620000000000001</v>
      </c>
      <c r="AQ14" s="56">
        <f t="shared" ref="AQ14:AQ19" si="28">IF($H$24&lt;&gt;0,ROUND(AL14/$H$24,3),0)</f>
        <v>1.3620000000000001</v>
      </c>
      <c r="AR14" s="241">
        <f t="shared" ref="AR14:AR19" si="29">U14*$R$24</f>
        <v>0</v>
      </c>
      <c r="AS14" s="241">
        <f t="shared" ref="AS14:AU19" si="30">$AR14/$AM14*AJ14</f>
        <v>0</v>
      </c>
      <c r="AT14" s="241">
        <f t="shared" si="30"/>
        <v>0</v>
      </c>
      <c r="AU14" s="241">
        <f t="shared" si="30"/>
        <v>0</v>
      </c>
    </row>
    <row r="15" spans="1:47">
      <c r="A15" s="17" t="s">
        <v>21</v>
      </c>
      <c r="B15" s="675">
        <f>IF($B$24&lt;&gt;0,$F$90/$B$24/1000,0)</f>
        <v>1.6724099044660198E-2</v>
      </c>
      <c r="C15" s="251">
        <v>5.5430532793763086E-3</v>
      </c>
      <c r="D15" s="673">
        <v>5.4755569051261627E-3</v>
      </c>
      <c r="E15" s="675">
        <f>$H$90/($E$24+$H$24)/1000</f>
        <v>1.6724099044660195E-2</v>
      </c>
      <c r="F15" s="251">
        <v>6.4201194447931816E-3</v>
      </c>
      <c r="G15" s="673">
        <v>5.6361084910507321E-3</v>
      </c>
      <c r="H15" s="675">
        <f>IF($H$24&lt;&gt;0,$H$90/($E$24+$H$24)/1000,0)</f>
        <v>1.6724099044660195E-2</v>
      </c>
      <c r="I15" s="251">
        <v>1.4775811274351177E-2</v>
      </c>
      <c r="J15" s="673">
        <v>1.9178790176000004E-2</v>
      </c>
      <c r="K15" s="675">
        <f t="shared" si="16"/>
        <v>1.6724099044660198E-2</v>
      </c>
      <c r="L15" s="251">
        <v>6.1446048803393584E-3</v>
      </c>
      <c r="M15" s="673">
        <v>0</v>
      </c>
      <c r="N15" s="675">
        <f t="shared" si="17"/>
        <v>1.6724099044660198E-2</v>
      </c>
      <c r="O15" s="251">
        <v>6.2273100616016428E-3</v>
      </c>
      <c r="P15" s="673">
        <v>0</v>
      </c>
      <c r="Q15" s="23"/>
      <c r="R15" s="675">
        <f t="shared" si="18"/>
        <v>1.6724099044660198E-2</v>
      </c>
      <c r="S15" s="251">
        <v>5.2712801161103051E-3</v>
      </c>
      <c r="T15" s="251">
        <f>S22-T12-T14</f>
        <v>-3.9009911995147722E-3</v>
      </c>
      <c r="U15" s="673">
        <f t="shared" si="19"/>
        <v>2.0625090244174971E-2</v>
      </c>
      <c r="V15" s="1">
        <f t="shared" si="20"/>
        <v>1205.8075411200002</v>
      </c>
      <c r="W15" s="24">
        <f>ROUND($H$76,0)</f>
        <v>1205808</v>
      </c>
      <c r="X15" s="24">
        <v>0</v>
      </c>
      <c r="Y15" s="24">
        <f t="shared" si="21"/>
        <v>1205808</v>
      </c>
      <c r="Z15" s="19">
        <f>$F$76</f>
        <v>36691.200000000004</v>
      </c>
      <c r="AA15" s="25">
        <f t="shared" si="22"/>
        <v>32.863683935112505</v>
      </c>
      <c r="AB15" s="159" t="s">
        <v>19</v>
      </c>
      <c r="AC15" s="20" t="s">
        <v>22</v>
      </c>
      <c r="AD15" s="125" t="s">
        <v>78</v>
      </c>
      <c r="AE15" s="127" t="s">
        <v>78</v>
      </c>
      <c r="AF15" s="24">
        <f>$F90</f>
        <v>369602.58888699039</v>
      </c>
      <c r="AG15" s="24">
        <f>$H90/($E$24+$H$24)*E24</f>
        <v>585343.46656310686</v>
      </c>
      <c r="AH15" s="24">
        <f>$H90/($E$24+$H$24)*H24</f>
        <v>250861.48566990293</v>
      </c>
      <c r="AI15" s="24">
        <f t="shared" si="23"/>
        <v>1205807.5411200002</v>
      </c>
      <c r="AJ15" s="19">
        <f>$E90</f>
        <v>11246.539805825245</v>
      </c>
      <c r="AK15" s="19">
        <f>$G90/($E$24+$H$24)*E24</f>
        <v>17811.262135922334</v>
      </c>
      <c r="AL15" s="19">
        <f>$G90/($E$24+$H$24)*H24</f>
        <v>7633.3980582524282</v>
      </c>
      <c r="AM15" s="19">
        <f t="shared" si="24"/>
        <v>36691.200000000012</v>
      </c>
      <c r="AN15" s="25">
        <f t="shared" si="25"/>
        <v>32.863671428571422</v>
      </c>
      <c r="AO15" s="56">
        <f t="shared" si="26"/>
        <v>0.50900000000000001</v>
      </c>
      <c r="AP15" s="56">
        <f t="shared" si="27"/>
        <v>0.50900000000000001</v>
      </c>
      <c r="AQ15" s="56">
        <f t="shared" si="28"/>
        <v>0.50900000000000001</v>
      </c>
      <c r="AR15" s="241">
        <f t="shared" si="29"/>
        <v>1487.0690066050154</v>
      </c>
      <c r="AS15" s="241">
        <f t="shared" si="30"/>
        <v>455.81449439626675</v>
      </c>
      <c r="AT15" s="241">
        <f t="shared" si="30"/>
        <v>721.87815854612381</v>
      </c>
      <c r="AU15" s="241">
        <f t="shared" si="30"/>
        <v>309.37635366262447</v>
      </c>
    </row>
    <row r="16" spans="1:47">
      <c r="A16" s="17" t="s">
        <v>23</v>
      </c>
      <c r="B16" s="672">
        <f>IF($B$24&lt;&gt;0,$F$91/$B$24/1000,0)</f>
        <v>2.3642297708391668E-2</v>
      </c>
      <c r="C16" s="251">
        <v>7.1493218677338953E-3</v>
      </c>
      <c r="D16" s="673">
        <v>9.3107449328913277E-3</v>
      </c>
      <c r="E16" s="672">
        <f>$H$91/($E$24+$H$24)/1000</f>
        <v>2.3642297708391664E-2</v>
      </c>
      <c r="F16" s="251">
        <v>8.2509872979517947E-3</v>
      </c>
      <c r="G16" s="674">
        <v>9.5926838500795496E-3</v>
      </c>
      <c r="H16" s="672">
        <f>IF($H$24&lt;&gt;0,$H$91/($E$24+$H$24)/1000,0)</f>
        <v>2.3642297708391664E-2</v>
      </c>
      <c r="I16" s="251">
        <v>1.9322726684356997E-2</v>
      </c>
      <c r="J16" s="673">
        <v>3.3374504428751707E-2</v>
      </c>
      <c r="K16" s="672">
        <f t="shared" si="16"/>
        <v>2.3642297708391668E-2</v>
      </c>
      <c r="L16" s="251">
        <v>8.0163111589140277E-3</v>
      </c>
      <c r="M16" s="673">
        <v>0</v>
      </c>
      <c r="N16" s="672">
        <f t="shared" si="17"/>
        <v>2.3642297708391668E-2</v>
      </c>
      <c r="O16" s="251">
        <v>7.4639163711032299E-3</v>
      </c>
      <c r="P16" s="673">
        <v>0</v>
      </c>
      <c r="Q16" s="23"/>
      <c r="R16" s="672">
        <f t="shared" si="18"/>
        <v>2.3642297708391668E-2</v>
      </c>
      <c r="S16" s="251">
        <v>8.0958838896952098E-3</v>
      </c>
      <c r="T16" s="251">
        <f>S22-T12-T14-T15</f>
        <v>0</v>
      </c>
      <c r="U16" s="673">
        <f t="shared" si="19"/>
        <v>2.3642297708391668E-2</v>
      </c>
      <c r="V16" s="1">
        <f t="shared" si="20"/>
        <v>1704.6096647750392</v>
      </c>
      <c r="W16" s="24">
        <f>ROUND($D$86,0)</f>
        <v>1704610</v>
      </c>
      <c r="X16" s="24">
        <f>ROUND($D$85,0)</f>
        <v>19551</v>
      </c>
      <c r="Y16" s="24">
        <f t="shared" si="21"/>
        <v>1724161</v>
      </c>
      <c r="Z16" s="19">
        <f>$B$84</f>
        <v>99348</v>
      </c>
      <c r="AA16" s="25">
        <f t="shared" si="22"/>
        <v>17.354763055119378</v>
      </c>
      <c r="AB16" s="159" t="s">
        <v>19</v>
      </c>
      <c r="AC16" s="20" t="s">
        <v>24</v>
      </c>
      <c r="AD16" s="125" t="s">
        <v>78</v>
      </c>
      <c r="AE16" s="127" t="s">
        <v>78</v>
      </c>
      <c r="AF16" s="24">
        <f>$F91</f>
        <v>522494.77935545583</v>
      </c>
      <c r="AG16" s="24">
        <f>$H91/($E$24+$H$24)*E24</f>
        <v>827480.41979370825</v>
      </c>
      <c r="AH16" s="24">
        <f>$H91/($E$24+$H$24)*H24</f>
        <v>354634.46562587493</v>
      </c>
      <c r="AI16" s="24">
        <f t="shared" si="23"/>
        <v>1704609.6647750391</v>
      </c>
      <c r="AJ16" s="19">
        <f>$E91</f>
        <v>30106.709691400829</v>
      </c>
      <c r="AK16" s="19">
        <f>$G91/($E$24+$H$24)*E24</f>
        <v>47680.309466019404</v>
      </c>
      <c r="AL16" s="19">
        <f>$G91/($E$24+$H$24)*H24</f>
        <v>20434.418342579746</v>
      </c>
      <c r="AM16" s="19">
        <f t="shared" si="24"/>
        <v>98221.437499999971</v>
      </c>
      <c r="AN16" s="25">
        <f t="shared" si="25"/>
        <v>17.354761935499464</v>
      </c>
      <c r="AO16" s="56">
        <f t="shared" si="26"/>
        <v>1.3620000000000001</v>
      </c>
      <c r="AP16" s="56">
        <f t="shared" si="27"/>
        <v>1.3620000000000001</v>
      </c>
      <c r="AQ16" s="56">
        <f t="shared" si="28"/>
        <v>1.3620000000000001</v>
      </c>
      <c r="AR16" s="241">
        <f t="shared" si="29"/>
        <v>1704.6096647750392</v>
      </c>
      <c r="AS16" s="241">
        <f t="shared" si="30"/>
        <v>522.49477935545599</v>
      </c>
      <c r="AT16" s="241">
        <f t="shared" si="30"/>
        <v>827.48041979370839</v>
      </c>
      <c r="AU16" s="241">
        <f t="shared" si="30"/>
        <v>354.63446562587507</v>
      </c>
    </row>
    <row r="17" spans="1:47">
      <c r="A17" s="26" t="s">
        <v>25</v>
      </c>
      <c r="B17" s="675">
        <f>IF($B$24&lt;&gt;0,$D$136,0)</f>
        <v>5.2565880721220527E-3</v>
      </c>
      <c r="C17" s="251">
        <v>2.0941539157395359E-3</v>
      </c>
      <c r="D17" s="673">
        <v>1.4661647544929397E-3</v>
      </c>
      <c r="E17" s="675">
        <f>$E$136</f>
        <v>5.2565880721220527E-3</v>
      </c>
      <c r="F17" s="251">
        <v>2.2554739961018855E-3</v>
      </c>
      <c r="G17" s="673">
        <v>1.5091549161585364E-3</v>
      </c>
      <c r="H17" s="675">
        <f>IF($H$24&lt;&gt;0,$E$136,0)</f>
        <v>5.2565880721220527E-3</v>
      </c>
      <c r="I17" s="251">
        <v>1.9750708691994045E-3</v>
      </c>
      <c r="J17" s="673">
        <v>5.1354166666666666E-3</v>
      </c>
      <c r="K17" s="675">
        <f t="shared" si="16"/>
        <v>5.2565880721220527E-3</v>
      </c>
      <c r="L17" s="251">
        <v>2.4827481177601583E-3</v>
      </c>
      <c r="M17" s="673">
        <v>0</v>
      </c>
      <c r="N17" s="675">
        <f t="shared" si="17"/>
        <v>5.2565880721220527E-3</v>
      </c>
      <c r="O17" s="251">
        <v>2.5772820608549562E-3</v>
      </c>
      <c r="P17" s="673">
        <v>0</v>
      </c>
      <c r="Q17" s="23"/>
      <c r="R17" s="675">
        <f t="shared" si="18"/>
        <v>5.2565880721220527E-3</v>
      </c>
      <c r="S17" s="251">
        <v>2.0913265602322205E-3</v>
      </c>
      <c r="T17" s="251">
        <f>S22-T12-T14-T15-T16</f>
        <v>0</v>
      </c>
      <c r="U17" s="673">
        <f t="shared" si="19"/>
        <v>5.2565880721220527E-3</v>
      </c>
      <c r="V17" s="1">
        <f t="shared" si="20"/>
        <v>379</v>
      </c>
      <c r="W17" s="24">
        <f>ROUND($C$136,0)</f>
        <v>379000</v>
      </c>
      <c r="X17" s="24">
        <v>0</v>
      </c>
      <c r="Y17" s="24">
        <f t="shared" si="21"/>
        <v>379000</v>
      </c>
      <c r="Z17" s="19">
        <f>$B$25*1000</f>
        <v>72100000</v>
      </c>
      <c r="AA17" s="25">
        <f t="shared" si="22"/>
        <v>5.2565880721220527E-3</v>
      </c>
      <c r="AB17" s="159" t="s">
        <v>12</v>
      </c>
      <c r="AC17" s="20" t="s">
        <v>26</v>
      </c>
      <c r="AD17" s="125" t="s">
        <v>99</v>
      </c>
      <c r="AE17" s="127">
        <v>1</v>
      </c>
      <c r="AF17" s="24">
        <f>$D$136*$B$24*1000</f>
        <v>116170.59639389737</v>
      </c>
      <c r="AG17" s="24">
        <f>$E$136*$E$24*1000</f>
        <v>183980.58252427186</v>
      </c>
      <c r="AH17" s="24">
        <f>$E$136*$H$24*1000</f>
        <v>78848.821081830785</v>
      </c>
      <c r="AI17" s="24">
        <f t="shared" si="23"/>
        <v>379000</v>
      </c>
      <c r="AJ17" s="19">
        <f t="shared" ref="AJ17:AL18" si="31">ROUND(AF17/$AA17,0)</f>
        <v>22100000</v>
      </c>
      <c r="AK17" s="19">
        <f t="shared" si="31"/>
        <v>35000000</v>
      </c>
      <c r="AL17" s="19">
        <f t="shared" si="31"/>
        <v>15000000</v>
      </c>
      <c r="AM17" s="19">
        <f t="shared" si="24"/>
        <v>72100000</v>
      </c>
      <c r="AN17" s="25">
        <f t="shared" si="25"/>
        <v>5.2565880721220527E-3</v>
      </c>
      <c r="AO17" s="56">
        <f t="shared" si="26"/>
        <v>1000</v>
      </c>
      <c r="AP17" s="56">
        <f t="shared" si="27"/>
        <v>1000</v>
      </c>
      <c r="AQ17" s="56">
        <f t="shared" si="28"/>
        <v>1000</v>
      </c>
      <c r="AR17" s="241">
        <f t="shared" si="29"/>
        <v>379</v>
      </c>
      <c r="AS17" s="241">
        <f t="shared" si="30"/>
        <v>116.17059639389737</v>
      </c>
      <c r="AT17" s="241">
        <f t="shared" si="30"/>
        <v>183.98058252427185</v>
      </c>
      <c r="AU17" s="241">
        <f t="shared" si="30"/>
        <v>78.848821081830792</v>
      </c>
    </row>
    <row r="18" spans="1:47">
      <c r="A18" s="26" t="s">
        <v>27</v>
      </c>
      <c r="B18" s="675">
        <f>IF($B$24&lt;&gt;0,$D$137,0)</f>
        <v>5.5478502080443829E-3</v>
      </c>
      <c r="C18" s="251">
        <v>2.2245575361439971E-3</v>
      </c>
      <c r="D18" s="673">
        <v>1.1301067073170733E-3</v>
      </c>
      <c r="E18" s="675">
        <f>$E$137</f>
        <v>5.5478502080443829E-3</v>
      </c>
      <c r="F18" s="251">
        <v>2.5373784106710764E-3</v>
      </c>
      <c r="G18" s="673">
        <v>1.1632431402439022E-3</v>
      </c>
      <c r="H18" s="675">
        <f>IF($H$24&lt;&gt;0,$E$137,0)</f>
        <v>5.5478502080443829E-3</v>
      </c>
      <c r="I18" s="251">
        <v>1.7392298233124069E-3</v>
      </c>
      <c r="J18" s="673">
        <v>3.9583333333333337E-3</v>
      </c>
      <c r="K18" s="675">
        <f t="shared" si="16"/>
        <v>5.5478502080443829E-3</v>
      </c>
      <c r="L18" s="251">
        <v>2.1055704146479984E-3</v>
      </c>
      <c r="M18" s="673">
        <v>0</v>
      </c>
      <c r="N18" s="675">
        <f t="shared" si="17"/>
        <v>5.5478502080443829E-3</v>
      </c>
      <c r="O18" s="251">
        <v>4.2373716632443529E-3</v>
      </c>
      <c r="P18" s="673">
        <v>0</v>
      </c>
      <c r="Q18" s="23"/>
      <c r="R18" s="675">
        <f t="shared" si="18"/>
        <v>5.5478502080443829E-3</v>
      </c>
      <c r="S18" s="251">
        <v>3.1981538461538462E-3</v>
      </c>
      <c r="T18" s="251">
        <f>S22-T12-T14-T15-T16-T17</f>
        <v>0</v>
      </c>
      <c r="U18" s="673">
        <f t="shared" si="19"/>
        <v>5.5478502080443829E-3</v>
      </c>
      <c r="V18" s="1">
        <f t="shared" si="20"/>
        <v>400</v>
      </c>
      <c r="W18" s="24">
        <f>ROUND($C$137,0)</f>
        <v>400000</v>
      </c>
      <c r="X18" s="24">
        <v>0</v>
      </c>
      <c r="Y18" s="24">
        <f t="shared" si="21"/>
        <v>400000</v>
      </c>
      <c r="Z18" s="19">
        <f>$B$25*1000</f>
        <v>72100000</v>
      </c>
      <c r="AA18" s="25">
        <f t="shared" si="22"/>
        <v>5.5478502080443829E-3</v>
      </c>
      <c r="AB18" s="159" t="s">
        <v>12</v>
      </c>
      <c r="AC18" s="20" t="s">
        <v>28</v>
      </c>
      <c r="AD18" s="125" t="s">
        <v>78</v>
      </c>
      <c r="AE18" s="127" t="s">
        <v>78</v>
      </c>
      <c r="AF18" s="24">
        <f>$D$137*$B$24*1000</f>
        <v>122607.48959778086</v>
      </c>
      <c r="AG18" s="24">
        <f>$E$137*$E$24*1000</f>
        <v>194174.75728155341</v>
      </c>
      <c r="AH18" s="24">
        <f>$E$137*$H$24*1000</f>
        <v>83217.753120665744</v>
      </c>
      <c r="AI18" s="24">
        <f t="shared" si="23"/>
        <v>400000</v>
      </c>
      <c r="AJ18" s="19">
        <f t="shared" si="31"/>
        <v>22100000</v>
      </c>
      <c r="AK18" s="19">
        <f t="shared" si="31"/>
        <v>35000000</v>
      </c>
      <c r="AL18" s="19">
        <f t="shared" si="31"/>
        <v>15000000</v>
      </c>
      <c r="AM18" s="19">
        <f t="shared" si="24"/>
        <v>72100000</v>
      </c>
      <c r="AN18" s="25">
        <f t="shared" si="25"/>
        <v>5.5478502080443829E-3</v>
      </c>
      <c r="AO18" s="56">
        <f t="shared" si="26"/>
        <v>1000</v>
      </c>
      <c r="AP18" s="56">
        <f t="shared" si="27"/>
        <v>1000</v>
      </c>
      <c r="AQ18" s="56">
        <f t="shared" si="28"/>
        <v>1000</v>
      </c>
      <c r="AR18" s="241">
        <f t="shared" si="29"/>
        <v>400</v>
      </c>
      <c r="AS18" s="241">
        <f t="shared" si="30"/>
        <v>122.60748959778086</v>
      </c>
      <c r="AT18" s="241">
        <f t="shared" si="30"/>
        <v>194.17475728155338</v>
      </c>
      <c r="AU18" s="241">
        <f t="shared" si="30"/>
        <v>83.217753120665733</v>
      </c>
    </row>
    <row r="19" spans="1:47" ht="15">
      <c r="A19" s="26" t="s">
        <v>29</v>
      </c>
      <c r="B19" s="679">
        <f>IF($B$24&lt;&gt;0,$D$138,0)</f>
        <v>1.8278409197883781E-2</v>
      </c>
      <c r="C19" s="252">
        <v>2.3696806690411271E-2</v>
      </c>
      <c r="D19" s="680">
        <v>1.276747432605905E-2</v>
      </c>
      <c r="E19" s="679">
        <f>$E$138</f>
        <v>8.2640943134535363E-2</v>
      </c>
      <c r="F19" s="252">
        <v>7.9572806570752497E-2</v>
      </c>
      <c r="G19" s="680">
        <v>4.9354496951219511E-2</v>
      </c>
      <c r="H19" s="679">
        <f>IF($H$24&lt;&gt;0,$E$138,0)</f>
        <v>8.2640943134535363E-2</v>
      </c>
      <c r="I19" s="252">
        <v>2.6228571613487798E-2</v>
      </c>
      <c r="J19" s="680">
        <v>6.6666666666666666E-2</v>
      </c>
      <c r="K19" s="679">
        <f t="shared" si="16"/>
        <v>1.8278409197883781E-2</v>
      </c>
      <c r="L19" s="252">
        <v>2.1028799142085709E-2</v>
      </c>
      <c r="M19" s="680">
        <v>0</v>
      </c>
      <c r="N19" s="679">
        <f t="shared" si="17"/>
        <v>1.8278409197883781E-2</v>
      </c>
      <c r="O19" s="252">
        <v>3.0451932051521375E-2</v>
      </c>
      <c r="P19" s="680">
        <v>0</v>
      </c>
      <c r="Q19" s="31"/>
      <c r="R19" s="679">
        <f t="shared" si="18"/>
        <v>6.2912621359223306E-2</v>
      </c>
      <c r="S19" s="252">
        <v>8.7052133526850511E-3</v>
      </c>
      <c r="T19" s="252">
        <f>S22-T12-T14-T15-T16-T17-T18</f>
        <v>0</v>
      </c>
      <c r="U19" s="680">
        <f t="shared" si="19"/>
        <v>6.2912621359223306E-2</v>
      </c>
      <c r="V19" s="372">
        <f t="shared" si="20"/>
        <v>4536</v>
      </c>
      <c r="W19" s="28">
        <f>ROUND($C$138,0)</f>
        <v>4536000</v>
      </c>
      <c r="X19" s="28">
        <v>0</v>
      </c>
      <c r="Y19" s="28">
        <f t="shared" si="21"/>
        <v>4536000</v>
      </c>
      <c r="Z19" s="19">
        <f>$B$25*1000</f>
        <v>72100000</v>
      </c>
      <c r="AA19" s="25">
        <f t="shared" si="22"/>
        <v>6.2912621359223306E-2</v>
      </c>
      <c r="AB19" s="159" t="s">
        <v>12</v>
      </c>
      <c r="AC19" s="20" t="s">
        <v>30</v>
      </c>
      <c r="AD19" s="125" t="s">
        <v>78</v>
      </c>
      <c r="AE19" s="127" t="s">
        <v>78</v>
      </c>
      <c r="AF19" s="28">
        <f>$D$138*$B$24*1000</f>
        <v>403952.84327323159</v>
      </c>
      <c r="AG19" s="28">
        <f>$E$138*$E$24*1000</f>
        <v>2892433.0097087375</v>
      </c>
      <c r="AH19" s="28">
        <f>$E$138*$H$24*1000</f>
        <v>1239614.1470180305</v>
      </c>
      <c r="AI19" s="28">
        <f t="shared" si="23"/>
        <v>4536000</v>
      </c>
      <c r="AJ19" s="19">
        <f>AF19/$AA19</f>
        <v>6420855.3791887118</v>
      </c>
      <c r="AK19" s="19">
        <f>AG19/$AA19</f>
        <v>45975401.234567888</v>
      </c>
      <c r="AL19" s="19">
        <f>AH19/$AA19</f>
        <v>19703743.386243384</v>
      </c>
      <c r="AM19" s="19">
        <f t="shared" si="24"/>
        <v>72099999.999999985</v>
      </c>
      <c r="AN19" s="25">
        <f t="shared" si="25"/>
        <v>6.291262135922332E-2</v>
      </c>
      <c r="AO19" s="56">
        <f t="shared" si="26"/>
        <v>290.536</v>
      </c>
      <c r="AP19" s="56">
        <f t="shared" si="27"/>
        <v>1313.5830000000001</v>
      </c>
      <c r="AQ19" s="56">
        <f t="shared" si="28"/>
        <v>1313.5830000000001</v>
      </c>
      <c r="AR19" s="384">
        <f t="shared" si="29"/>
        <v>4536</v>
      </c>
      <c r="AS19" s="384">
        <f t="shared" si="30"/>
        <v>403.95284327323162</v>
      </c>
      <c r="AT19" s="384">
        <f t="shared" si="30"/>
        <v>2892.4330097087372</v>
      </c>
      <c r="AU19" s="384">
        <f t="shared" si="30"/>
        <v>1239.6141470180305</v>
      </c>
    </row>
    <row r="20" spans="1:47">
      <c r="A20" s="192" t="s">
        <v>170</v>
      </c>
      <c r="B20" s="675">
        <f t="shared" ref="B20:D20" si="32">SUM(B14:B19)</f>
        <v>0.11202054022016694</v>
      </c>
      <c r="C20" s="251">
        <f t="shared" si="32"/>
        <v>5.3791393427107634E-2</v>
      </c>
      <c r="D20" s="673">
        <f t="shared" si="32"/>
        <v>4.553854182251249E-2</v>
      </c>
      <c r="E20" s="675">
        <f>SUM(E14:E19)</f>
        <v>0.1763830741568185</v>
      </c>
      <c r="F20" s="251">
        <f t="shared" ref="F20" si="33">SUM(F14:F19)</f>
        <v>0.11435238123425012</v>
      </c>
      <c r="G20" s="673">
        <f>SUM(G14:G19)</f>
        <v>8.3110160951131981E-2</v>
      </c>
      <c r="H20" s="675">
        <f>SUM(H14:H19)</f>
        <v>0.1763830741568185</v>
      </c>
      <c r="I20" s="251">
        <f t="shared" ref="I20" si="34">SUM(I14:I19)</f>
        <v>9.9779396802795933E-2</v>
      </c>
      <c r="J20" s="673">
        <f>SUM(J14:J19)</f>
        <v>0.18347399881219473</v>
      </c>
      <c r="K20" s="675">
        <f>SUM(K14:K19)</f>
        <v>0.11202054022016694</v>
      </c>
      <c r="L20" s="251">
        <f t="shared" ref="L20" si="35">SUM(L14:L19)</f>
        <v>5.3868355844065199E-2</v>
      </c>
      <c r="M20" s="673">
        <f>SUM(M14:M19)</f>
        <v>0</v>
      </c>
      <c r="N20" s="675">
        <f>SUM(N14:N19)</f>
        <v>0.11202054022016694</v>
      </c>
      <c r="O20" s="251">
        <f t="shared" ref="O20" si="36">SUM(O14:O19)</f>
        <v>6.4704582788874365E-2</v>
      </c>
      <c r="P20" s="673">
        <f>SUM(P14:P19)</f>
        <v>0</v>
      </c>
      <c r="Q20" s="23"/>
      <c r="R20" s="675">
        <f>SUM(R14:R19)</f>
        <v>0.15665475238150645</v>
      </c>
      <c r="S20" s="251">
        <f t="shared" ref="S20:U20" si="37">SUM(S14:S19)</f>
        <v>3.8670304789550067E-2</v>
      </c>
      <c r="T20" s="251">
        <f t="shared" si="37"/>
        <v>3.8670304789550081E-2</v>
      </c>
      <c r="U20" s="673">
        <f t="shared" si="37"/>
        <v>0.11798444759195638</v>
      </c>
      <c r="V20" s="1">
        <f>SUM(V14:V19)</f>
        <v>11294.807646706617</v>
      </c>
      <c r="W20" s="32">
        <f>SUM(W14:W19)</f>
        <v>11294808</v>
      </c>
      <c r="X20" s="32">
        <f>SUM(X14:X19)</f>
        <v>54756</v>
      </c>
      <c r="Y20" s="32">
        <f>SUM(Y14:Y19)</f>
        <v>11349564</v>
      </c>
      <c r="Z20" s="19"/>
      <c r="AA20" s="19"/>
      <c r="AB20" s="265"/>
      <c r="AC20" s="21"/>
      <c r="AD20" s="125"/>
      <c r="AE20" s="127"/>
      <c r="AF20" s="32">
        <f>SUM(AF14:AF19)</f>
        <v>2475653.9388656896</v>
      </c>
      <c r="AG20" s="32">
        <f>SUM(AG14:AG19)</f>
        <v>6173407.595488647</v>
      </c>
      <c r="AH20" s="32">
        <f>SUM(AH14:AH19)</f>
        <v>2645746.1123522776</v>
      </c>
      <c r="AI20" s="32">
        <f>SUM(AI14:AI19)</f>
        <v>11294807.646706615</v>
      </c>
      <c r="AJ20" s="19"/>
      <c r="AK20" s="19"/>
      <c r="AL20" s="19"/>
      <c r="AM20" s="19"/>
      <c r="AN20" s="19"/>
      <c r="AO20" s="19"/>
      <c r="AP20" s="19"/>
      <c r="AQ20" s="19"/>
      <c r="AR20" s="385">
        <f>SUM(AR14:AR19)</f>
        <v>8506.6786713800539</v>
      </c>
      <c r="AS20" s="385">
        <f t="shared" ref="AS20:AU20" si="38">SUM(AS14:AS19)</f>
        <v>1621.0402030166324</v>
      </c>
      <c r="AT20" s="385">
        <f t="shared" si="38"/>
        <v>4819.9469278543947</v>
      </c>
      <c r="AU20" s="385">
        <f t="shared" si="38"/>
        <v>2065.6915405090267</v>
      </c>
    </row>
    <row r="21" spans="1:47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675"/>
      <c r="O21" s="251"/>
      <c r="P21" s="673"/>
      <c r="Q21" s="23"/>
      <c r="R21" s="675"/>
      <c r="S21" s="251"/>
      <c r="T21" s="251"/>
      <c r="U21" s="673"/>
      <c r="V21" s="1">
        <f>V12+V20</f>
        <v>20513.202590706616</v>
      </c>
      <c r="W21" s="247">
        <f>W12+W20</f>
        <v>20513203</v>
      </c>
      <c r="X21" s="247">
        <f>X12+X20</f>
        <v>54756</v>
      </c>
      <c r="Y21" s="247">
        <f>Y12+Y20</f>
        <v>20567959</v>
      </c>
      <c r="Z21" s="19"/>
      <c r="AA21" s="19"/>
      <c r="AB21" s="265"/>
      <c r="AC21" s="2"/>
      <c r="AD21" s="125"/>
      <c r="AE21" s="127"/>
      <c r="AF21" s="33">
        <f>AF12+AF20</f>
        <v>4777037.8456950933</v>
      </c>
      <c r="AG21" s="33">
        <f>AG12+AG20</f>
        <v>11015314.461508065</v>
      </c>
      <c r="AH21" s="33">
        <f>AH12+AH20</f>
        <v>4720849.4835034572</v>
      </c>
      <c r="AI21" s="33">
        <f>AI12+AI20</f>
        <v>20513201.790706612</v>
      </c>
      <c r="AJ21" s="19"/>
      <c r="AK21" s="19"/>
      <c r="AL21" s="19"/>
      <c r="AM21" s="19"/>
      <c r="AN21" s="19"/>
      <c r="AO21" s="19"/>
      <c r="AP21" s="19"/>
      <c r="AQ21" s="19"/>
      <c r="AR21" s="386">
        <f>AR12+AR20</f>
        <v>13771.050177353929</v>
      </c>
      <c r="AS21" s="386">
        <f t="shared" ref="AS21:AU21" si="39">AS12+AS20</f>
        <v>2935.2972450845336</v>
      </c>
      <c r="AT21" s="386">
        <f t="shared" si="39"/>
        <v>7585.0270525885762</v>
      </c>
      <c r="AU21" s="386">
        <f t="shared" si="39"/>
        <v>3250.7258796808187</v>
      </c>
    </row>
    <row r="22" spans="1:47">
      <c r="A22" s="192" t="s">
        <v>171</v>
      </c>
      <c r="B22" s="669">
        <f t="shared" ref="B22:D22" si="40">B12+B20</f>
        <v>0.26244020643038324</v>
      </c>
      <c r="C22" s="670">
        <f t="shared" si="40"/>
        <v>0.16329172177902293</v>
      </c>
      <c r="D22" s="671">
        <f t="shared" si="40"/>
        <v>0.11902659121695247</v>
      </c>
      <c r="E22" s="669">
        <f>E12+E20</f>
        <v>0.46075632169416436</v>
      </c>
      <c r="F22" s="670">
        <f t="shared" ref="F22" si="41">F12+F20</f>
        <v>0.36206859387672391</v>
      </c>
      <c r="G22" s="671">
        <f>G12+G20</f>
        <v>0.2598742905638563</v>
      </c>
      <c r="H22" s="669">
        <f>H12+H20</f>
        <v>0.89626389887282754</v>
      </c>
      <c r="I22" s="670">
        <f t="shared" ref="I22" si="42">I12+I20</f>
        <v>0.77540422949970877</v>
      </c>
      <c r="J22" s="671">
        <f>J12+J20</f>
        <v>0.79889817342724256</v>
      </c>
      <c r="K22" s="669">
        <f>K12+K20</f>
        <v>0.49270538681895398</v>
      </c>
      <c r="L22" s="670">
        <f t="shared" ref="L22" si="43">L12+L20</f>
        <v>0.39939454221833032</v>
      </c>
      <c r="M22" s="671">
        <f>M12+M20</f>
        <v>0</v>
      </c>
      <c r="N22" s="669">
        <f>N12+N20</f>
        <v>0.36301141573327222</v>
      </c>
      <c r="O22" s="670">
        <f t="shared" ref="O22" si="44">O12+O20</f>
        <v>0.31298551428038079</v>
      </c>
      <c r="P22" s="671">
        <f>P12+P20</f>
        <v>0</v>
      </c>
      <c r="Q22" s="18"/>
      <c r="R22" s="669">
        <f>R12+R20</f>
        <v>0.49057362419555667</v>
      </c>
      <c r="S22" s="670">
        <f t="shared" ref="S22:U22" si="45">S12+S20</f>
        <v>0.29957431521700006</v>
      </c>
      <c r="T22" s="670">
        <f t="shared" si="45"/>
        <v>0.29957431521700006</v>
      </c>
      <c r="U22" s="671">
        <f t="shared" si="45"/>
        <v>0.1909993089785566</v>
      </c>
      <c r="V22" s="1">
        <f>V6+V21</f>
        <v>35370.358304499634</v>
      </c>
      <c r="W22" s="37"/>
      <c r="X22" s="37"/>
      <c r="Y22" s="37"/>
      <c r="Z22" s="19"/>
      <c r="AA22" s="19"/>
      <c r="AB22" s="265"/>
      <c r="AC22" s="36"/>
      <c r="AD22" s="1026" t="s">
        <v>31</v>
      </c>
      <c r="AE22" s="1026"/>
      <c r="AF22" s="38">
        <f>ROUND(AF21/AF24,5)</f>
        <v>0.21615999999999999</v>
      </c>
      <c r="AG22" s="38">
        <f>ROUND(AG21/AG24,5)</f>
        <v>0.31472</v>
      </c>
      <c r="AH22" s="38">
        <f>IF(AH24&lt;&gt;0,ROUND(AH21/AH24,5),0)</f>
        <v>0.31472</v>
      </c>
      <c r="AI22" s="38">
        <f>ROUND(AI21/AI24,5)</f>
        <v>0.28450999999999999</v>
      </c>
      <c r="AJ22" s="19"/>
      <c r="AK22" s="19"/>
      <c r="AL22" s="19"/>
      <c r="AM22" s="19"/>
      <c r="AN22" s="19"/>
      <c r="AO22" s="19"/>
      <c r="AP22" s="19"/>
      <c r="AQ22" s="19"/>
    </row>
    <row r="23" spans="1:47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48"/>
      <c r="L23" s="26"/>
      <c r="M23" s="318"/>
      <c r="N23" s="48"/>
      <c r="O23" s="26"/>
      <c r="P23" s="318"/>
      <c r="Q23" s="17"/>
      <c r="R23" s="48"/>
      <c r="S23" s="26"/>
      <c r="T23" s="26"/>
      <c r="U23" s="318"/>
      <c r="W23" s="37"/>
      <c r="X23" s="37"/>
      <c r="Y23" s="37"/>
      <c r="Z23" s="19"/>
      <c r="AA23" s="19"/>
      <c r="AB23" s="265"/>
      <c r="AC23" s="36"/>
      <c r="AD23" s="1026" t="s">
        <v>32</v>
      </c>
      <c r="AE23" s="1026"/>
      <c r="AF23" s="38">
        <f>ROUND(AF22+B6,5)</f>
        <v>0.26244000000000001</v>
      </c>
      <c r="AG23" s="38">
        <f>ROUND(AG22+E6,5)</f>
        <v>0.46074999999999999</v>
      </c>
      <c r="AH23" s="38">
        <f>IF(AH24&lt;&gt;0,ROUND(AH22+H6,5),0)</f>
        <v>0.89625999999999995</v>
      </c>
      <c r="AI23" s="38">
        <f>ROUND(AI22+(B6*B24+E6*E24+H6*H24)/B25,5)</f>
        <v>0.49057000000000001</v>
      </c>
      <c r="AJ23" s="19"/>
      <c r="AK23" s="19"/>
      <c r="AL23" s="19"/>
      <c r="AM23" s="19"/>
      <c r="AN23" s="19"/>
      <c r="AO23" s="19"/>
      <c r="AP23" s="19"/>
      <c r="AQ23" s="19"/>
    </row>
    <row r="24" spans="1:47">
      <c r="A24" s="192" t="s">
        <v>264</v>
      </c>
      <c r="B24" s="331">
        <f>$B$30+$B$31</f>
        <v>22100</v>
      </c>
      <c r="C24" s="26">
        <v>121112.435</v>
      </c>
      <c r="D24" s="77">
        <v>190000</v>
      </c>
      <c r="E24" s="331">
        <f>$B$32</f>
        <v>35000</v>
      </c>
      <c r="F24" s="26">
        <v>8379.4359999999997</v>
      </c>
      <c r="G24" s="77">
        <v>40000</v>
      </c>
      <c r="H24" s="331">
        <f>$B$33</f>
        <v>15000</v>
      </c>
      <c r="I24" s="26">
        <v>15451</v>
      </c>
      <c r="J24" s="77">
        <v>6000</v>
      </c>
      <c r="K24" s="331">
        <v>0</v>
      </c>
      <c r="L24" s="26">
        <v>630.36599999999999</v>
      </c>
      <c r="M24" s="77">
        <v>0</v>
      </c>
      <c r="N24" s="331">
        <v>0</v>
      </c>
      <c r="O24" s="26">
        <v>1071.4000000000001</v>
      </c>
      <c r="P24" s="77">
        <v>0</v>
      </c>
      <c r="Q24" s="26"/>
      <c r="R24" s="331">
        <f>B25</f>
        <v>72100</v>
      </c>
      <c r="S24" s="26"/>
      <c r="T24" s="26"/>
      <c r="U24" s="77"/>
      <c r="W24" s="41"/>
      <c r="X24" s="41"/>
      <c r="Y24" s="41"/>
      <c r="Z24" s="19"/>
      <c r="AA24" s="19"/>
      <c r="AB24" s="265"/>
      <c r="AC24" s="5"/>
      <c r="AD24" s="1026" t="s">
        <v>33</v>
      </c>
      <c r="AE24" s="1026"/>
      <c r="AF24" s="41">
        <f>ROUND(B24*1000,0)</f>
        <v>22100000</v>
      </c>
      <c r="AG24" s="41">
        <f>ROUND(E24*1000,0)</f>
        <v>35000000</v>
      </c>
      <c r="AH24" s="41">
        <f>ROUND(H24*1000,0)</f>
        <v>15000000</v>
      </c>
      <c r="AI24" s="41">
        <f>SUM(AF24:AH24)</f>
        <v>72100000</v>
      </c>
      <c r="AJ24" s="19"/>
      <c r="AK24" s="19"/>
      <c r="AL24" s="19"/>
      <c r="AM24" s="19"/>
      <c r="AN24" s="19"/>
      <c r="AO24" s="19"/>
      <c r="AP24" s="19"/>
      <c r="AQ24" s="19"/>
    </row>
    <row r="25" spans="1:47">
      <c r="A25" s="192" t="s">
        <v>265</v>
      </c>
      <c r="B25" s="686">
        <f>B24+E24+H24+K24+N24</f>
        <v>72100</v>
      </c>
      <c r="C25" s="687">
        <f>C24+F24+I24+L24+O24</f>
        <v>146644.63699999999</v>
      </c>
      <c r="D25" s="688">
        <f>D24+G24+J24+M24+P24</f>
        <v>236000</v>
      </c>
      <c r="E25" s="99"/>
      <c r="F25" s="72"/>
      <c r="G25" s="75"/>
      <c r="H25" s="99"/>
      <c r="I25" s="72"/>
      <c r="J25" s="75"/>
      <c r="K25" s="99"/>
      <c r="L25" s="72"/>
      <c r="M25" s="75"/>
      <c r="N25" s="99"/>
      <c r="O25" s="72"/>
      <c r="P25" s="75"/>
      <c r="R25" s="99"/>
      <c r="S25" s="72"/>
      <c r="T25" s="72"/>
      <c r="U25" s="75"/>
    </row>
    <row r="27" spans="1:47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R27" s="17"/>
      <c r="S27" s="199" t="s">
        <v>107</v>
      </c>
      <c r="T27" s="199" t="s">
        <v>310</v>
      </c>
      <c r="U27" s="199" t="s">
        <v>311</v>
      </c>
    </row>
    <row r="28" spans="1:47">
      <c r="A28" s="44"/>
      <c r="H28" s="45"/>
      <c r="R28" s="371" t="s">
        <v>471</v>
      </c>
      <c r="S28" s="1027" t="s">
        <v>312</v>
      </c>
      <c r="T28" s="1027"/>
      <c r="U28" s="1027"/>
    </row>
    <row r="29" spans="1:47">
      <c r="A29" s="190" t="s">
        <v>176</v>
      </c>
      <c r="B29" s="46" t="s">
        <v>168</v>
      </c>
      <c r="C29" s="46" t="s">
        <v>36</v>
      </c>
      <c r="D29" s="47"/>
      <c r="F29" s="47"/>
      <c r="H29" s="45"/>
      <c r="R29" s="17" t="s">
        <v>315</v>
      </c>
      <c r="S29" s="366">
        <f>SUM(T29:U29)</f>
        <v>21599.308127145705</v>
      </c>
      <c r="T29" s="366">
        <f>T12*$R$24</f>
        <v>18811.179151819142</v>
      </c>
      <c r="U29" s="366">
        <f>T20*$R$24</f>
        <v>2788.128975326561</v>
      </c>
    </row>
    <row r="30" spans="1:47" ht="15">
      <c r="A30" s="48" t="s">
        <v>188</v>
      </c>
      <c r="B30" s="342">
        <v>0</v>
      </c>
      <c r="C30" s="183">
        <f>+B30/$B$34</f>
        <v>0</v>
      </c>
      <c r="D30" s="50"/>
      <c r="F30" s="709"/>
      <c r="H30" s="45"/>
      <c r="R30" s="17" t="s">
        <v>316</v>
      </c>
      <c r="S30" s="367">
        <f>SUM(T30:U30)</f>
        <v>13771.050177353931</v>
      </c>
      <c r="T30" s="367">
        <f>U12*R24</f>
        <v>5264.3715059738752</v>
      </c>
      <c r="U30" s="367">
        <f>U20*R24</f>
        <v>8506.6786713800557</v>
      </c>
      <c r="AQ30" s="39"/>
    </row>
    <row r="31" spans="1:47" ht="16.5">
      <c r="A31" s="48" t="s">
        <v>187</v>
      </c>
      <c r="B31" s="342">
        <f>17500+4600</f>
        <v>22100</v>
      </c>
      <c r="C31" s="183">
        <f>+B31/$B$34</f>
        <v>0.30651872399445212</v>
      </c>
      <c r="D31" s="50"/>
      <c r="F31" s="709"/>
      <c r="H31" s="45"/>
      <c r="R31" s="17" t="s">
        <v>314</v>
      </c>
      <c r="S31" s="213">
        <f>SUM(T31:U31)</f>
        <v>0</v>
      </c>
      <c r="T31" s="213">
        <f>IF(C97&lt;&gt;0,0,(((((D96/1.06564)-0.33)*0.974)-D97)*(240000-C96))/1000)</f>
        <v>0</v>
      </c>
      <c r="U31" s="213">
        <v>0</v>
      </c>
      <c r="AQ31" s="39"/>
    </row>
    <row r="32" spans="1:47" ht="15">
      <c r="A32" s="48" t="s">
        <v>280</v>
      </c>
      <c r="B32" s="342">
        <f>35000</f>
        <v>35000</v>
      </c>
      <c r="C32" s="183">
        <f>+B32/$B$34</f>
        <v>0.4854368932038835</v>
      </c>
      <c r="D32" s="50"/>
      <c r="F32" s="51"/>
      <c r="H32" s="45"/>
      <c r="R32" s="192" t="s">
        <v>3</v>
      </c>
      <c r="S32" s="368">
        <f>SUM(S29:S31)</f>
        <v>35370.358304499634</v>
      </c>
      <c r="T32" s="368">
        <f>SUM(T29:T31)</f>
        <v>24075.550657793017</v>
      </c>
      <c r="U32" s="368">
        <f>SUM(U29:U31)</f>
        <v>11294.807646706617</v>
      </c>
      <c r="AQ32" s="39"/>
    </row>
    <row r="33" spans="1:47" ht="16.5">
      <c r="A33" s="48" t="s">
        <v>281</v>
      </c>
      <c r="B33" s="342">
        <f>15000</f>
        <v>15000</v>
      </c>
      <c r="C33" s="184">
        <f>+B33/$B$34</f>
        <v>0.20804438280166435</v>
      </c>
      <c r="D33" s="50"/>
      <c r="F33" s="51"/>
      <c r="H33" s="45"/>
      <c r="R33" s="192" t="s">
        <v>317</v>
      </c>
      <c r="S33" s="369">
        <f>SUM(T33:U33)</f>
        <v>-4536</v>
      </c>
      <c r="T33" s="369">
        <v>0</v>
      </c>
      <c r="U33" s="369">
        <f>-R19*R24</f>
        <v>-4536</v>
      </c>
      <c r="AQ33" s="39"/>
    </row>
    <row r="34" spans="1:47" ht="15">
      <c r="A34" s="141" t="s">
        <v>107</v>
      </c>
      <c r="B34" s="49">
        <f>SUM(B30:B33)</f>
        <v>72100</v>
      </c>
      <c r="C34" s="183">
        <f>SUM(C30:C33)</f>
        <v>1</v>
      </c>
      <c r="D34" s="50"/>
      <c r="F34" s="51"/>
      <c r="H34" s="45"/>
      <c r="R34" s="192" t="s">
        <v>313</v>
      </c>
      <c r="S34" s="370">
        <f>SUM(S32:S33)</f>
        <v>30834.358304499634</v>
      </c>
      <c r="T34" s="370">
        <f>SUM(T32:T33)</f>
        <v>24075.550657793017</v>
      </c>
      <c r="U34" s="370">
        <f>SUM(U32:U33)</f>
        <v>6758.8076467066167</v>
      </c>
      <c r="AQ34" s="39"/>
    </row>
    <row r="35" spans="1:47">
      <c r="A35" s="141"/>
      <c r="B35" s="49"/>
      <c r="C35" s="183"/>
      <c r="D35" s="50"/>
      <c r="F35" s="51"/>
      <c r="H35" s="45"/>
      <c r="AQ35" s="39"/>
    </row>
    <row r="36" spans="1:47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I36" s="1009" t="s">
        <v>467</v>
      </c>
      <c r="J36" s="1010"/>
      <c r="K36" s="1009" t="s">
        <v>459</v>
      </c>
      <c r="L36" s="1010"/>
      <c r="R36" s="371" t="s">
        <v>475</v>
      </c>
      <c r="AQ36" s="39"/>
    </row>
    <row r="37" spans="1:47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I37" s="53" t="s">
        <v>38</v>
      </c>
      <c r="J37" s="171"/>
      <c r="K37" s="53" t="s">
        <v>38</v>
      </c>
      <c r="L37" s="171"/>
      <c r="R37" s="17" t="s">
        <v>315</v>
      </c>
      <c r="S37" s="366">
        <f>SUM(T37:U37)</f>
        <v>1799.9423439288087</v>
      </c>
      <c r="T37" s="366">
        <f>T29/12</f>
        <v>1567.5982626515952</v>
      </c>
      <c r="U37" s="366">
        <f>U29/12</f>
        <v>232.34408127721341</v>
      </c>
      <c r="AB37" s="13"/>
      <c r="AC37" s="46"/>
      <c r="AO37" s="11"/>
    </row>
    <row r="38" spans="1:47" ht="15">
      <c r="A38" s="176" t="s">
        <v>173</v>
      </c>
      <c r="B38" s="347">
        <f>13.3*2</f>
        <v>26.6</v>
      </c>
      <c r="C38" s="343">
        <v>0.5</v>
      </c>
      <c r="D38" s="134"/>
      <c r="E38" s="343">
        <v>0.5</v>
      </c>
      <c r="F38" s="134"/>
      <c r="G38" s="343">
        <v>0</v>
      </c>
      <c r="H38" s="186"/>
      <c r="I38" s="343">
        <v>0.5</v>
      </c>
      <c r="J38" s="186"/>
      <c r="K38" s="343">
        <v>0.5</v>
      </c>
      <c r="L38" s="186"/>
      <c r="R38" s="17" t="s">
        <v>316</v>
      </c>
      <c r="S38" s="367">
        <f>SUM(T38:U38)</f>
        <v>1147.5875147794943</v>
      </c>
      <c r="T38" s="367">
        <f t="shared" ref="T38:U39" si="46">T30/12</f>
        <v>438.69762549782291</v>
      </c>
      <c r="U38" s="367">
        <f t="shared" si="46"/>
        <v>708.88988928167134</v>
      </c>
      <c r="AB38" s="13"/>
      <c r="AC38" s="250"/>
      <c r="AO38" s="251"/>
      <c r="AP38" s="251"/>
    </row>
    <row r="39" spans="1:47" ht="16.5">
      <c r="A39" s="176" t="s">
        <v>178</v>
      </c>
      <c r="B39" s="355">
        <f>12.41*2</f>
        <v>24.82</v>
      </c>
      <c r="C39" s="343">
        <v>0.5</v>
      </c>
      <c r="D39" s="134"/>
      <c r="E39" s="343">
        <v>0.5</v>
      </c>
      <c r="F39" s="134"/>
      <c r="G39" s="343">
        <v>0</v>
      </c>
      <c r="H39" s="186"/>
      <c r="I39" s="343">
        <v>0.5</v>
      </c>
      <c r="J39" s="186"/>
      <c r="K39" s="343">
        <v>0.5</v>
      </c>
      <c r="L39" s="186"/>
      <c r="R39" s="17" t="s">
        <v>314</v>
      </c>
      <c r="S39" s="213">
        <f>SUM(T39:U39)</f>
        <v>0</v>
      </c>
      <c r="T39" s="213">
        <f t="shared" si="46"/>
        <v>0</v>
      </c>
      <c r="U39" s="213">
        <f t="shared" si="46"/>
        <v>0</v>
      </c>
      <c r="AB39" s="13"/>
      <c r="AC39" s="250"/>
      <c r="AO39" s="252"/>
      <c r="AP39" s="252"/>
    </row>
    <row r="40" spans="1:47">
      <c r="A40" s="141" t="s">
        <v>174</v>
      </c>
      <c r="B40" s="157">
        <f>+B38*C38+B39*C39</f>
        <v>25.71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I40" s="55">
        <f>SUM(I38:I39)</f>
        <v>1</v>
      </c>
      <c r="J40" s="187"/>
      <c r="K40" s="55">
        <f>SUM(K38:K39)</f>
        <v>1</v>
      </c>
      <c r="L40" s="187"/>
      <c r="R40" s="192" t="s">
        <v>3</v>
      </c>
      <c r="S40" s="368">
        <f>SUM(S37:S39)</f>
        <v>2947.529858708303</v>
      </c>
      <c r="T40" s="368">
        <f>SUM(T37:T39)</f>
        <v>2006.295888149418</v>
      </c>
      <c r="U40" s="368">
        <f>SUM(U37:U39)</f>
        <v>941.23397055888472</v>
      </c>
      <c r="AB40" s="13"/>
      <c r="AC40" s="250"/>
      <c r="AO40" s="251"/>
      <c r="AP40" s="251"/>
    </row>
    <row r="41" spans="1:47" ht="15">
      <c r="A41" s="43"/>
      <c r="B41" s="50"/>
      <c r="C41" s="60"/>
      <c r="D41" s="59"/>
      <c r="E41" s="60"/>
      <c r="F41" s="59"/>
      <c r="G41" s="60"/>
      <c r="H41" s="187"/>
      <c r="I41" s="60"/>
      <c r="J41" s="187"/>
      <c r="K41" s="60"/>
      <c r="L41" s="187"/>
      <c r="R41" s="192" t="s">
        <v>317</v>
      </c>
      <c r="S41" s="369">
        <f>SUM(T41:U41)</f>
        <v>-378</v>
      </c>
      <c r="T41" s="369">
        <f>T33/12</f>
        <v>0</v>
      </c>
      <c r="U41" s="369">
        <f>U33/12</f>
        <v>-378</v>
      </c>
      <c r="Z41" s="39"/>
      <c r="AA41" s="39"/>
      <c r="AB41" s="13"/>
      <c r="AC41" s="62"/>
    </row>
    <row r="42" spans="1:47" ht="18" customHeight="1">
      <c r="A42" s="198" t="s">
        <v>39</v>
      </c>
      <c r="B42" s="61" t="s">
        <v>40</v>
      </c>
      <c r="C42" s="185" t="s">
        <v>496</v>
      </c>
      <c r="D42" s="61" t="s">
        <v>179</v>
      </c>
      <c r="E42" s="185" t="s">
        <v>496</v>
      </c>
      <c r="F42" s="61" t="s">
        <v>179</v>
      </c>
      <c r="G42" s="185" t="s">
        <v>496</v>
      </c>
      <c r="H42" s="188" t="s">
        <v>179</v>
      </c>
      <c r="I42" s="185" t="s">
        <v>496</v>
      </c>
      <c r="J42" s="188" t="s">
        <v>179</v>
      </c>
      <c r="K42" s="185" t="s">
        <v>496</v>
      </c>
      <c r="L42" s="188" t="s">
        <v>179</v>
      </c>
      <c r="M42" s="62"/>
      <c r="N42" s="62"/>
      <c r="O42" s="62"/>
      <c r="P42" s="62"/>
      <c r="Q42" s="62"/>
      <c r="R42" s="192" t="s">
        <v>313</v>
      </c>
      <c r="S42" s="370">
        <f>SUM(S40:S41)</f>
        <v>2569.529858708303</v>
      </c>
      <c r="T42" s="370">
        <f>SUM(T40:T41)</f>
        <v>2006.295888149418</v>
      </c>
      <c r="U42" s="370">
        <f>SUM(U40:U41)</f>
        <v>563.23397055888472</v>
      </c>
      <c r="AB42" s="13"/>
      <c r="AC42" s="46"/>
      <c r="AO42" s="11"/>
      <c r="AP42" s="11"/>
      <c r="AQ42" s="11"/>
      <c r="AR42" s="52" t="s">
        <v>291</v>
      </c>
      <c r="AS42" s="52" t="s">
        <v>294</v>
      </c>
      <c r="AT42" s="52" t="s">
        <v>295</v>
      </c>
      <c r="AU42" s="52" t="s">
        <v>296</v>
      </c>
    </row>
    <row r="43" spans="1:47" ht="15">
      <c r="A43" s="176" t="s">
        <v>404</v>
      </c>
      <c r="B43" s="64">
        <f>$B$40/2000</f>
        <v>1.2855E-2</v>
      </c>
      <c r="C43" s="344">
        <v>2.1972328275292297</v>
      </c>
      <c r="D43" s="307">
        <f t="shared" ref="D43:D51" si="47">B43*C43</f>
        <v>2.8245427997888248E-2</v>
      </c>
      <c r="E43" s="344">
        <v>2.4102521654202023</v>
      </c>
      <c r="F43" s="307">
        <f t="shared" ref="F43:F51" si="48">B43*E43</f>
        <v>3.0983791586476701E-2</v>
      </c>
      <c r="G43" s="344">
        <v>0</v>
      </c>
      <c r="H43" s="311">
        <f t="shared" ref="H43:H51" si="49">$B43*G43</f>
        <v>0</v>
      </c>
      <c r="I43" s="344">
        <v>2.6302428700151976</v>
      </c>
      <c r="J43" s="311">
        <f t="shared" ref="J43:J51" si="50">$B43*I43</f>
        <v>3.3811772094045366E-2</v>
      </c>
      <c r="K43" s="344">
        <v>1.4950065335075602</v>
      </c>
      <c r="L43" s="311">
        <f t="shared" ref="L43:L51" si="51">$B43*K43</f>
        <v>1.9218308988239688E-2</v>
      </c>
      <c r="M43" s="65"/>
      <c r="N43" s="65"/>
      <c r="O43" s="65"/>
      <c r="P43" s="65"/>
      <c r="Q43" s="65"/>
      <c r="R43" s="65"/>
      <c r="S43" s="65"/>
      <c r="T43" s="65"/>
      <c r="U43" s="65"/>
      <c r="AA43" s="312">
        <f>B43*1000</f>
        <v>12.855</v>
      </c>
      <c r="AB43" s="256" t="s">
        <v>12</v>
      </c>
      <c r="AC43" s="255" t="s">
        <v>154</v>
      </c>
      <c r="AO43" s="56">
        <f t="shared" ref="AO43:AO51" si="52">IF(B43&lt;&gt;0,D43/B43*1000,0)</f>
        <v>2197.2328275292298</v>
      </c>
      <c r="AP43" s="56">
        <f t="shared" ref="AP43:AP51" si="53">IF(B43&lt;&gt;0,F43/B43*1000,0)</f>
        <v>2410.2521654202023</v>
      </c>
      <c r="AQ43" s="56">
        <f>IF(B43&lt;&gt;0,H43/B43*1000,0)</f>
        <v>0</v>
      </c>
      <c r="AR43" s="26">
        <f t="shared" ref="AR43:AR51" si="54">AO43*$B$24+AP43*$E$24+AQ43*$H$24</f>
        <v>132917671.27810305</v>
      </c>
      <c r="AS43" s="26">
        <v>202343432</v>
      </c>
      <c r="AT43" s="183">
        <f t="shared" ref="AT43:AT50" si="55">AS43/AR43</f>
        <v>1.5223215247025939</v>
      </c>
      <c r="AU43" s="341">
        <f>343597.02/24291676.299</f>
        <v>1.414464015454317E-2</v>
      </c>
    </row>
    <row r="44" spans="1:47" ht="15">
      <c r="A44" s="176" t="s">
        <v>436</v>
      </c>
      <c r="B44" s="344">
        <v>0.13442000000000001</v>
      </c>
      <c r="C44" s="344">
        <v>0</v>
      </c>
      <c r="D44" s="307">
        <f t="shared" si="47"/>
        <v>0</v>
      </c>
      <c r="E44" s="344">
        <v>0</v>
      </c>
      <c r="F44" s="307">
        <f t="shared" si="48"/>
        <v>0</v>
      </c>
      <c r="G44" s="344">
        <v>3.497559704873471</v>
      </c>
      <c r="H44" s="311">
        <f t="shared" si="49"/>
        <v>0.47014197552909204</v>
      </c>
      <c r="I44" s="344">
        <v>0</v>
      </c>
      <c r="J44" s="311">
        <f t="shared" si="50"/>
        <v>0</v>
      </c>
      <c r="K44" s="344">
        <v>0</v>
      </c>
      <c r="L44" s="311">
        <f t="shared" si="51"/>
        <v>0</v>
      </c>
      <c r="M44" s="65"/>
      <c r="N44" s="65"/>
      <c r="O44" s="65"/>
      <c r="P44" s="65"/>
      <c r="Q44" s="65"/>
      <c r="R44" s="65"/>
      <c r="S44" s="65"/>
      <c r="T44" s="65"/>
      <c r="U44" s="65"/>
      <c r="AA44" s="312">
        <f t="shared" ref="AA44:AA51" si="56">B44*1000</f>
        <v>134.42000000000002</v>
      </c>
      <c r="AB44" s="256" t="s">
        <v>12</v>
      </c>
      <c r="AC44" s="256" t="s">
        <v>298</v>
      </c>
      <c r="AO44" s="56">
        <f t="shared" si="52"/>
        <v>0</v>
      </c>
      <c r="AP44" s="56">
        <f t="shared" si="53"/>
        <v>0</v>
      </c>
      <c r="AQ44" s="56">
        <f t="shared" ref="AQ44:AQ51" si="57">IF(B44&lt;&gt;0,H44/B44*1000,0)</f>
        <v>3497.5597048734712</v>
      </c>
      <c r="AR44" s="26">
        <f t="shared" si="54"/>
        <v>52463395.573102072</v>
      </c>
      <c r="AS44" s="26">
        <v>0</v>
      </c>
      <c r="AT44" s="183">
        <f t="shared" si="55"/>
        <v>0</v>
      </c>
      <c r="AU44" s="341">
        <v>6.2740000000000004E-2</v>
      </c>
    </row>
    <row r="45" spans="1:47" ht="15">
      <c r="A45" s="176" t="s">
        <v>434</v>
      </c>
      <c r="B45" s="344">
        <v>0.23</v>
      </c>
      <c r="C45" s="344">
        <v>0</v>
      </c>
      <c r="D45" s="307">
        <f t="shared" si="47"/>
        <v>0</v>
      </c>
      <c r="E45" s="344">
        <v>0</v>
      </c>
      <c r="F45" s="307">
        <f t="shared" si="48"/>
        <v>0</v>
      </c>
      <c r="G45" s="344">
        <v>0</v>
      </c>
      <c r="H45" s="311">
        <f t="shared" si="49"/>
        <v>0</v>
      </c>
      <c r="I45" s="344">
        <v>0</v>
      </c>
      <c r="J45" s="311">
        <f t="shared" si="50"/>
        <v>0</v>
      </c>
      <c r="K45" s="344">
        <v>0.5014980399477319</v>
      </c>
      <c r="L45" s="311">
        <f t="shared" si="51"/>
        <v>0.11534454918797835</v>
      </c>
      <c r="M45" s="65"/>
      <c r="N45" s="65"/>
      <c r="O45" s="65"/>
      <c r="P45" s="65"/>
      <c r="Q45" s="65"/>
      <c r="R45" s="65"/>
      <c r="S45" s="65"/>
      <c r="T45" s="65"/>
      <c r="U45" s="65"/>
      <c r="AA45" s="312"/>
      <c r="AB45" s="256"/>
      <c r="AC45" s="256"/>
      <c r="AO45" s="56"/>
      <c r="AP45" s="56"/>
      <c r="AQ45" s="56"/>
      <c r="AR45" s="26"/>
      <c r="AS45" s="26"/>
      <c r="AT45" s="183"/>
      <c r="AU45" s="341"/>
    </row>
    <row r="46" spans="1:47" ht="15">
      <c r="A46" s="176" t="s">
        <v>405</v>
      </c>
      <c r="B46" s="344">
        <v>1.3656999999999999</v>
      </c>
      <c r="C46" s="344">
        <v>9.9558258902151548E-3</v>
      </c>
      <c r="D46" s="307">
        <f t="shared" si="47"/>
        <v>1.3596671418266836E-2</v>
      </c>
      <c r="E46" s="344">
        <v>0</v>
      </c>
      <c r="F46" s="307">
        <f t="shared" si="48"/>
        <v>0</v>
      </c>
      <c r="G46" s="344">
        <v>0</v>
      </c>
      <c r="H46" s="311">
        <f t="shared" si="49"/>
        <v>0</v>
      </c>
      <c r="I46" s="344">
        <v>1.0031902101318916E-2</v>
      </c>
      <c r="J46" s="311">
        <f t="shared" si="50"/>
        <v>1.3700568699771242E-2</v>
      </c>
      <c r="K46" s="344">
        <v>6.6058428224752656E-3</v>
      </c>
      <c r="L46" s="311">
        <f t="shared" si="51"/>
        <v>9.0215995426544699E-3</v>
      </c>
      <c r="M46" s="65"/>
      <c r="N46" s="65"/>
      <c r="O46" s="65"/>
      <c r="P46" s="65"/>
      <c r="Q46" s="65"/>
      <c r="R46" s="65"/>
      <c r="S46" s="65"/>
      <c r="T46" s="65"/>
      <c r="U46" s="65"/>
      <c r="AA46" s="312">
        <f t="shared" si="56"/>
        <v>1365.6999999999998</v>
      </c>
      <c r="AB46" s="256" t="s">
        <v>12</v>
      </c>
      <c r="AC46" s="255" t="s">
        <v>155</v>
      </c>
      <c r="AO46" s="56">
        <f t="shared" si="52"/>
        <v>9.955825890215154</v>
      </c>
      <c r="AP46" s="56">
        <f t="shared" si="53"/>
        <v>0</v>
      </c>
      <c r="AQ46" s="56">
        <f t="shared" si="57"/>
        <v>0</v>
      </c>
      <c r="AR46" s="26">
        <f t="shared" si="54"/>
        <v>220023.75217375491</v>
      </c>
      <c r="AS46" s="26">
        <v>101933</v>
      </c>
      <c r="AT46" s="183">
        <f t="shared" si="55"/>
        <v>0.46328180022810678</v>
      </c>
      <c r="AU46" s="341">
        <f>143105.19/AS46</f>
        <v>1.4039142377836422</v>
      </c>
    </row>
    <row r="47" spans="1:47" ht="15">
      <c r="A47" s="176" t="s">
        <v>406</v>
      </c>
      <c r="B47" s="344">
        <v>0.46</v>
      </c>
      <c r="C47" s="344">
        <v>8.3656484654115008E-3</v>
      </c>
      <c r="D47" s="307">
        <f t="shared" si="47"/>
        <v>3.8481982940892904E-3</v>
      </c>
      <c r="E47" s="344">
        <v>1.0556001143752398E-2</v>
      </c>
      <c r="F47" s="307">
        <f t="shared" si="48"/>
        <v>4.8557605261261034E-3</v>
      </c>
      <c r="G47" s="344">
        <v>5.2729258300433625E-3</v>
      </c>
      <c r="H47" s="311">
        <f t="shared" si="49"/>
        <v>2.4255458818199468E-3</v>
      </c>
      <c r="I47" s="344">
        <v>5.8781279447178304E-3</v>
      </c>
      <c r="J47" s="311">
        <f t="shared" si="50"/>
        <v>2.7039388545702023E-3</v>
      </c>
      <c r="K47" s="344">
        <v>6.2581668844502517E-3</v>
      </c>
      <c r="L47" s="311">
        <f t="shared" si="51"/>
        <v>2.8787567668471159E-3</v>
      </c>
      <c r="M47" s="65"/>
      <c r="N47" s="65"/>
      <c r="O47" s="65"/>
      <c r="P47" s="65"/>
      <c r="Q47" s="65"/>
      <c r="R47" s="65"/>
      <c r="S47" s="65"/>
      <c r="T47" s="65"/>
      <c r="U47" s="65"/>
      <c r="AA47" s="312">
        <f t="shared" si="56"/>
        <v>460</v>
      </c>
      <c r="AB47" s="256" t="s">
        <v>12</v>
      </c>
      <c r="AC47" s="255" t="s">
        <v>156</v>
      </c>
      <c r="AO47" s="56">
        <f t="shared" si="52"/>
        <v>8.3656484654115015</v>
      </c>
      <c r="AP47" s="56">
        <f t="shared" si="53"/>
        <v>10.556001143752399</v>
      </c>
      <c r="AQ47" s="56">
        <f t="shared" si="57"/>
        <v>5.2729258300433628</v>
      </c>
      <c r="AR47" s="26">
        <f t="shared" si="54"/>
        <v>633434.75856757862</v>
      </c>
      <c r="AS47" s="26">
        <v>84108</v>
      </c>
      <c r="AT47" s="183">
        <f t="shared" si="55"/>
        <v>0.13278084106119803</v>
      </c>
      <c r="AU47" s="341">
        <f>38613.79/AS47</f>
        <v>0.45909770770913588</v>
      </c>
    </row>
    <row r="48" spans="1:47" ht="15">
      <c r="A48" s="176" t="s">
        <v>407</v>
      </c>
      <c r="B48" s="344">
        <v>6.2740000000000004E-2</v>
      </c>
      <c r="C48" s="344">
        <v>9.4731409454363608E-3</v>
      </c>
      <c r="D48" s="307">
        <f t="shared" si="47"/>
        <v>5.9434486291667736E-4</v>
      </c>
      <c r="E48" s="344">
        <v>1.3838362868336247E-2</v>
      </c>
      <c r="F48" s="307">
        <f t="shared" si="48"/>
        <v>8.6821888635941612E-4</v>
      </c>
      <c r="G48" s="344">
        <v>4.5626975600284776E-4</v>
      </c>
      <c r="H48" s="311">
        <f t="shared" si="49"/>
        <v>2.862636449161867E-5</v>
      </c>
      <c r="I48" s="344">
        <v>1.4843041978786928E-2</v>
      </c>
      <c r="J48" s="311">
        <f t="shared" si="50"/>
        <v>9.3125245374909194E-4</v>
      </c>
      <c r="K48" s="344">
        <v>6.2581668844502517E-3</v>
      </c>
      <c r="L48" s="311">
        <f t="shared" si="51"/>
        <v>3.9263739033040883E-4</v>
      </c>
      <c r="M48" s="65"/>
      <c r="N48" s="65"/>
      <c r="O48" s="65"/>
      <c r="P48" s="65"/>
      <c r="Q48" s="65"/>
      <c r="R48" s="65"/>
      <c r="S48" s="65"/>
      <c r="T48" s="65"/>
      <c r="U48" s="65"/>
      <c r="AA48" s="312">
        <f t="shared" si="56"/>
        <v>62.74</v>
      </c>
      <c r="AB48" s="256" t="s">
        <v>12</v>
      </c>
      <c r="AC48" s="255" t="s">
        <v>157</v>
      </c>
      <c r="AO48" s="56">
        <f t="shared" si="52"/>
        <v>9.4731409454363611</v>
      </c>
      <c r="AP48" s="56">
        <f t="shared" si="53"/>
        <v>13.838362868336247</v>
      </c>
      <c r="AQ48" s="56">
        <f t="shared" si="57"/>
        <v>0.45626975600284775</v>
      </c>
      <c r="AR48" s="26">
        <f t="shared" si="54"/>
        <v>700543.16162595502</v>
      </c>
      <c r="AS48" s="26">
        <v>47388</v>
      </c>
      <c r="AT48" s="183">
        <f t="shared" si="55"/>
        <v>6.7644654313679733E-2</v>
      </c>
      <c r="AU48" s="341">
        <f>2705.86/AS48</f>
        <v>5.710010973242171E-2</v>
      </c>
    </row>
    <row r="49" spans="1:47" ht="15">
      <c r="A49" s="176" t="s">
        <v>408</v>
      </c>
      <c r="B49" s="344">
        <v>8.677E-2</v>
      </c>
      <c r="C49" s="344">
        <v>0</v>
      </c>
      <c r="D49" s="307">
        <f t="shared" si="47"/>
        <v>0</v>
      </c>
      <c r="E49" s="344">
        <v>0.35728908377604413</v>
      </c>
      <c r="F49" s="307">
        <f t="shared" si="48"/>
        <v>3.1001973799247348E-2</v>
      </c>
      <c r="G49" s="344">
        <v>0.27359570532651606</v>
      </c>
      <c r="H49" s="311">
        <f t="shared" si="49"/>
        <v>2.3739899351181797E-2</v>
      </c>
      <c r="I49" s="344">
        <v>0</v>
      </c>
      <c r="J49" s="311">
        <f t="shared" si="50"/>
        <v>0</v>
      </c>
      <c r="K49" s="344">
        <v>0</v>
      </c>
      <c r="L49" s="311">
        <f t="shared" si="51"/>
        <v>0</v>
      </c>
      <c r="M49" s="65"/>
      <c r="N49" s="65"/>
      <c r="O49" s="65"/>
      <c r="P49" s="65"/>
      <c r="Q49" s="65"/>
      <c r="R49" s="65"/>
      <c r="S49" s="65"/>
      <c r="T49" s="65"/>
      <c r="U49" s="65"/>
      <c r="AA49" s="312">
        <f t="shared" si="56"/>
        <v>86.77</v>
      </c>
      <c r="AB49" s="256" t="s">
        <v>12</v>
      </c>
      <c r="AC49" s="255" t="s">
        <v>231</v>
      </c>
      <c r="AO49" s="56">
        <f t="shared" si="52"/>
        <v>0</v>
      </c>
      <c r="AP49" s="56">
        <f t="shared" si="53"/>
        <v>357.28908377604415</v>
      </c>
      <c r="AQ49" s="56">
        <f t="shared" si="57"/>
        <v>273.59570532651605</v>
      </c>
      <c r="AR49" s="26">
        <f t="shared" si="54"/>
        <v>16609053.512059286</v>
      </c>
      <c r="AS49" s="26">
        <v>560786</v>
      </c>
      <c r="AT49" s="183">
        <f t="shared" si="55"/>
        <v>3.376387459964722E-2</v>
      </c>
      <c r="AU49" s="341">
        <f>49077.4/AS49</f>
        <v>8.7515380198507103E-2</v>
      </c>
    </row>
    <row r="50" spans="1:47" ht="15">
      <c r="A50" s="176" t="s">
        <v>409</v>
      </c>
      <c r="B50" s="344">
        <v>6.1364400000000003</v>
      </c>
      <c r="C50" s="344">
        <v>0</v>
      </c>
      <c r="D50" s="307">
        <f t="shared" si="47"/>
        <v>0</v>
      </c>
      <c r="E50" s="344">
        <v>1.276363564325809E-2</v>
      </c>
      <c r="F50" s="307">
        <f t="shared" si="48"/>
        <v>7.8323284306714674E-2</v>
      </c>
      <c r="G50" s="344">
        <v>1.3885014626884991E-2</v>
      </c>
      <c r="H50" s="311">
        <f t="shared" si="49"/>
        <v>8.5204559157002147E-2</v>
      </c>
      <c r="I50" s="344">
        <v>0</v>
      </c>
      <c r="J50" s="311">
        <f t="shared" si="50"/>
        <v>0</v>
      </c>
      <c r="K50" s="344">
        <v>0</v>
      </c>
      <c r="L50" s="311">
        <f t="shared" si="51"/>
        <v>0</v>
      </c>
      <c r="M50" s="65"/>
      <c r="N50" s="65"/>
      <c r="O50" s="65"/>
      <c r="P50" s="65"/>
      <c r="Q50" s="65"/>
      <c r="R50" s="65"/>
      <c r="S50" s="65"/>
      <c r="T50" s="65"/>
      <c r="U50" s="65"/>
      <c r="AA50" s="312">
        <f t="shared" si="56"/>
        <v>6136.4400000000005</v>
      </c>
      <c r="AB50" s="256" t="s">
        <v>12</v>
      </c>
      <c r="AC50" s="255" t="s">
        <v>232</v>
      </c>
      <c r="AO50" s="56">
        <f t="shared" si="52"/>
        <v>0</v>
      </c>
      <c r="AP50" s="56">
        <f t="shared" si="53"/>
        <v>12.763635643258089</v>
      </c>
      <c r="AQ50" s="56">
        <f t="shared" si="57"/>
        <v>13.885014626884994</v>
      </c>
      <c r="AR50" s="26">
        <f t="shared" si="54"/>
        <v>655002.46691730805</v>
      </c>
      <c r="AS50" s="26">
        <v>208883</v>
      </c>
      <c r="AT50" s="183">
        <f t="shared" si="55"/>
        <v>0.31890414242725412</v>
      </c>
      <c r="AU50" s="341">
        <f>1269211.15/AS50</f>
        <v>6.0761821210917111</v>
      </c>
    </row>
    <row r="51" spans="1:47" ht="15">
      <c r="A51" s="176" t="s">
        <v>432</v>
      </c>
      <c r="B51" s="344">
        <v>11.52</v>
      </c>
      <c r="C51" s="344">
        <v>0</v>
      </c>
      <c r="D51" s="307">
        <f t="shared" si="47"/>
        <v>0</v>
      </c>
      <c r="E51" s="344">
        <v>0</v>
      </c>
      <c r="F51" s="307">
        <f t="shared" si="48"/>
        <v>0</v>
      </c>
      <c r="G51" s="344">
        <v>0</v>
      </c>
      <c r="H51" s="311">
        <f t="shared" si="49"/>
        <v>0</v>
      </c>
      <c r="I51" s="344">
        <v>1.9566171081562139E-2</v>
      </c>
      <c r="J51" s="311">
        <f t="shared" si="50"/>
        <v>0.22540229085959584</v>
      </c>
      <c r="K51" s="344">
        <v>0</v>
      </c>
      <c r="L51" s="311">
        <f t="shared" si="51"/>
        <v>0</v>
      </c>
      <c r="M51" s="65"/>
      <c r="N51" s="65"/>
      <c r="O51" s="65"/>
      <c r="P51" s="65"/>
      <c r="Q51" s="65"/>
      <c r="R51" s="65"/>
      <c r="S51" s="65"/>
      <c r="T51" s="65"/>
      <c r="U51" s="65"/>
      <c r="AA51" s="312">
        <f t="shared" si="56"/>
        <v>11520</v>
      </c>
      <c r="AB51" s="256" t="s">
        <v>12</v>
      </c>
      <c r="AC51" s="255" t="s">
        <v>472</v>
      </c>
      <c r="AO51" s="56">
        <f t="shared" si="52"/>
        <v>0</v>
      </c>
      <c r="AP51" s="56">
        <f t="shared" si="53"/>
        <v>0</v>
      </c>
      <c r="AQ51" s="56">
        <f t="shared" si="57"/>
        <v>0</v>
      </c>
      <c r="AR51" s="26">
        <f t="shared" si="54"/>
        <v>0</v>
      </c>
      <c r="AS51" s="26"/>
      <c r="AT51" s="183"/>
      <c r="AU51" s="341"/>
    </row>
    <row r="52" spans="1:47">
      <c r="A52" s="63"/>
      <c r="B52" s="67"/>
      <c r="C52" s="51"/>
      <c r="D52" s="68"/>
      <c r="E52" s="51"/>
      <c r="F52" s="68"/>
      <c r="G52" s="51"/>
      <c r="H52" s="98"/>
      <c r="I52" s="51"/>
      <c r="J52" s="98"/>
      <c r="K52" s="51"/>
      <c r="L52" s="98"/>
      <c r="M52" s="65"/>
      <c r="N52" s="65"/>
      <c r="O52" s="65"/>
      <c r="P52" s="65"/>
      <c r="Q52" s="65"/>
      <c r="R52" s="65"/>
      <c r="S52" s="65"/>
      <c r="T52" s="65"/>
      <c r="U52" s="65"/>
      <c r="AC52" s="156"/>
      <c r="AQ52" s="157"/>
    </row>
    <row r="53" spans="1:47" ht="15">
      <c r="A53" s="63" t="s">
        <v>42</v>
      </c>
      <c r="C53" s="69"/>
      <c r="D53" s="199" t="s">
        <v>43</v>
      </c>
      <c r="F53" s="199" t="s">
        <v>43</v>
      </c>
      <c r="H53" s="283" t="s">
        <v>43</v>
      </c>
      <c r="J53" s="283" t="s">
        <v>43</v>
      </c>
      <c r="L53" s="283" t="s">
        <v>43</v>
      </c>
    </row>
    <row r="54" spans="1:47">
      <c r="A54" s="63" t="s">
        <v>284</v>
      </c>
      <c r="C54" s="69"/>
      <c r="D54" s="64">
        <f>D43+D44+D45</f>
        <v>2.8245427997888248E-2</v>
      </c>
      <c r="F54" s="64">
        <f>F43+F44+F45</f>
        <v>3.0983791586476701E-2</v>
      </c>
      <c r="H54" s="189">
        <f>H43+H44+H45</f>
        <v>0.47014197552909204</v>
      </c>
      <c r="J54" s="189">
        <f>J43+J44+J45</f>
        <v>3.3811772094045366E-2</v>
      </c>
      <c r="L54" s="189">
        <f>L43+L44+L45</f>
        <v>0.13456285817621805</v>
      </c>
    </row>
    <row r="55" spans="1:47" ht="15">
      <c r="A55" s="63" t="s">
        <v>44</v>
      </c>
      <c r="C55" s="69"/>
      <c r="D55" s="70">
        <f>SUM(D46:D51)</f>
        <v>1.8039214575272803E-2</v>
      </c>
      <c r="F55" s="70">
        <f>SUM(F46:F51)</f>
        <v>0.11504923751844753</v>
      </c>
      <c r="H55" s="310">
        <f>SUM(H46:H51)</f>
        <v>0.11139863075449551</v>
      </c>
      <c r="J55" s="310">
        <f>SUM(J46:J51)</f>
        <v>0.24273805086768638</v>
      </c>
      <c r="L55" s="310">
        <f>SUM(L46:L51)</f>
        <v>1.2292993699831993E-2</v>
      </c>
    </row>
    <row r="56" spans="1:47" ht="15">
      <c r="A56" s="63" t="s">
        <v>45</v>
      </c>
      <c r="C56" s="51"/>
      <c r="D56" s="339">
        <f>SUM(D54:D55)</f>
        <v>4.6284642573161047E-2</v>
      </c>
      <c r="F56" s="339">
        <f>SUM(F54:F55)</f>
        <v>0.14603302910492424</v>
      </c>
      <c r="H56" s="340">
        <f>SUM(H54:H55)</f>
        <v>0.5815406062835875</v>
      </c>
      <c r="J56" s="340">
        <f>SUM(J54:J55)</f>
        <v>0.27654982296173175</v>
      </c>
      <c r="L56" s="340">
        <f>SUM(L54:L55)</f>
        <v>0.14685585187605005</v>
      </c>
    </row>
    <row r="57" spans="1:47">
      <c r="A57" s="71"/>
      <c r="B57" s="72"/>
      <c r="C57" s="72"/>
      <c r="D57" s="72"/>
      <c r="E57" s="73"/>
      <c r="F57" s="74"/>
      <c r="G57" s="72"/>
      <c r="H57" s="75"/>
      <c r="I57" s="72"/>
      <c r="J57" s="75"/>
      <c r="K57" s="72"/>
      <c r="L57" s="75"/>
      <c r="AB57" s="69"/>
    </row>
    <row r="58" spans="1:47">
      <c r="A58" s="39"/>
      <c r="E58" s="51"/>
      <c r="F58" s="76"/>
      <c r="AB58" s="69"/>
    </row>
    <row r="59" spans="1:47" ht="13.5" thickBot="1">
      <c r="F59" s="39"/>
      <c r="G59" s="39"/>
    </row>
    <row r="60" spans="1:47" ht="14.65" customHeight="1">
      <c r="A60" s="82" t="s">
        <v>269</v>
      </c>
      <c r="B60" s="1020" t="s">
        <v>18</v>
      </c>
      <c r="C60" s="1020"/>
      <c r="D60" s="1020"/>
      <c r="E60" s="93"/>
      <c r="F60" s="1020" t="s">
        <v>46</v>
      </c>
      <c r="G60" s="1020"/>
      <c r="H60" s="1021"/>
      <c r="AF60" s="1014" t="s">
        <v>253</v>
      </c>
      <c r="AG60" s="1015"/>
      <c r="AH60" s="1015"/>
      <c r="AI60" s="1015"/>
      <c r="AJ60" s="1015"/>
      <c r="AK60" s="1015"/>
      <c r="AL60" s="1015"/>
      <c r="AM60" s="1015"/>
      <c r="AN60" s="1015"/>
      <c r="AO60" s="1015"/>
      <c r="AP60" s="1016"/>
    </row>
    <row r="61" spans="1:47" ht="14.65" customHeight="1">
      <c r="A61" s="43"/>
      <c r="B61" s="199" t="s">
        <v>159</v>
      </c>
      <c r="C61" s="199" t="s">
        <v>109</v>
      </c>
      <c r="D61" s="199" t="s">
        <v>107</v>
      </c>
      <c r="E61" s="26"/>
      <c r="F61" s="199" t="s">
        <v>159</v>
      </c>
      <c r="G61" s="199" t="s">
        <v>109</v>
      </c>
      <c r="H61" s="283" t="s">
        <v>107</v>
      </c>
      <c r="W61" s="240"/>
      <c r="X61" s="240"/>
      <c r="Y61" s="261">
        <f>$Y$14*$AE61</f>
        <v>2794135.5</v>
      </c>
      <c r="Z61" s="250"/>
      <c r="AA61" s="250"/>
      <c r="AB61" s="256"/>
      <c r="AC61" s="20" t="s">
        <v>79</v>
      </c>
      <c r="AD61" s="128" t="s">
        <v>80</v>
      </c>
      <c r="AE61" s="206">
        <f>100%-D64</f>
        <v>0.9</v>
      </c>
      <c r="AF61" s="274"/>
      <c r="AG61" s="261"/>
      <c r="AH61" s="261"/>
      <c r="AI61" s="261" t="s">
        <v>159</v>
      </c>
      <c r="AJ61" s="278">
        <f>($B$68+$B$70+$B$72+$B$75-$B$77)/$B$25*$B$24</f>
        <v>15379.098040915396</v>
      </c>
      <c r="AK61" s="278">
        <f>($B$68+$B$70+$B$72+$B$75-$B$77)/$B$25*($E$24+$H$24)</f>
        <v>34794.339459084607</v>
      </c>
      <c r="AL61" s="278"/>
      <c r="AM61" s="278">
        <f>SUM(AJ61:AK61)</f>
        <v>50173.4375</v>
      </c>
      <c r="AN61" s="25"/>
      <c r="AO61" s="24"/>
      <c r="AP61" s="270"/>
      <c r="AQ61" s="131"/>
    </row>
    <row r="62" spans="1:47" ht="14.65" customHeight="1">
      <c r="A62" s="48" t="s">
        <v>191</v>
      </c>
      <c r="B62" s="346">
        <f>33-8</f>
        <v>25</v>
      </c>
      <c r="C62" s="346">
        <v>20</v>
      </c>
      <c r="D62" s="78">
        <f>SUM(B62:C62)</f>
        <v>45</v>
      </c>
      <c r="F62" s="346">
        <f>11+1</f>
        <v>12</v>
      </c>
      <c r="G62" s="346">
        <v>4</v>
      </c>
      <c r="H62" s="79">
        <f>SUM(F62:G62)</f>
        <v>16</v>
      </c>
      <c r="W62" s="269"/>
      <c r="X62" s="269"/>
      <c r="Y62" s="262">
        <f>$Y$14*$AE62</f>
        <v>310459.5</v>
      </c>
      <c r="Z62" s="250"/>
      <c r="AA62" s="250"/>
      <c r="AB62" s="256"/>
      <c r="AC62" s="20" t="s">
        <v>81</v>
      </c>
      <c r="AD62" s="128" t="s">
        <v>82</v>
      </c>
      <c r="AE62" s="138">
        <f>D64</f>
        <v>0.1</v>
      </c>
      <c r="AF62" s="274"/>
      <c r="AG62" s="261"/>
      <c r="AH62" s="261"/>
      <c r="AI62" s="261" t="s">
        <v>109</v>
      </c>
      <c r="AJ62" s="279">
        <v>0</v>
      </c>
      <c r="AK62" s="279">
        <f>($B$69+$B$71+$B$73)/$E$24*($E$24+$H$24)</f>
        <v>68640</v>
      </c>
      <c r="AL62" s="279"/>
      <c r="AM62" s="279">
        <f>SUM(AJ62:AK62)</f>
        <v>68640</v>
      </c>
      <c r="AN62" s="25"/>
      <c r="AO62" s="24"/>
      <c r="AP62" s="270"/>
      <c r="AQ62" s="131"/>
    </row>
    <row r="63" spans="1:47" ht="14.65" customHeight="1" thickBot="1">
      <c r="A63" s="48" t="s">
        <v>192</v>
      </c>
      <c r="B63" s="347">
        <f>28.6*(1+$F$150)</f>
        <v>29.172000000000001</v>
      </c>
      <c r="C63" s="347">
        <f>28.6*(1+$F$150)</f>
        <v>29.172000000000001</v>
      </c>
      <c r="D63" s="80">
        <f>($B$62*B63+$C$62*C63)/$D$62</f>
        <v>29.172000000000004</v>
      </c>
      <c r="E63" s="26"/>
      <c r="F63" s="347">
        <f>31.47*(1+$F$150)</f>
        <v>32.099400000000003</v>
      </c>
      <c r="G63" s="347">
        <f>31.47*(1+$F$150)</f>
        <v>32.099400000000003</v>
      </c>
      <c r="H63" s="81">
        <f>($F$62*F63+$G$62*G63)/$H$62</f>
        <v>32.099400000000003</v>
      </c>
      <c r="W63" s="235"/>
      <c r="X63" s="235"/>
      <c r="Y63" s="24">
        <f>SUM(Y61:Y62)</f>
        <v>3104595</v>
      </c>
      <c r="Z63" s="268"/>
      <c r="AA63" s="268"/>
      <c r="AB63" s="256" t="s">
        <v>19</v>
      </c>
      <c r="AC63" s="130" t="s">
        <v>20</v>
      </c>
      <c r="AD63" s="257" t="s">
        <v>107</v>
      </c>
      <c r="AE63" s="138"/>
      <c r="AF63" s="271">
        <f>$AN$63*AO63*$B$24</f>
        <v>480592.19775814988</v>
      </c>
      <c r="AG63" s="272">
        <f>$AN$63*AP63*($E$24+$H$24)</f>
        <v>3232292.062385811</v>
      </c>
      <c r="AH63" s="272"/>
      <c r="AI63" s="273">
        <f>SUM(AF63:AG63)</f>
        <v>3712884.2601439608</v>
      </c>
      <c r="AJ63" s="280">
        <f>SUM(AJ61:AJ62)</f>
        <v>15379.098040915396</v>
      </c>
      <c r="AK63" s="280">
        <f>SUM(AK61:AK62)</f>
        <v>103434.33945908461</v>
      </c>
      <c r="AL63" s="280"/>
      <c r="AM63" s="280">
        <f>SUM(AM61:AM62)</f>
        <v>118813.4375</v>
      </c>
      <c r="AN63" s="277">
        <f>$AN$14</f>
        <v>31.249699851028719</v>
      </c>
      <c r="AO63" s="275">
        <f>AJ63/$B$24</f>
        <v>0.69588678918169211</v>
      </c>
      <c r="AP63" s="276">
        <f>AK63/($E$24+$H$24)</f>
        <v>2.0686867891816925</v>
      </c>
      <c r="AQ63" s="131"/>
    </row>
    <row r="64" spans="1:47" ht="14.65" customHeight="1">
      <c r="A64" s="48" t="s">
        <v>193</v>
      </c>
      <c r="B64" s="343">
        <v>0.1</v>
      </c>
      <c r="C64" s="343">
        <v>0.1</v>
      </c>
      <c r="D64" s="203">
        <f>($B$62*B64+$C$62*C64)/$D$62</f>
        <v>0.1</v>
      </c>
      <c r="E64" s="26"/>
      <c r="F64" s="343">
        <v>0.05</v>
      </c>
      <c r="G64" s="343">
        <v>0.05</v>
      </c>
      <c r="H64" s="211">
        <f>($F$62*F64+$G$62*G64)/$H$62</f>
        <v>0.05</v>
      </c>
      <c r="AF64" s="1014" t="s">
        <v>254</v>
      </c>
      <c r="AG64" s="1015"/>
      <c r="AH64" s="1015"/>
      <c r="AI64" s="1015"/>
      <c r="AJ64" s="1015"/>
      <c r="AK64" s="1015"/>
      <c r="AL64" s="1015"/>
      <c r="AM64" s="1015"/>
      <c r="AN64" s="1015"/>
      <c r="AO64" s="1015"/>
      <c r="AP64" s="1016"/>
    </row>
    <row r="65" spans="1:43" ht="14.65" customHeight="1">
      <c r="A65" s="43"/>
      <c r="H65" s="45"/>
      <c r="W65" s="240"/>
      <c r="X65" s="240"/>
      <c r="Y65" s="261">
        <f>$Y$15*$AE65</f>
        <v>1145517.5999999999</v>
      </c>
      <c r="Z65" s="250"/>
      <c r="AA65" s="250"/>
      <c r="AB65" s="256"/>
      <c r="AC65" s="20" t="s">
        <v>83</v>
      </c>
      <c r="AD65" s="128" t="s">
        <v>84</v>
      </c>
      <c r="AE65" s="138">
        <f>100%-H64</f>
        <v>0.95</v>
      </c>
      <c r="AF65" s="274"/>
      <c r="AG65" s="261"/>
      <c r="AH65" s="261"/>
      <c r="AI65" s="261" t="s">
        <v>159</v>
      </c>
      <c r="AJ65" s="278">
        <f>($F$68+$F$70+$F$72+$F$75-$F$77)/$B$25*$B$24</f>
        <v>8434.9048543689332</v>
      </c>
      <c r="AK65" s="278">
        <f>($F$68+$F$70+$F$72+$F$75-$F$77)/$B$25*($E$24+$H$24)</f>
        <v>19083.49514563107</v>
      </c>
      <c r="AL65" s="278"/>
      <c r="AM65" s="278">
        <f>SUM(AJ65:AK65)</f>
        <v>27518.400000000001</v>
      </c>
      <c r="AN65" s="25"/>
      <c r="AO65" s="24"/>
      <c r="AP65" s="270"/>
      <c r="AQ65" s="131"/>
    </row>
    <row r="66" spans="1:43" ht="14.65" customHeight="1">
      <c r="A66" s="48"/>
      <c r="B66" s="1017" t="s">
        <v>18</v>
      </c>
      <c r="C66" s="1017"/>
      <c r="D66" s="1017"/>
      <c r="F66" s="1017" t="s">
        <v>47</v>
      </c>
      <c r="G66" s="1017"/>
      <c r="H66" s="1018"/>
      <c r="W66" s="269"/>
      <c r="X66" s="269"/>
      <c r="Y66" s="262">
        <f>$Y$15*$AE66</f>
        <v>60290.400000000001</v>
      </c>
      <c r="Z66" s="250"/>
      <c r="AA66" s="250"/>
      <c r="AB66" s="256"/>
      <c r="AC66" s="20" t="s">
        <v>85</v>
      </c>
      <c r="AD66" s="128" t="s">
        <v>86</v>
      </c>
      <c r="AE66" s="138">
        <f>H64</f>
        <v>0.05</v>
      </c>
      <c r="AF66" s="274"/>
      <c r="AG66" s="261"/>
      <c r="AH66" s="261"/>
      <c r="AI66" s="261" t="s">
        <v>109</v>
      </c>
      <c r="AJ66" s="279">
        <v>0</v>
      </c>
      <c r="AK66" s="279">
        <f>($F$69+$F$71+$F$73)/$E$24*($E$24+$H$24)</f>
        <v>13103.999999999998</v>
      </c>
      <c r="AL66" s="279"/>
      <c r="AM66" s="279">
        <f>SUM(AJ66:AK66)</f>
        <v>13103.999999999998</v>
      </c>
      <c r="AN66" s="25"/>
      <c r="AO66" s="24"/>
      <c r="AP66" s="270"/>
      <c r="AQ66" s="131"/>
    </row>
    <row r="67" spans="1:43" ht="14.65" customHeight="1" thickBot="1">
      <c r="A67" s="48"/>
      <c r="B67" s="83" t="s">
        <v>48</v>
      </c>
      <c r="C67" s="83" t="s">
        <v>49</v>
      </c>
      <c r="D67" s="84" t="s">
        <v>50</v>
      </c>
      <c r="E67" s="52"/>
      <c r="F67" s="83" t="s">
        <v>48</v>
      </c>
      <c r="G67" s="83" t="s">
        <v>49</v>
      </c>
      <c r="H67" s="85" t="s">
        <v>50</v>
      </c>
      <c r="I67" s="52"/>
      <c r="W67" s="235"/>
      <c r="X67" s="235"/>
      <c r="Y67" s="24">
        <f>SUM(Y65:Y66)</f>
        <v>1205807.9999999998</v>
      </c>
      <c r="Z67" s="268"/>
      <c r="AA67" s="268"/>
      <c r="AB67" s="256" t="s">
        <v>19</v>
      </c>
      <c r="AC67" s="130" t="s">
        <v>22</v>
      </c>
      <c r="AD67" s="257" t="s">
        <v>107</v>
      </c>
      <c r="AE67" s="138"/>
      <c r="AF67" s="271">
        <f>$AN$67*AO67*$B$24</f>
        <v>277201.94166524272</v>
      </c>
      <c r="AG67" s="272">
        <f>$AN$67*AP67*($E$24+$H$24)</f>
        <v>1057799.2645747571</v>
      </c>
      <c r="AH67" s="272"/>
      <c r="AI67" s="273">
        <f>SUM(AF67:AG67)</f>
        <v>1335001.2062399997</v>
      </c>
      <c r="AJ67" s="280">
        <f>SUM(AJ65:AJ66)</f>
        <v>8434.9048543689332</v>
      </c>
      <c r="AK67" s="280">
        <f>SUM(AK65:AK66)</f>
        <v>32187.495145631066</v>
      </c>
      <c r="AL67" s="280"/>
      <c r="AM67" s="280">
        <f>SUM(AM65:AM66)</f>
        <v>40622.400000000001</v>
      </c>
      <c r="AN67" s="277">
        <f>$AN$15</f>
        <v>32.863671428571422</v>
      </c>
      <c r="AO67" s="275">
        <f>AJ67/$B$24</f>
        <v>0.38166990291262143</v>
      </c>
      <c r="AP67" s="276">
        <f>AK67/($E$24+$H$24)</f>
        <v>0.64374990291262135</v>
      </c>
    </row>
    <row r="68" spans="1:43" ht="14.65" customHeight="1">
      <c r="A68" s="48" t="s">
        <v>195</v>
      </c>
      <c r="B68" s="49">
        <f>$D$150*$D$151*B$62</f>
        <v>54600</v>
      </c>
      <c r="C68" s="86">
        <f>B$63</f>
        <v>29.172000000000001</v>
      </c>
      <c r="D68" s="87">
        <f>B68*C68</f>
        <v>1592791.2</v>
      </c>
      <c r="F68" s="49">
        <f>$D$150*$D$151*F$62</f>
        <v>26208</v>
      </c>
      <c r="G68" s="86">
        <f>F$63</f>
        <v>32.099400000000003</v>
      </c>
      <c r="H68" s="88">
        <f>F68*G68</f>
        <v>841261.07520000008</v>
      </c>
      <c r="I68" s="26"/>
      <c r="W68"/>
      <c r="X68"/>
      <c r="Y68"/>
      <c r="Z68" s="131"/>
      <c r="AA68" s="131"/>
      <c r="AB68" s="146"/>
      <c r="AC68" s="131"/>
      <c r="AD68" s="132"/>
      <c r="AE68"/>
      <c r="AF68" s="260" t="s">
        <v>398</v>
      </c>
      <c r="AG68" s="131"/>
      <c r="AH68" s="131"/>
      <c r="AI68" s="131"/>
      <c r="AJ68" s="162"/>
    </row>
    <row r="69" spans="1:43" ht="14.65" customHeight="1">
      <c r="A69" s="48" t="s">
        <v>196</v>
      </c>
      <c r="B69" s="49">
        <f>$D$150*$D$151*C$62</f>
        <v>43680</v>
      </c>
      <c r="C69" s="205">
        <f>C$63</f>
        <v>29.172000000000001</v>
      </c>
      <c r="D69" s="78">
        <f>B69*C69</f>
        <v>1274232.96</v>
      </c>
      <c r="F69" s="49">
        <f>$D$150*$D$151*G$62</f>
        <v>8736</v>
      </c>
      <c r="G69" s="205">
        <f>G$63</f>
        <v>32.099400000000003</v>
      </c>
      <c r="H69" s="79">
        <f>F69*G69</f>
        <v>280420.35840000003</v>
      </c>
      <c r="I69" s="26"/>
      <c r="W69" s="240"/>
      <c r="X69" s="240"/>
      <c r="Y69" s="261">
        <f t="shared" ref="Y69:Y74" si="58">$Y$16*$AE69</f>
        <v>152926.99688676081</v>
      </c>
      <c r="Z69" s="250"/>
      <c r="AA69" s="250"/>
      <c r="AB69" s="159"/>
      <c r="AC69" s="20" t="s">
        <v>87</v>
      </c>
      <c r="AD69" s="128" t="s">
        <v>88</v>
      </c>
      <c r="AE69" s="138">
        <f t="shared" ref="AE69:AE74" si="59">AF69/$AF$75</f>
        <v>8.8696471435533455E-2</v>
      </c>
      <c r="AF69" s="143">
        <v>113854.1</v>
      </c>
      <c r="AG69" s="133"/>
      <c r="AH69" s="133"/>
      <c r="AI69" s="133"/>
      <c r="AJ69" s="143"/>
      <c r="AN69" s="240"/>
      <c r="AO69" s="240"/>
    </row>
    <row r="70" spans="1:43" ht="14.65" customHeight="1">
      <c r="A70" s="48" t="s">
        <v>197</v>
      </c>
      <c r="B70" s="49">
        <f>B68*B64</f>
        <v>5460</v>
      </c>
      <c r="C70" s="89">
        <f>B63*D152</f>
        <v>43.758000000000003</v>
      </c>
      <c r="D70" s="78">
        <f>B70*C70</f>
        <v>238918.68000000002</v>
      </c>
      <c r="F70" s="49">
        <f>F68*F64</f>
        <v>1310.4000000000001</v>
      </c>
      <c r="G70" s="89">
        <f>F63*D152</f>
        <v>48.149100000000004</v>
      </c>
      <c r="H70" s="79">
        <f>F70*G70</f>
        <v>63094.580640000007</v>
      </c>
      <c r="I70" s="26"/>
      <c r="W70" s="240"/>
      <c r="X70" s="240"/>
      <c r="Y70" s="261">
        <f t="shared" si="58"/>
        <v>143396.26073479431</v>
      </c>
      <c r="Z70" s="250"/>
      <c r="AA70" s="250"/>
      <c r="AB70" s="159"/>
      <c r="AC70" s="20" t="s">
        <v>89</v>
      </c>
      <c r="AD70" s="128" t="s">
        <v>90</v>
      </c>
      <c r="AE70" s="138">
        <f t="shared" si="59"/>
        <v>8.3168718428728125E-2</v>
      </c>
      <c r="AF70" s="143">
        <v>106758.47</v>
      </c>
      <c r="AG70" s="133"/>
      <c r="AH70" s="133"/>
      <c r="AI70" s="133"/>
      <c r="AJ70" s="143"/>
      <c r="AN70" s="240"/>
      <c r="AO70" s="240"/>
    </row>
    <row r="71" spans="1:43" ht="14.65" customHeight="1">
      <c r="A71" s="48" t="s">
        <v>198</v>
      </c>
      <c r="B71" s="49">
        <f>B69*C64</f>
        <v>4368</v>
      </c>
      <c r="C71" s="89">
        <f>C63*D152</f>
        <v>43.758000000000003</v>
      </c>
      <c r="D71" s="78">
        <f>B71*C71</f>
        <v>191134.94400000002</v>
      </c>
      <c r="F71" s="49">
        <f>F69*G64</f>
        <v>436.8</v>
      </c>
      <c r="G71" s="89">
        <f>G63*D152</f>
        <v>48.149100000000004</v>
      </c>
      <c r="H71" s="79">
        <f>F71*G71</f>
        <v>21031.526880000001</v>
      </c>
      <c r="I71" s="26"/>
      <c r="W71" s="240"/>
      <c r="X71" s="240"/>
      <c r="Y71" s="261">
        <f t="shared" si="58"/>
        <v>142313.82910535688</v>
      </c>
      <c r="Z71" s="250"/>
      <c r="AA71" s="250"/>
      <c r="AB71" s="159"/>
      <c r="AC71" s="20" t="s">
        <v>91</v>
      </c>
      <c r="AD71" s="128" t="s">
        <v>92</v>
      </c>
      <c r="AE71" s="138">
        <f t="shared" si="59"/>
        <v>8.2540916483644436E-2</v>
      </c>
      <c r="AF71" s="143">
        <v>105952.6</v>
      </c>
      <c r="AG71" s="133"/>
      <c r="AH71" s="133"/>
      <c r="AI71" s="133"/>
      <c r="AJ71" s="143"/>
      <c r="AN71" s="240"/>
      <c r="AO71" s="240"/>
    </row>
    <row r="72" spans="1:43" ht="14.65" customHeight="1">
      <c r="A72" s="48" t="s">
        <v>199</v>
      </c>
      <c r="B72" s="49">
        <v>0</v>
      </c>
      <c r="C72" s="90"/>
      <c r="D72" s="685">
        <f>96*(35.78*1.02)*12*1.5</f>
        <v>63064.39680000001</v>
      </c>
      <c r="F72" s="49">
        <v>0</v>
      </c>
      <c r="G72" s="89"/>
      <c r="H72" s="79">
        <v>0</v>
      </c>
      <c r="I72" s="26"/>
      <c r="W72" s="240"/>
      <c r="X72" s="240"/>
      <c r="Y72" s="261">
        <f t="shared" si="58"/>
        <v>860260.64024811646</v>
      </c>
      <c r="Z72" s="250"/>
      <c r="AA72" s="250"/>
      <c r="AB72" s="159"/>
      <c r="AC72" s="20" t="s">
        <v>93</v>
      </c>
      <c r="AD72" s="128" t="s">
        <v>94</v>
      </c>
      <c r="AE72" s="138">
        <f t="shared" si="59"/>
        <v>0.49894449546655822</v>
      </c>
      <c r="AF72" s="143">
        <v>640463.77</v>
      </c>
      <c r="AG72" s="133"/>
      <c r="AH72" s="133"/>
      <c r="AI72" s="133"/>
      <c r="AJ72" s="143"/>
      <c r="AN72" s="240"/>
      <c r="AO72" s="240"/>
    </row>
    <row r="73" spans="1:43" ht="14.65" customHeight="1">
      <c r="A73" s="48" t="s">
        <v>200</v>
      </c>
      <c r="B73" s="170">
        <v>0</v>
      </c>
      <c r="C73" s="177"/>
      <c r="D73" s="178">
        <v>0</v>
      </c>
      <c r="E73" s="163"/>
      <c r="F73" s="170">
        <v>0</v>
      </c>
      <c r="G73" s="177"/>
      <c r="H73" s="194">
        <v>0</v>
      </c>
      <c r="I73" s="26"/>
      <c r="W73" s="240"/>
      <c r="X73" s="240"/>
      <c r="Y73" s="261">
        <f t="shared" si="58"/>
        <v>393466.13370174629</v>
      </c>
      <c r="Z73" s="250"/>
      <c r="AA73" s="250"/>
      <c r="AB73" s="159"/>
      <c r="AC73" s="20" t="s">
        <v>95</v>
      </c>
      <c r="AD73" s="128" t="s">
        <v>96</v>
      </c>
      <c r="AE73" s="138">
        <f t="shared" si="59"/>
        <v>0.22820730413328355</v>
      </c>
      <c r="AF73" s="143">
        <v>292935.40999999997</v>
      </c>
      <c r="AG73" s="133"/>
      <c r="AH73" s="133"/>
      <c r="AI73" s="133"/>
      <c r="AJ73" s="143"/>
      <c r="AN73" s="240"/>
      <c r="AO73" s="240"/>
    </row>
    <row r="74" spans="1:43" ht="14.65" customHeight="1">
      <c r="A74" s="176" t="s">
        <v>161</v>
      </c>
      <c r="B74" s="49">
        <f>SUM(B68:B73)</f>
        <v>108108</v>
      </c>
      <c r="C74" s="80">
        <f>D74/B74</f>
        <v>31.081346253746261</v>
      </c>
      <c r="D74" s="167">
        <f>SUM(D68:D73)</f>
        <v>3360142.1808000007</v>
      </c>
      <c r="E74" s="163"/>
      <c r="F74" s="49">
        <f>SUM(F68:F73)</f>
        <v>36691.200000000004</v>
      </c>
      <c r="G74" s="80">
        <f>H74/F74</f>
        <v>32.863671428571429</v>
      </c>
      <c r="H74" s="91">
        <f>SUM(H68:H73)</f>
        <v>1205807.5411200002</v>
      </c>
      <c r="I74" s="26"/>
      <c r="W74" s="269"/>
      <c r="X74" s="269"/>
      <c r="Y74" s="262">
        <f t="shared" si="58"/>
        <v>31797.139323225183</v>
      </c>
      <c r="Z74" s="250"/>
      <c r="AA74" s="250"/>
      <c r="AB74" s="159"/>
      <c r="AC74" s="20" t="s">
        <v>97</v>
      </c>
      <c r="AD74" s="128" t="s">
        <v>98</v>
      </c>
      <c r="AE74" s="258">
        <f t="shared" si="59"/>
        <v>1.8442094052252188E-2</v>
      </c>
      <c r="AF74" s="161">
        <v>23672.959999999999</v>
      </c>
      <c r="AG74" s="133"/>
      <c r="AH74" s="133"/>
      <c r="AI74" s="133"/>
      <c r="AJ74" s="161"/>
      <c r="AN74" s="240"/>
      <c r="AO74" s="240"/>
    </row>
    <row r="75" spans="1:43" ht="14.65" customHeight="1">
      <c r="A75" s="176" t="s">
        <v>217</v>
      </c>
      <c r="B75" s="170">
        <f>-H84</f>
        <v>-8760</v>
      </c>
      <c r="C75" s="209">
        <f>D75/B75</f>
        <v>29.172031963470321</v>
      </c>
      <c r="D75" s="179">
        <f>ROUND(B75*B63,0)</f>
        <v>-255547</v>
      </c>
      <c r="E75" s="163"/>
      <c r="F75" s="170">
        <v>0</v>
      </c>
      <c r="G75" s="210"/>
      <c r="H75" s="195">
        <v>0</v>
      </c>
      <c r="I75" s="163"/>
      <c r="W75" s="235"/>
      <c r="X75" s="235"/>
      <c r="Y75" s="24">
        <f>SUM(Y69:Y74)</f>
        <v>1724161</v>
      </c>
      <c r="Z75" s="268"/>
      <c r="AA75" s="268"/>
      <c r="AB75" s="256" t="s">
        <v>19</v>
      </c>
      <c r="AC75" s="130" t="s">
        <v>24</v>
      </c>
      <c r="AD75" s="257" t="s">
        <v>107</v>
      </c>
      <c r="AE75" s="138">
        <f>SUM(AE69:AE74)</f>
        <v>0.99999999999999989</v>
      </c>
      <c r="AF75" s="259">
        <f>SUM(AF69:AF74)</f>
        <v>1283637.31</v>
      </c>
      <c r="AG75"/>
      <c r="AH75"/>
      <c r="AI75"/>
      <c r="AJ75" s="160"/>
      <c r="AN75" s="241"/>
      <c r="AO75" s="241"/>
    </row>
    <row r="76" spans="1:43" ht="14.65" customHeight="1">
      <c r="A76" s="176" t="s">
        <v>162</v>
      </c>
      <c r="B76" s="165">
        <f>SUM(B74:B75)</f>
        <v>99348</v>
      </c>
      <c r="C76" s="166">
        <f>D76/B76</f>
        <v>31.249699851028716</v>
      </c>
      <c r="D76" s="169">
        <f>SUM(D74:D75)</f>
        <v>3104595.1808000007</v>
      </c>
      <c r="E76" s="163"/>
      <c r="F76" s="165">
        <f>SUM(F74:F75)</f>
        <v>36691.200000000004</v>
      </c>
      <c r="G76" s="196">
        <f>H76/F76</f>
        <v>32.863671428571429</v>
      </c>
      <c r="H76" s="164">
        <f>SUM(H74:H75)</f>
        <v>1205807.5411200002</v>
      </c>
    </row>
    <row r="77" spans="1:43" ht="14.65" customHeight="1">
      <c r="A77" s="141" t="s">
        <v>163</v>
      </c>
      <c r="B77" s="165">
        <f>H85</f>
        <v>1126.5625</v>
      </c>
      <c r="C77" s="166"/>
      <c r="D77" s="169">
        <f>B77*C76</f>
        <v>35204.739988424539</v>
      </c>
      <c r="E77" s="163"/>
      <c r="F77" s="165">
        <v>0</v>
      </c>
      <c r="G77" s="40"/>
      <c r="H77" s="164">
        <f>F77*G76</f>
        <v>0</v>
      </c>
    </row>
    <row r="78" spans="1:43" ht="14.65" customHeight="1">
      <c r="A78" s="141" t="s">
        <v>164</v>
      </c>
      <c r="B78" s="165">
        <f>B76-B77</f>
        <v>98221.4375</v>
      </c>
      <c r="C78" s="166"/>
      <c r="D78" s="169">
        <f>B78*C76</f>
        <v>3069390.4408115763</v>
      </c>
      <c r="E78" s="163"/>
      <c r="F78" s="165">
        <f>F76-F77</f>
        <v>36691.200000000004</v>
      </c>
      <c r="G78" s="196"/>
      <c r="H78" s="197">
        <f>F78*G76</f>
        <v>1205807.5411200002</v>
      </c>
    </row>
    <row r="79" spans="1:43" ht="14.65" customHeight="1" thickBot="1">
      <c r="A79" s="48"/>
      <c r="B79" s="59"/>
      <c r="H79" s="45"/>
    </row>
    <row r="80" spans="1:43" ht="14.65" customHeight="1">
      <c r="A80" s="48" t="str">
        <f>CONCATENATE("Indirect Payroll Cost (IPC) at ",$D$153*100,"% (NIRO)")</f>
        <v>Indirect Payroll Cost (IPC) at 40% (NIRO)</v>
      </c>
      <c r="B80" s="49">
        <f>B68+B70+B72</f>
        <v>60060</v>
      </c>
      <c r="C80" s="80">
        <f>D80/B80</f>
        <v>18.642223993606397</v>
      </c>
      <c r="D80" s="204">
        <f>((D68+D70+D72)*$D$153)+((H68+H70+H72)*$D$153)</f>
        <v>1119651.9730560002</v>
      </c>
      <c r="E80" s="1019" t="s">
        <v>300</v>
      </c>
      <c r="F80" s="1019"/>
      <c r="G80" s="1019"/>
      <c r="H80" s="357">
        <f>B63*(1+D153)*H83</f>
        <v>403775.12174999999</v>
      </c>
      <c r="AF80" s="1014" t="s">
        <v>255</v>
      </c>
      <c r="AG80" s="1015"/>
      <c r="AH80" s="1015"/>
      <c r="AI80" s="1015"/>
      <c r="AJ80" s="1015"/>
      <c r="AK80" s="1015"/>
      <c r="AL80" s="1015"/>
      <c r="AM80" s="1015"/>
      <c r="AN80" s="1015"/>
      <c r="AO80" s="1015"/>
      <c r="AP80" s="1016"/>
    </row>
    <row r="81" spans="1:42" ht="14.65" customHeight="1">
      <c r="A81" s="48" t="str">
        <f>CONCATENATE("Indirect Payroll Cost (IPC) at ",$D$153*100,"% (KS)")</f>
        <v>Indirect Payroll Cost (IPC) at 40% (KS)</v>
      </c>
      <c r="B81" s="170">
        <f>B69+B71+B73</f>
        <v>48048</v>
      </c>
      <c r="C81" s="209">
        <f>D81/B81</f>
        <v>14.708789454545457</v>
      </c>
      <c r="D81" s="179">
        <f>((D69+D71+D73)*$D$153)+((H69+H71+H73)*$D$153)</f>
        <v>706727.9157120001</v>
      </c>
      <c r="E81" s="1019" t="s">
        <v>301</v>
      </c>
      <c r="F81" s="1022"/>
      <c r="G81" s="356">
        <v>0.2</v>
      </c>
      <c r="H81" s="292">
        <f>B25*G81*1000</f>
        <v>14420000</v>
      </c>
      <c r="AF81" s="274"/>
      <c r="AG81" s="261"/>
      <c r="AH81" s="261"/>
      <c r="AI81" s="261" t="s">
        <v>159</v>
      </c>
      <c r="AJ81" s="278">
        <f>($B$68+$B$70+$B$72+$B$75-$B$77)/$B$25*$B$24</f>
        <v>15379.098040915396</v>
      </c>
      <c r="AK81" s="278">
        <f>($B$68+$B$70+$B$72+$B$75-$B$77)/$B$25*($E$24+$H$24)</f>
        <v>34794.339459084607</v>
      </c>
      <c r="AL81" s="278"/>
      <c r="AM81" s="278">
        <f>SUM(AJ81:AK81)</f>
        <v>50173.4375</v>
      </c>
      <c r="AN81" s="25"/>
      <c r="AO81" s="24"/>
      <c r="AP81" s="270"/>
    </row>
    <row r="82" spans="1:42" ht="14.65" customHeight="1">
      <c r="A82" s="176" t="str">
        <f>CONCATENATE("Total IPC at ",$D$153*100,"% (KS)")</f>
        <v>Total IPC at 40% (KS)</v>
      </c>
      <c r="B82" s="49">
        <f>SUM(B80:B81)</f>
        <v>108108</v>
      </c>
      <c r="C82" s="80">
        <f>D82/B82</f>
        <v>16.894030865134869</v>
      </c>
      <c r="D82" s="207">
        <f>SUM(D80:D81)</f>
        <v>1826379.8887680003</v>
      </c>
      <c r="E82" s="293" t="s">
        <v>158</v>
      </c>
      <c r="F82" s="294" t="s">
        <v>50</v>
      </c>
      <c r="G82" s="294" t="s">
        <v>52</v>
      </c>
      <c r="H82" s="295" t="s">
        <v>53</v>
      </c>
      <c r="AF82" s="274"/>
      <c r="AG82" s="261"/>
      <c r="AH82" s="261"/>
      <c r="AI82" s="261" t="s">
        <v>109</v>
      </c>
      <c r="AJ82" s="279">
        <v>0</v>
      </c>
      <c r="AK82" s="279">
        <f>($B$69+$B$71+$B$73)/($E$24+$H$24)*($E$24+$H$24)</f>
        <v>48048</v>
      </c>
      <c r="AL82" s="279"/>
      <c r="AM82" s="279">
        <f>SUM(AJ82:AK82)</f>
        <v>48048</v>
      </c>
      <c r="AN82" s="25"/>
      <c r="AO82" s="24"/>
      <c r="AP82" s="270"/>
    </row>
    <row r="83" spans="1:42" ht="14.65" customHeight="1" thickBot="1">
      <c r="A83" s="176" t="s">
        <v>201</v>
      </c>
      <c r="B83" s="147">
        <f>B75</f>
        <v>-8760</v>
      </c>
      <c r="C83" s="208">
        <f>D83/B83</f>
        <v>11.668835616438356</v>
      </c>
      <c r="D83" s="168">
        <f>ROUND(B83*$B$63*D153,0)</f>
        <v>-102219</v>
      </c>
      <c r="E83" s="298" t="s">
        <v>151</v>
      </c>
      <c r="F83" s="296">
        <f>SUM(F84:F85)</f>
        <v>290751.45998842455</v>
      </c>
      <c r="G83" s="296">
        <f>SUM(G84:G85)</f>
        <v>121769.91199296112</v>
      </c>
      <c r="H83" s="297">
        <f>SUM(H84:H85)</f>
        <v>9886.5625</v>
      </c>
      <c r="AF83" s="271">
        <f>$AN$83*AO83*$B$24</f>
        <v>266900.58528279292</v>
      </c>
      <c r="AG83" s="272">
        <f>$AN$83*AP83*($E$24+$H$24)</f>
        <v>1437709.079492247</v>
      </c>
      <c r="AH83" s="272"/>
      <c r="AI83" s="273">
        <f>SUM(AF83:AG83)</f>
        <v>1704609.66477504</v>
      </c>
      <c r="AJ83" s="280">
        <f>SUM(AJ81:AJ82)</f>
        <v>15379.098040915396</v>
      </c>
      <c r="AK83" s="280">
        <f>SUM(AK81:AK82)</f>
        <v>82842.339459084615</v>
      </c>
      <c r="AL83" s="280"/>
      <c r="AM83" s="280">
        <f>SUM(AM81:AM82)</f>
        <v>98221.4375</v>
      </c>
      <c r="AN83" s="277">
        <f>$AN$16</f>
        <v>17.354761935499464</v>
      </c>
      <c r="AO83" s="275">
        <f>AJ83/$B$24</f>
        <v>0.69588678918169211</v>
      </c>
      <c r="AP83" s="276">
        <f>AK83/($E$24+$H$24)</f>
        <v>1.6568467891816923</v>
      </c>
    </row>
    <row r="84" spans="1:42" ht="14.65" customHeight="1">
      <c r="A84" s="176" t="s">
        <v>165</v>
      </c>
      <c r="B84" s="165">
        <f>SUM(B82:B83)</f>
        <v>99348</v>
      </c>
      <c r="C84" s="166">
        <f>D84/B84</f>
        <v>17.354761935499461</v>
      </c>
      <c r="D84" s="169">
        <f>SUM(D82:D83)</f>
        <v>1724160.8887680003</v>
      </c>
      <c r="E84" s="298" t="s">
        <v>54</v>
      </c>
      <c r="F84" s="296">
        <f>$H84*$B$63</f>
        <v>255546.72</v>
      </c>
      <c r="G84" s="296">
        <f>$H84*$B$63*$D$153</f>
        <v>102218.68800000001</v>
      </c>
      <c r="H84" s="297">
        <f>1*365*24</f>
        <v>8760</v>
      </c>
    </row>
    <row r="85" spans="1:42" ht="14.65" customHeight="1">
      <c r="A85" s="141" t="s">
        <v>166</v>
      </c>
      <c r="B85" s="165">
        <f>H85</f>
        <v>1126.5625</v>
      </c>
      <c r="C85" s="166"/>
      <c r="D85" s="169">
        <f>B85*C84</f>
        <v>19551.22399296111</v>
      </c>
      <c r="E85" s="298" t="s">
        <v>55</v>
      </c>
      <c r="F85" s="296">
        <f>$H85*$C$76</f>
        <v>35204.739988424539</v>
      </c>
      <c r="G85" s="296">
        <f>$H85*$C$84</f>
        <v>19551.22399296111</v>
      </c>
      <c r="H85" s="297">
        <f>H81/12800</f>
        <v>1126.5625</v>
      </c>
    </row>
    <row r="86" spans="1:42" ht="14.65" customHeight="1">
      <c r="A86" s="141" t="s">
        <v>167</v>
      </c>
      <c r="B86" s="165">
        <f>B84-B85</f>
        <v>98221.4375</v>
      </c>
      <c r="C86" s="196"/>
      <c r="D86" s="169">
        <f>B86*C84</f>
        <v>1704609.6647750393</v>
      </c>
      <c r="E86" s="26"/>
      <c r="F86" s="26"/>
      <c r="G86" s="26"/>
      <c r="H86" s="77"/>
    </row>
    <row r="87" spans="1:42" ht="14.65" customHeight="1">
      <c r="A87" s="48"/>
      <c r="B87" s="26"/>
      <c r="C87" s="26"/>
      <c r="D87" s="299"/>
      <c r="E87" s="1009" t="s">
        <v>473</v>
      </c>
      <c r="F87" s="1009"/>
      <c r="G87" s="1009" t="s">
        <v>474</v>
      </c>
      <c r="H87" s="1010"/>
    </row>
    <row r="88" spans="1:42" ht="14.65" customHeight="1">
      <c r="A88" s="48"/>
      <c r="B88" s="26"/>
      <c r="C88" s="26"/>
      <c r="D88" s="299"/>
      <c r="E88" s="199" t="s">
        <v>53</v>
      </c>
      <c r="F88" s="199" t="s">
        <v>273</v>
      </c>
      <c r="G88" s="199" t="s">
        <v>53</v>
      </c>
      <c r="H88" s="305" t="s">
        <v>273</v>
      </c>
    </row>
    <row r="89" spans="1:42" ht="14.65" customHeight="1">
      <c r="A89" s="48" t="s">
        <v>274</v>
      </c>
      <c r="B89" s="26"/>
      <c r="C89" s="26"/>
      <c r="D89" s="299"/>
      <c r="E89" s="49">
        <f>IF(AND($B$132&lt;&gt;0,$C$132&lt;&gt;0),$B$78/$D$132*$B$132,IF(AND($B$132&lt;&gt;0,$C$132=0),$B$78,0))</f>
        <v>30106.709691400829</v>
      </c>
      <c r="F89" s="102">
        <f>E89*$C$76</f>
        <v>940825.64135833329</v>
      </c>
      <c r="G89" s="49">
        <f>IF(AND($B$132&lt;&gt;0,$C$132&lt;&gt;0),$B$78/$D$132*$C$132,IF(AND($B$132=0,$C$132&lt;&gt;0),$B$78,0))</f>
        <v>68114.727808599157</v>
      </c>
      <c r="H89" s="303">
        <f>G89*$C$76</f>
        <v>2128564.7994532427</v>
      </c>
    </row>
    <row r="90" spans="1:42" ht="14.65" customHeight="1">
      <c r="A90" s="48" t="s">
        <v>275</v>
      </c>
      <c r="B90" s="26"/>
      <c r="C90" s="26"/>
      <c r="D90" s="299"/>
      <c r="E90" s="49">
        <f>IF(AND($B$132&lt;&gt;0,$C$132&lt;&gt;0),$F$78/$D$132*$B$132,IF(AND($B$132&lt;&gt;0,$C$132=0),$F$78,0))</f>
        <v>11246.539805825245</v>
      </c>
      <c r="F90" s="102">
        <f>E90*$G$76</f>
        <v>369602.58888699039</v>
      </c>
      <c r="G90" s="49">
        <f>IF(AND($B$132&lt;&gt;0,$C$132&lt;&gt;0),$F$78/$D$132*$C$132,IF(AND($B$132=0,$C$132&lt;&gt;0),$F$78,0))</f>
        <v>25444.660194174761</v>
      </c>
      <c r="H90" s="303">
        <f>G90*$G$76</f>
        <v>836204.95223300986</v>
      </c>
    </row>
    <row r="91" spans="1:42" ht="14.65" customHeight="1">
      <c r="A91" s="112" t="s">
        <v>276</v>
      </c>
      <c r="B91" s="113"/>
      <c r="C91" s="113"/>
      <c r="D91" s="300"/>
      <c r="E91" s="170">
        <f>(E89+E90)/($B$78+$F$78)*$B$86</f>
        <v>30106.709691400829</v>
      </c>
      <c r="F91" s="302">
        <f>E91*$C$84</f>
        <v>522494.77935545583</v>
      </c>
      <c r="G91" s="170">
        <f>(G89+G90)/($B$78+$F$78)*$B$86</f>
        <v>68114.727808599157</v>
      </c>
      <c r="H91" s="304">
        <f>G91*$C$84</f>
        <v>1182114.8854195832</v>
      </c>
    </row>
    <row r="92" spans="1:42" ht="14.65" customHeight="1">
      <c r="D92" s="92"/>
      <c r="H92" s="92"/>
    </row>
    <row r="93" spans="1:42" ht="14.65" customHeight="1"/>
    <row r="94" spans="1:42" ht="14.65" customHeight="1">
      <c r="A94" s="82" t="s">
        <v>56</v>
      </c>
      <c r="B94" s="93"/>
      <c r="C94" s="93"/>
      <c r="D94" s="94"/>
      <c r="E94" s="94"/>
      <c r="F94" s="93"/>
      <c r="G94" s="93"/>
      <c r="H94" s="95"/>
    </row>
    <row r="95" spans="1:42" ht="15">
      <c r="A95" s="48"/>
      <c r="B95" s="147" t="s">
        <v>8</v>
      </c>
      <c r="C95" s="213" t="s">
        <v>207</v>
      </c>
      <c r="D95" s="213" t="s">
        <v>213</v>
      </c>
      <c r="F95" s="147" t="s">
        <v>5</v>
      </c>
      <c r="G95" s="213" t="s">
        <v>6</v>
      </c>
      <c r="H95" s="214" t="s">
        <v>214</v>
      </c>
    </row>
    <row r="96" spans="1:42" ht="15">
      <c r="A96" s="48"/>
      <c r="B96" s="49" t="s">
        <v>202</v>
      </c>
      <c r="C96" s="49">
        <f>IF(($B$109*$B$24+$F$109*$E$24+$F$109*$H$24)*1000&lt;=240000,($B$109*$B$24+$F$109*$E$24+$F$109*$H$24)*1000,240000)</f>
        <v>240000</v>
      </c>
      <c r="D96" s="347">
        <v>5.23</v>
      </c>
      <c r="F96" s="49" t="s">
        <v>159</v>
      </c>
      <c r="G96" s="49">
        <f>(B102*$B$24+F102*$E$24+F102*$H$24)*1000</f>
        <v>5056400</v>
      </c>
      <c r="H96" s="349">
        <v>0.1</v>
      </c>
    </row>
    <row r="97" spans="1:41" ht="16.5">
      <c r="A97" s="48"/>
      <c r="B97" s="49" t="s">
        <v>203</v>
      </c>
      <c r="C97" s="147">
        <f>IF(C96&gt;=240000,(((B106+B107+B108)*$B$24*1000)+((F106+F107+F108)*($E$24+$H$24)*1000))-240000,0)</f>
        <v>1079.9999999999418</v>
      </c>
      <c r="D97" s="347">
        <v>3.06</v>
      </c>
      <c r="F97" s="49" t="s">
        <v>109</v>
      </c>
      <c r="G97" s="147">
        <f>(B103*$B$24+F103*$E$24+F103*$H$24)*1000</f>
        <v>33450000</v>
      </c>
      <c r="H97" s="349">
        <v>6.5000000000000002E-2</v>
      </c>
    </row>
    <row r="98" spans="1:41">
      <c r="A98" s="48"/>
      <c r="B98" s="49"/>
      <c r="C98" s="49">
        <f>SUM(C96:C97)</f>
        <v>241079.99999999994</v>
      </c>
      <c r="D98" s="80">
        <f>(C96*D96+C97*D97)/C98</f>
        <v>5.2202787456445998</v>
      </c>
      <c r="F98" s="49"/>
      <c r="G98" s="49">
        <f>SUM(G96:G97)</f>
        <v>38506400</v>
      </c>
      <c r="H98" s="173">
        <f>(G96*H96+G97*H97)/G98</f>
        <v>6.9595963268443681E-2</v>
      </c>
    </row>
    <row r="99" spans="1:41">
      <c r="A99" s="43"/>
      <c r="C99" s="359"/>
      <c r="G99" s="359"/>
      <c r="H99" s="96"/>
    </row>
    <row r="100" spans="1:41">
      <c r="A100" s="48"/>
      <c r="B100" s="1023" t="s">
        <v>194</v>
      </c>
      <c r="C100" s="1023"/>
      <c r="D100" s="1023"/>
      <c r="F100" s="1023" t="s">
        <v>285</v>
      </c>
      <c r="G100" s="1023"/>
      <c r="H100" s="1024"/>
    </row>
    <row r="101" spans="1:41" ht="26.25">
      <c r="A101" s="48"/>
      <c r="B101" s="97" t="s">
        <v>152</v>
      </c>
      <c r="C101" s="13" t="s">
        <v>215</v>
      </c>
      <c r="D101" s="97" t="s">
        <v>153</v>
      </c>
      <c r="F101" s="97" t="s">
        <v>152</v>
      </c>
      <c r="G101" s="13" t="s">
        <v>215</v>
      </c>
      <c r="H101" s="101" t="s">
        <v>153</v>
      </c>
      <c r="AD101"/>
      <c r="AE101"/>
      <c r="AF101"/>
      <c r="AG101"/>
      <c r="AH101"/>
      <c r="AI101"/>
      <c r="AJ101" s="136"/>
    </row>
    <row r="102" spans="1:41" ht="15">
      <c r="A102" s="48" t="s">
        <v>204</v>
      </c>
      <c r="B102" s="350">
        <v>8.4000000000000005E-2</v>
      </c>
      <c r="C102" s="172">
        <f>$H$98</f>
        <v>6.9595963268443681E-2</v>
      </c>
      <c r="D102" s="174">
        <f>B102*C102</f>
        <v>5.8460609145492698E-3</v>
      </c>
      <c r="F102" s="350">
        <f>0.064</f>
        <v>6.4000000000000001E-2</v>
      </c>
      <c r="G102" s="172">
        <f>$H$98</f>
        <v>6.9595963268443681E-2</v>
      </c>
      <c r="H102" s="175">
        <f>F102*G102</f>
        <v>4.4541416491803961E-3</v>
      </c>
      <c r="AB102" s="97"/>
      <c r="AD102"/>
      <c r="AE102"/>
      <c r="AF102"/>
      <c r="AG102"/>
      <c r="AH102"/>
      <c r="AI102"/>
      <c r="AJ102" s="136"/>
    </row>
    <row r="103" spans="1:41" ht="15">
      <c r="A103" s="48" t="s">
        <v>205</v>
      </c>
      <c r="B103" s="350">
        <v>0</v>
      </c>
      <c r="C103" s="172">
        <f>$H$98</f>
        <v>6.9595963268443681E-2</v>
      </c>
      <c r="D103" s="174">
        <f>B103*C103</f>
        <v>0</v>
      </c>
      <c r="F103" s="350">
        <f>0.669</f>
        <v>0.66900000000000004</v>
      </c>
      <c r="G103" s="172">
        <f>$H$98</f>
        <v>6.9595963268443681E-2</v>
      </c>
      <c r="H103" s="175">
        <f>F103*G103</f>
        <v>4.6559699426588823E-2</v>
      </c>
      <c r="AB103" s="266"/>
      <c r="AD103"/>
      <c r="AE103"/>
      <c r="AF103"/>
      <c r="AG103"/>
      <c r="AH103"/>
      <c r="AI103"/>
      <c r="AJ103" s="136"/>
      <c r="AO103" s="158"/>
    </row>
    <row r="104" spans="1:41" ht="15">
      <c r="A104" s="176" t="s">
        <v>210</v>
      </c>
      <c r="B104" s="222">
        <f>SUM(B102:B103)</f>
        <v>8.4000000000000005E-2</v>
      </c>
      <c r="C104" s="223">
        <f>D104/B104</f>
        <v>6.9595963268443681E-2</v>
      </c>
      <c r="D104" s="224">
        <f>SUM(D102:D103)</f>
        <v>5.8460609145492698E-3</v>
      </c>
      <c r="F104" s="222">
        <f>SUM(F102:F103)</f>
        <v>0.7330000000000001</v>
      </c>
      <c r="G104" s="223">
        <f>H104/F104</f>
        <v>6.9595963268443681E-2</v>
      </c>
      <c r="H104" s="225">
        <f>SUM(H102:H103)</f>
        <v>5.1013841075769222E-2</v>
      </c>
      <c r="AB104" s="266"/>
      <c r="AD104"/>
      <c r="AE104"/>
      <c r="AF104"/>
      <c r="AG104"/>
      <c r="AH104"/>
      <c r="AI104"/>
      <c r="AJ104" s="136"/>
      <c r="AO104" s="158"/>
    </row>
    <row r="105" spans="1:41" ht="15">
      <c r="A105" s="176"/>
      <c r="B105" s="217"/>
      <c r="C105" s="221"/>
      <c r="D105" s="174"/>
      <c r="F105" s="217"/>
      <c r="G105" s="221"/>
      <c r="H105" s="175"/>
      <c r="AB105" s="266"/>
      <c r="AD105"/>
      <c r="AE105"/>
      <c r="AF105"/>
      <c r="AG105"/>
      <c r="AH105"/>
      <c r="AI105"/>
      <c r="AJ105" s="136"/>
    </row>
    <row r="106" spans="1:41" ht="15">
      <c r="A106" s="48" t="s">
        <v>208</v>
      </c>
      <c r="B106" s="350">
        <v>2.3999999999999998E-3</v>
      </c>
      <c r="C106" s="212">
        <f>$D$98</f>
        <v>5.2202787456445998</v>
      </c>
      <c r="D106" s="174">
        <f>B106*C106</f>
        <v>1.2528668989547038E-2</v>
      </c>
      <c r="F106" s="350">
        <v>2.3999999999999998E-3</v>
      </c>
      <c r="G106" s="212">
        <f>$D$98</f>
        <v>5.2202787456445998</v>
      </c>
      <c r="H106" s="175">
        <f>F106*G106</f>
        <v>1.2528668989547038E-2</v>
      </c>
      <c r="AB106" s="266"/>
      <c r="AD106"/>
      <c r="AE106"/>
      <c r="AF106"/>
      <c r="AG106"/>
      <c r="AH106"/>
      <c r="AI106"/>
      <c r="AJ106" s="136"/>
    </row>
    <row r="107" spans="1:41" ht="15">
      <c r="A107" s="48" t="s">
        <v>206</v>
      </c>
      <c r="B107" s="350">
        <v>2.3999999999999998E-3</v>
      </c>
      <c r="C107" s="212">
        <f>$D$98</f>
        <v>5.2202787456445998</v>
      </c>
      <c r="D107" s="174">
        <f>B107*C107</f>
        <v>1.2528668989547038E-2</v>
      </c>
      <c r="F107" s="350">
        <v>0</v>
      </c>
      <c r="G107" s="212">
        <f>$D$98</f>
        <v>5.2202787456445998</v>
      </c>
      <c r="H107" s="175">
        <f>F107*G107</f>
        <v>0</v>
      </c>
      <c r="AD107"/>
      <c r="AE107"/>
      <c r="AF107"/>
      <c r="AG107"/>
      <c r="AH107"/>
      <c r="AI107"/>
      <c r="AJ107" s="136"/>
    </row>
    <row r="108" spans="1:41" ht="15">
      <c r="A108" s="48" t="s">
        <v>209</v>
      </c>
      <c r="B108" s="350">
        <v>0</v>
      </c>
      <c r="C108" s="212">
        <f>$D$98</f>
        <v>5.2202787456445998</v>
      </c>
      <c r="D108" s="219">
        <f>B108*C108</f>
        <v>0</v>
      </c>
      <c r="F108" s="350">
        <v>2.9999999999999997E-4</v>
      </c>
      <c r="G108" s="212">
        <f>$D$98</f>
        <v>5.2202787456445998</v>
      </c>
      <c r="H108" s="220">
        <f>F108*G108</f>
        <v>1.5660836236933797E-3</v>
      </c>
      <c r="AD108"/>
      <c r="AE108"/>
      <c r="AF108"/>
      <c r="AG108"/>
      <c r="AH108"/>
      <c r="AI108"/>
      <c r="AJ108" s="136"/>
    </row>
    <row r="109" spans="1:41" ht="15">
      <c r="A109" s="176" t="s">
        <v>211</v>
      </c>
      <c r="B109" s="228">
        <f>SUM(B106:B108)</f>
        <v>4.7999999999999996E-3</v>
      </c>
      <c r="C109" s="229">
        <f>D109/B109</f>
        <v>5.2202787456445998</v>
      </c>
      <c r="D109" s="226">
        <f>SUM(D106:D108)</f>
        <v>2.5057337979094076E-2</v>
      </c>
      <c r="F109" s="222">
        <f>SUM(F106:F108)</f>
        <v>2.6999999999999997E-3</v>
      </c>
      <c r="G109" s="229">
        <f>H109/F109</f>
        <v>5.2202787456445998</v>
      </c>
      <c r="H109" s="227">
        <f>SUM(H106:H108)</f>
        <v>1.4094752613240417E-2</v>
      </c>
      <c r="AD109"/>
      <c r="AE109"/>
      <c r="AF109"/>
      <c r="AG109"/>
      <c r="AH109"/>
      <c r="AI109"/>
      <c r="AJ109" s="136"/>
    </row>
    <row r="110" spans="1:41" ht="15">
      <c r="A110" s="176"/>
      <c r="B110" s="124"/>
      <c r="C110" s="212"/>
      <c r="D110" s="230"/>
      <c r="F110" s="217"/>
      <c r="G110" s="212"/>
      <c r="H110" s="231"/>
      <c r="AD110"/>
      <c r="AE110"/>
      <c r="AF110"/>
      <c r="AG110"/>
      <c r="AH110"/>
      <c r="AI110"/>
      <c r="AJ110" s="136"/>
    </row>
    <row r="111" spans="1:41" ht="15.75" thickBot="1">
      <c r="A111" s="141" t="s">
        <v>212</v>
      </c>
      <c r="B111" s="218"/>
      <c r="C111" s="13"/>
      <c r="D111" s="232">
        <f>D104+D109</f>
        <v>3.0903398893643345E-2</v>
      </c>
      <c r="F111" s="218"/>
      <c r="G111" s="13"/>
      <c r="H111" s="233">
        <f>H104+H109</f>
        <v>6.5108593689009633E-2</v>
      </c>
      <c r="AD111"/>
      <c r="AE111"/>
      <c r="AF111"/>
      <c r="AG111"/>
      <c r="AH111"/>
      <c r="AI111"/>
      <c r="AJ111" s="136"/>
    </row>
    <row r="112" spans="1:41" ht="15">
      <c r="A112" s="99"/>
      <c r="B112" s="72"/>
      <c r="C112" s="72"/>
      <c r="D112" s="72"/>
      <c r="E112" s="72"/>
      <c r="F112" s="72"/>
      <c r="G112" s="72"/>
      <c r="H112" s="75"/>
      <c r="AD112"/>
      <c r="AE112"/>
      <c r="AF112"/>
      <c r="AG112"/>
      <c r="AH112"/>
      <c r="AI112"/>
      <c r="AJ112" s="136"/>
    </row>
    <row r="113" spans="1:41" ht="15">
      <c r="AD113"/>
      <c r="AE113"/>
      <c r="AF113"/>
      <c r="AG113"/>
      <c r="AH113"/>
      <c r="AI113"/>
      <c r="AJ113" s="136"/>
    </row>
    <row r="114" spans="1:41" ht="15">
      <c r="G114" s="100"/>
      <c r="AD114"/>
      <c r="AE114"/>
      <c r="AF114"/>
      <c r="AG114"/>
      <c r="AH114"/>
      <c r="AI114"/>
      <c r="AJ114" s="136"/>
    </row>
    <row r="115" spans="1:41" ht="15">
      <c r="A115" s="82" t="s">
        <v>218</v>
      </c>
      <c r="B115" s="93"/>
      <c r="C115" s="93"/>
      <c r="D115" s="93"/>
      <c r="E115" s="93"/>
      <c r="F115" s="93"/>
      <c r="G115" s="93"/>
      <c r="H115" s="148"/>
      <c r="AD115"/>
      <c r="AE115"/>
      <c r="AF115"/>
      <c r="AG115"/>
      <c r="AH115"/>
      <c r="AI115"/>
      <c r="AJ115" s="136"/>
    </row>
    <row r="116" spans="1:41" ht="16.5">
      <c r="A116" s="48"/>
      <c r="B116" s="147" t="s">
        <v>107</v>
      </c>
      <c r="C116" s="147" t="s">
        <v>220</v>
      </c>
      <c r="D116" s="147" t="s">
        <v>219</v>
      </c>
      <c r="E116" s="26"/>
      <c r="F116" s="26"/>
      <c r="G116" s="26"/>
      <c r="H116" s="77"/>
      <c r="AD116"/>
      <c r="AE116"/>
      <c r="AF116"/>
      <c r="AG116"/>
      <c r="AH116"/>
      <c r="AI116"/>
      <c r="AJ116" s="136"/>
    </row>
    <row r="117" spans="1:41" ht="30">
      <c r="A117" s="48" t="s">
        <v>57</v>
      </c>
      <c r="B117" s="87">
        <f>SUM(C117:D117)</f>
        <v>104400000</v>
      </c>
      <c r="C117" s="87">
        <f>37300000+20000000</f>
        <v>57300000</v>
      </c>
      <c r="D117" s="87">
        <f>47100000</f>
        <v>47100000</v>
      </c>
      <c r="E117" s="1009" t="s">
        <v>277</v>
      </c>
      <c r="F117" s="1009"/>
      <c r="G117" s="199" t="s">
        <v>3</v>
      </c>
      <c r="H117" s="308" t="s">
        <v>69</v>
      </c>
      <c r="AD117"/>
      <c r="AE117"/>
      <c r="AF117"/>
      <c r="AG117"/>
      <c r="AH117"/>
      <c r="AI117"/>
      <c r="AJ117" s="136"/>
    </row>
    <row r="118" spans="1:41" ht="16.5">
      <c r="A118" s="48" t="s">
        <v>58</v>
      </c>
      <c r="B118" s="343">
        <v>3.4482760000000001E-2</v>
      </c>
      <c r="E118" s="306" t="s">
        <v>186</v>
      </c>
      <c r="F118" s="306" t="s">
        <v>259</v>
      </c>
      <c r="H118" s="45"/>
      <c r="AD118"/>
      <c r="AE118"/>
      <c r="AF118" s="260" t="s">
        <v>398</v>
      </c>
      <c r="AI118"/>
      <c r="AJ118" s="234"/>
    </row>
    <row r="119" spans="1:41" ht="16.5">
      <c r="A119" s="48" t="s">
        <v>59</v>
      </c>
      <c r="B119" s="26"/>
      <c r="C119" s="26"/>
      <c r="D119" s="26"/>
      <c r="E119" s="102">
        <f>($C$117/$B$25*$B$24)*$B$118</f>
        <v>605638.74439389736</v>
      </c>
      <c r="F119" s="102">
        <f>($C$117/$B$25*($E$24+$H$24)+D117)*$B$118</f>
        <v>2994361.3996061026</v>
      </c>
      <c r="G119" s="358">
        <f>SUM(E119:F119)</f>
        <v>3600000.1439999999</v>
      </c>
      <c r="H119" s="103">
        <f>G119/(B$25*1000)</f>
        <v>4.9930653869625516E-2</v>
      </c>
      <c r="W119" s="240"/>
      <c r="X119" s="240"/>
      <c r="Y119" s="261">
        <f t="shared" ref="Y119:Y127" si="60">ROUND($Y$11*$AE119,0)</f>
        <v>34478</v>
      </c>
      <c r="AB119" s="265"/>
      <c r="AC119" s="20" t="s">
        <v>235</v>
      </c>
      <c r="AD119" s="128">
        <v>631040</v>
      </c>
      <c r="AE119" s="138">
        <f t="shared" ref="AE119:AE127" si="61">AF119/$AF$128</f>
        <v>2.8732014048368993E-2</v>
      </c>
      <c r="AF119" s="143">
        <v>30387.07</v>
      </c>
      <c r="AG119" s="136"/>
      <c r="AH119" s="136"/>
      <c r="AN119" s="236"/>
      <c r="AO119" s="236"/>
    </row>
    <row r="120" spans="1:41" ht="15">
      <c r="A120" s="48"/>
      <c r="B120" s="26"/>
      <c r="C120" s="26"/>
      <c r="D120" s="26"/>
      <c r="E120" s="307">
        <f>E119/B24/1000</f>
        <v>2.7404468072122053E-2</v>
      </c>
      <c r="F120" s="307">
        <f>F119/($E$24+$H$24)/1000</f>
        <v>5.9887227992122052E-2</v>
      </c>
      <c r="G120" s="11"/>
      <c r="H120" s="77"/>
      <c r="W120" s="240"/>
      <c r="X120" s="240"/>
      <c r="Y120" s="261">
        <f t="shared" si="60"/>
        <v>36941</v>
      </c>
      <c r="AB120" s="265"/>
      <c r="AC120" s="20" t="s">
        <v>236</v>
      </c>
      <c r="AD120" s="128">
        <v>631060</v>
      </c>
      <c r="AE120" s="138">
        <f t="shared" si="61"/>
        <v>3.0784541877331692E-2</v>
      </c>
      <c r="AF120" s="143">
        <v>32557.83</v>
      </c>
      <c r="AG120" s="136"/>
      <c r="AH120" s="136"/>
      <c r="AN120" s="235"/>
      <c r="AO120" s="235"/>
    </row>
    <row r="121" spans="1:41" ht="15">
      <c r="A121" s="48" t="s">
        <v>172</v>
      </c>
      <c r="B121" s="26"/>
      <c r="C121" s="26"/>
      <c r="D121" s="26"/>
      <c r="E121" s="26"/>
      <c r="F121" s="104"/>
      <c r="G121" s="26"/>
      <c r="H121" s="77"/>
      <c r="W121" s="240"/>
      <c r="X121" s="240"/>
      <c r="Y121" s="261">
        <f t="shared" si="60"/>
        <v>0</v>
      </c>
      <c r="AB121" s="265"/>
      <c r="AC121" s="20" t="s">
        <v>237</v>
      </c>
      <c r="AD121" s="128">
        <v>631900</v>
      </c>
      <c r="AE121" s="138">
        <f t="shared" si="61"/>
        <v>0</v>
      </c>
      <c r="AF121" s="143">
        <v>0</v>
      </c>
      <c r="AG121" s="136"/>
      <c r="AH121" s="136"/>
      <c r="AN121" s="235"/>
      <c r="AO121" s="235"/>
    </row>
    <row r="122" spans="1:41" ht="15">
      <c r="A122" s="48" t="s">
        <v>60</v>
      </c>
      <c r="B122" s="26"/>
      <c r="C122" s="26"/>
      <c r="D122" s="26"/>
      <c r="E122" s="26"/>
      <c r="F122" s="26"/>
      <c r="G122" s="26"/>
      <c r="H122" s="77"/>
      <c r="W122" s="240"/>
      <c r="X122" s="240"/>
      <c r="Y122" s="261">
        <f t="shared" si="60"/>
        <v>109923</v>
      </c>
      <c r="AB122" s="265"/>
      <c r="AC122" s="20" t="s">
        <v>238</v>
      </c>
      <c r="AD122" s="128">
        <v>630020</v>
      </c>
      <c r="AE122" s="138">
        <f t="shared" si="61"/>
        <v>9.1602521626258315E-2</v>
      </c>
      <c r="AF122" s="143">
        <v>96879.12</v>
      </c>
      <c r="AG122" s="136"/>
      <c r="AH122" s="136"/>
      <c r="AN122" s="235"/>
      <c r="AO122" s="235"/>
    </row>
    <row r="123" spans="1:41" ht="16.5">
      <c r="A123" s="48" t="s">
        <v>61</v>
      </c>
      <c r="B123" s="26"/>
      <c r="C123" s="26"/>
      <c r="D123" s="26"/>
      <c r="E123" s="26"/>
      <c r="F123" s="26"/>
      <c r="G123" s="348">
        <f>40000*12</f>
        <v>480000</v>
      </c>
      <c r="H123" s="103">
        <f>G123/(B$25*1000)</f>
        <v>6.6574202496532597E-3</v>
      </c>
      <c r="W123" s="240"/>
      <c r="X123" s="240"/>
      <c r="Y123" s="261">
        <f t="shared" si="60"/>
        <v>0</v>
      </c>
      <c r="AB123" s="265"/>
      <c r="AC123" s="20" t="s">
        <v>239</v>
      </c>
      <c r="AD123" s="128">
        <v>630030</v>
      </c>
      <c r="AE123" s="138">
        <f t="shared" si="61"/>
        <v>0</v>
      </c>
      <c r="AF123" s="143">
        <v>0</v>
      </c>
      <c r="AG123" s="136"/>
      <c r="AH123" s="136"/>
      <c r="AN123" s="235"/>
      <c r="AO123" s="235"/>
    </row>
    <row r="124" spans="1:41" ht="15">
      <c r="A124" s="48"/>
      <c r="B124" s="26"/>
      <c r="C124" s="26"/>
      <c r="D124" s="26"/>
      <c r="E124" s="26"/>
      <c r="F124" s="26"/>
      <c r="G124" s="26"/>
      <c r="H124" s="77"/>
      <c r="W124" s="240"/>
      <c r="X124" s="240"/>
      <c r="Y124" s="261">
        <f t="shared" si="60"/>
        <v>150148</v>
      </c>
      <c r="AB124" s="265"/>
      <c r="AC124" s="20" t="s">
        <v>240</v>
      </c>
      <c r="AD124" s="128">
        <v>630070</v>
      </c>
      <c r="AE124" s="138">
        <f t="shared" si="61"/>
        <v>0.12512342057966541</v>
      </c>
      <c r="AF124" s="143">
        <v>132330.93</v>
      </c>
      <c r="AG124" s="136"/>
      <c r="AH124" s="136"/>
      <c r="AN124" s="235"/>
      <c r="AO124" s="235"/>
    </row>
    <row r="125" spans="1:41" ht="15">
      <c r="A125" s="48" t="s">
        <v>62</v>
      </c>
      <c r="B125" s="26"/>
      <c r="C125" s="26"/>
      <c r="D125" s="26"/>
      <c r="E125" s="26"/>
      <c r="F125" s="26"/>
      <c r="G125" s="26"/>
      <c r="H125" s="77"/>
      <c r="W125" s="240"/>
      <c r="X125" s="240"/>
      <c r="Y125" s="261">
        <f t="shared" si="60"/>
        <v>734509</v>
      </c>
      <c r="AB125" s="265"/>
      <c r="AC125" s="20" t="s">
        <v>241</v>
      </c>
      <c r="AD125" s="128">
        <v>630080</v>
      </c>
      <c r="AE125" s="138">
        <f t="shared" si="61"/>
        <v>0.61209054586824252</v>
      </c>
      <c r="AF125" s="143">
        <v>647348.92000000004</v>
      </c>
      <c r="AG125" s="136"/>
      <c r="AH125" s="136"/>
      <c r="AN125" s="235"/>
      <c r="AO125" s="235"/>
    </row>
    <row r="126" spans="1:41" ht="16.5">
      <c r="A126" s="48" t="s">
        <v>63</v>
      </c>
      <c r="B126" s="26"/>
      <c r="C126" s="26"/>
      <c r="D126" s="26"/>
      <c r="E126" s="26"/>
      <c r="F126" s="26"/>
      <c r="G126" s="348">
        <f>100000*12</f>
        <v>1200000</v>
      </c>
      <c r="H126" s="103">
        <f>G126/(B$25*1000)</f>
        <v>1.6643550624133148E-2</v>
      </c>
      <c r="W126" s="240"/>
      <c r="X126" s="240"/>
      <c r="Y126" s="261">
        <f t="shared" si="60"/>
        <v>134000</v>
      </c>
      <c r="AB126" s="265"/>
      <c r="AC126" s="20" t="s">
        <v>242</v>
      </c>
      <c r="AD126" s="128">
        <v>633000</v>
      </c>
      <c r="AE126" s="138">
        <f t="shared" si="61"/>
        <v>0.11166695600013314</v>
      </c>
      <c r="AF126" s="143">
        <v>118099.33</v>
      </c>
      <c r="AG126" s="136"/>
      <c r="AH126" s="136"/>
      <c r="AN126" s="235"/>
      <c r="AO126" s="235"/>
    </row>
    <row r="127" spans="1:41" ht="17.25">
      <c r="A127" s="99"/>
      <c r="B127" s="72"/>
      <c r="C127" s="105"/>
      <c r="D127" s="72"/>
      <c r="E127" s="72"/>
      <c r="F127" s="72"/>
      <c r="G127" s="72"/>
      <c r="H127" s="75"/>
      <c r="W127" s="240"/>
      <c r="X127" s="240"/>
      <c r="Y127" s="262">
        <f t="shared" si="60"/>
        <v>0</v>
      </c>
      <c r="AB127" s="265"/>
      <c r="AC127" s="20" t="s">
        <v>243</v>
      </c>
      <c r="AD127" s="128">
        <v>660000</v>
      </c>
      <c r="AE127" s="258">
        <f t="shared" si="61"/>
        <v>0</v>
      </c>
      <c r="AF127" s="161">
        <v>0</v>
      </c>
      <c r="AG127" s="136"/>
      <c r="AH127" s="136"/>
      <c r="AN127" s="235"/>
      <c r="AO127" s="235"/>
    </row>
    <row r="128" spans="1:41" ht="15">
      <c r="W128" s="160"/>
      <c r="X128" s="160"/>
      <c r="Y128" s="264">
        <f>SUM(Y119:Y127)</f>
        <v>1199999</v>
      </c>
      <c r="AB128" s="256" t="s">
        <v>12</v>
      </c>
      <c r="AC128" s="130" t="s">
        <v>17</v>
      </c>
      <c r="AD128" s="257" t="s">
        <v>107</v>
      </c>
      <c r="AE128" s="138">
        <f>SUM(AE119:AE127)</f>
        <v>1</v>
      </c>
      <c r="AF128" s="259">
        <f>SUM(AF119:AF127)</f>
        <v>1057603.2</v>
      </c>
      <c r="AJ128" s="137"/>
    </row>
    <row r="130" spans="1:41">
      <c r="A130" s="82" t="s">
        <v>64</v>
      </c>
      <c r="B130" s="1012" t="s">
        <v>65</v>
      </c>
      <c r="C130" s="1012"/>
      <c r="D130" s="1012"/>
      <c r="E130" s="1012"/>
      <c r="F130" s="1012"/>
      <c r="G130" s="1012"/>
      <c r="H130" s="1013"/>
    </row>
    <row r="131" spans="1:41" ht="14.65" customHeight="1">
      <c r="A131" s="48"/>
      <c r="B131" s="199" t="s">
        <v>159</v>
      </c>
      <c r="C131" s="199" t="s">
        <v>109</v>
      </c>
      <c r="D131" s="199" t="s">
        <v>107</v>
      </c>
      <c r="E131" s="26"/>
      <c r="F131" s="26"/>
      <c r="G131" s="26"/>
      <c r="H131" s="77"/>
      <c r="AF131" s="1007" t="s">
        <v>398</v>
      </c>
      <c r="AG131" s="1007"/>
    </row>
    <row r="132" spans="1:41" ht="14.65" customHeight="1">
      <c r="A132" s="48" t="s">
        <v>262</v>
      </c>
      <c r="B132" s="207">
        <f>B30+B31</f>
        <v>22100</v>
      </c>
      <c r="C132" s="207">
        <f>B32+B33</f>
        <v>50000</v>
      </c>
      <c r="D132" s="207">
        <f>SUM(B132:C132)</f>
        <v>72100</v>
      </c>
      <c r="E132" s="26"/>
      <c r="F132" s="1008" t="s">
        <v>66</v>
      </c>
      <c r="G132" s="1008"/>
      <c r="H132" s="106">
        <f>D132/D133</f>
        <v>0.27730769230769231</v>
      </c>
      <c r="W132" s="240"/>
      <c r="X132" s="240"/>
      <c r="Y132" s="261">
        <f>$Y$18*$AE132</f>
        <v>200000</v>
      </c>
      <c r="AB132" s="265"/>
      <c r="AC132" s="20" t="s">
        <v>244</v>
      </c>
      <c r="AD132" s="128" t="s">
        <v>100</v>
      </c>
      <c r="AE132" s="138">
        <v>0.5</v>
      </c>
      <c r="AF132" s="143">
        <v>120244.49</v>
      </c>
      <c r="AG132" s="144">
        <f>AF132/$AF$134</f>
        <v>0.50750815162970342</v>
      </c>
      <c r="AH132" s="136"/>
      <c r="AI132"/>
    </row>
    <row r="133" spans="1:41" ht="14.65" customHeight="1">
      <c r="A133" s="48" t="s">
        <v>263</v>
      </c>
      <c r="B133" s="207"/>
      <c r="C133" s="207"/>
      <c r="D133" s="207">
        <v>260000</v>
      </c>
      <c r="E133" s="26"/>
      <c r="F133" s="26"/>
      <c r="G133" s="26"/>
      <c r="H133" s="107"/>
      <c r="W133" s="240"/>
      <c r="X133" s="240"/>
      <c r="Y133" s="262">
        <f>$Y$18*$AE133</f>
        <v>200000</v>
      </c>
      <c r="AB133" s="265"/>
      <c r="AC133" s="20" t="s">
        <v>245</v>
      </c>
      <c r="AD133" s="128">
        <v>630040</v>
      </c>
      <c r="AE133" s="138">
        <v>0.5</v>
      </c>
      <c r="AF133" s="161">
        <v>116686.66</v>
      </c>
      <c r="AG133" s="378">
        <f>AF133/$AF$134</f>
        <v>0.49249184837029658</v>
      </c>
      <c r="AH133" s="136"/>
      <c r="AI133"/>
    </row>
    <row r="134" spans="1:41" ht="14.65" customHeight="1">
      <c r="A134" s="43"/>
      <c r="D134" s="108"/>
      <c r="F134" s="1009" t="s">
        <v>290</v>
      </c>
      <c r="G134" s="1009"/>
      <c r="H134" s="1010"/>
      <c r="W134" s="160"/>
      <c r="X134" s="160"/>
      <c r="Y134" s="264">
        <f>SUM(Y132:Y133)</f>
        <v>400000</v>
      </c>
      <c r="AB134" s="256" t="s">
        <v>12</v>
      </c>
      <c r="AC134" s="130" t="s">
        <v>28</v>
      </c>
      <c r="AD134" s="257" t="s">
        <v>107</v>
      </c>
      <c r="AE134" s="138">
        <f>SUM(AE132:AE133)</f>
        <v>1</v>
      </c>
      <c r="AF134" s="259">
        <f>SUM(AF132:AF133)</f>
        <v>236931.15000000002</v>
      </c>
      <c r="AG134" s="144">
        <f>SUM(AG132:AG133)</f>
        <v>1</v>
      </c>
    </row>
    <row r="135" spans="1:41" ht="28.15" customHeight="1">
      <c r="A135" s="48"/>
      <c r="B135" s="97" t="s">
        <v>67</v>
      </c>
      <c r="C135" s="97" t="s">
        <v>68</v>
      </c>
      <c r="D135" s="97" t="s">
        <v>257</v>
      </c>
      <c r="E135" s="97" t="s">
        <v>258</v>
      </c>
      <c r="F135" s="49"/>
      <c r="G135" s="286" t="s">
        <v>260</v>
      </c>
      <c r="H135" s="287" t="s">
        <v>261</v>
      </c>
    </row>
    <row r="136" spans="1:41" ht="15">
      <c r="A136" s="48" t="s">
        <v>25</v>
      </c>
      <c r="B136" s="104">
        <f>C136/12</f>
        <v>31583.333333333332</v>
      </c>
      <c r="C136" s="351">
        <f>ROUNDUP(92892*4*(1+$F$150),0)</f>
        <v>379000</v>
      </c>
      <c r="D136" s="64">
        <f>$C136/$D$132/1000</f>
        <v>5.2565880721220527E-3</v>
      </c>
      <c r="E136" s="64">
        <f>$C136/$D$132/1000</f>
        <v>5.2565880721220527E-3</v>
      </c>
      <c r="F136" s="156" t="s">
        <v>270</v>
      </c>
      <c r="G136" s="348">
        <v>1220000</v>
      </c>
      <c r="H136" s="238">
        <f>G136/$D$132/1000</f>
        <v>1.6920943134535366E-2</v>
      </c>
      <c r="I136" s="253"/>
      <c r="AC136" s="139"/>
      <c r="AD136"/>
      <c r="AE136"/>
      <c r="AF136" s="260" t="s">
        <v>398</v>
      </c>
      <c r="AG136"/>
      <c r="AH136"/>
      <c r="AI136"/>
    </row>
    <row r="137" spans="1:41" ht="14.65" customHeight="1">
      <c r="A137" s="48" t="s">
        <v>27</v>
      </c>
      <c r="B137" s="26">
        <f>C137/12</f>
        <v>33333.333333333336</v>
      </c>
      <c r="C137" s="346">
        <v>400000</v>
      </c>
      <c r="D137" s="109">
        <f>$C137/$D$132/1000</f>
        <v>5.5478502080443829E-3</v>
      </c>
      <c r="E137" s="109">
        <f>$C137/$D$132/1000</f>
        <v>5.5478502080443829E-3</v>
      </c>
      <c r="F137" s="156" t="s">
        <v>271</v>
      </c>
      <c r="G137" s="348">
        <f>30000</f>
        <v>30000</v>
      </c>
      <c r="H137" s="238">
        <f>IF($B$132&lt;&gt;0,G137/$B$132/1000,G137/D132/1000)</f>
        <v>1.3574660633484165E-3</v>
      </c>
      <c r="I137" s="253"/>
      <c r="W137" s="240"/>
      <c r="X137" s="240"/>
      <c r="Y137" s="261">
        <f t="shared" ref="Y137:Y144" si="62">ROUND($Y$19*$AE137,0)</f>
        <v>140708</v>
      </c>
      <c r="AB137" s="265"/>
      <c r="AC137" s="20" t="s">
        <v>399</v>
      </c>
      <c r="AD137" s="128" t="s">
        <v>400</v>
      </c>
      <c r="AE137" s="138">
        <f t="shared" ref="AE137:AE144" si="63">AF137/$AF$145</f>
        <v>3.1020278092671626E-2</v>
      </c>
      <c r="AF137" s="143">
        <v>140030.43</v>
      </c>
      <c r="AG137" s="136"/>
      <c r="AH137" s="136"/>
      <c r="AI137"/>
    </row>
    <row r="138" spans="1:41" ht="14.65" customHeight="1">
      <c r="A138" s="48" t="s">
        <v>29</v>
      </c>
      <c r="B138" s="26">
        <f>C138/12</f>
        <v>378000</v>
      </c>
      <c r="C138" s="78">
        <f>G139</f>
        <v>4536000</v>
      </c>
      <c r="D138" s="110">
        <f>H142</f>
        <v>1.8278409197883781E-2</v>
      </c>
      <c r="E138" s="110">
        <f>H143</f>
        <v>8.2640943134535363E-2</v>
      </c>
      <c r="F138" s="156" t="s">
        <v>272</v>
      </c>
      <c r="G138" s="352">
        <f>3550000-264000</f>
        <v>3286000</v>
      </c>
      <c r="H138" s="238">
        <f>IF(C132&lt;&gt;0,G138/$C$132/1000,G138/D132/1000)</f>
        <v>6.5720000000000001E-2</v>
      </c>
      <c r="I138" s="253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W138" s="240"/>
      <c r="X138" s="240"/>
      <c r="Y138" s="261">
        <f t="shared" si="62"/>
        <v>6990</v>
      </c>
      <c r="AB138" s="265"/>
      <c r="AC138" s="20" t="s">
        <v>246</v>
      </c>
      <c r="AD138" s="128" t="s">
        <v>101</v>
      </c>
      <c r="AE138" s="138">
        <f t="shared" si="63"/>
        <v>1.5409319575424053E-3</v>
      </c>
      <c r="AF138" s="143">
        <v>6956.01</v>
      </c>
      <c r="AG138" s="136"/>
      <c r="AH138" s="136"/>
      <c r="AI138"/>
      <c r="AN138" s="235"/>
      <c r="AO138" s="235"/>
    </row>
    <row r="139" spans="1:41" ht="14.65" customHeight="1">
      <c r="A139" s="48" t="s">
        <v>70</v>
      </c>
      <c r="D139" s="64">
        <f>SUM(D136:D138)</f>
        <v>2.9082847478050216E-2</v>
      </c>
      <c r="E139" s="64">
        <f>SUM(E136:E138)</f>
        <v>9.3445381414701795E-2</v>
      </c>
      <c r="F139" s="301" t="s">
        <v>268</v>
      </c>
      <c r="G139" s="285">
        <f>SUM(G136:G138)</f>
        <v>4536000</v>
      </c>
      <c r="H139" s="238">
        <f>G139/D132/1000</f>
        <v>6.2912621359223306E-2</v>
      </c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W139" s="240"/>
      <c r="X139" s="240"/>
      <c r="Y139" s="261">
        <f t="shared" si="62"/>
        <v>358567</v>
      </c>
      <c r="AB139" s="265"/>
      <c r="AC139" s="20" t="s">
        <v>247</v>
      </c>
      <c r="AD139" s="128">
        <v>640010</v>
      </c>
      <c r="AE139" s="138">
        <f t="shared" si="63"/>
        <v>7.9049062217207061E-2</v>
      </c>
      <c r="AF139" s="143">
        <v>356839.94</v>
      </c>
      <c r="AG139" s="136"/>
      <c r="AH139" s="136"/>
      <c r="AI139"/>
      <c r="AN139" s="235"/>
      <c r="AO139" s="235"/>
    </row>
    <row r="140" spans="1:41" ht="14.65" customHeight="1">
      <c r="A140" s="48"/>
      <c r="B140" s="26"/>
      <c r="C140" s="26"/>
      <c r="D140" s="64"/>
      <c r="E140" s="64"/>
      <c r="F140" s="26"/>
      <c r="G140" s="204"/>
      <c r="H140" s="238"/>
      <c r="W140" s="240"/>
      <c r="X140" s="240"/>
      <c r="Y140" s="261">
        <f t="shared" si="62"/>
        <v>3761262</v>
      </c>
      <c r="AB140" s="265"/>
      <c r="AC140" s="20" t="s">
        <v>248</v>
      </c>
      <c r="AD140" s="128">
        <v>640020</v>
      </c>
      <c r="AE140" s="138">
        <f t="shared" si="63"/>
        <v>0.82920233056363746</v>
      </c>
      <c r="AF140" s="143">
        <v>3743150.16</v>
      </c>
      <c r="AG140" s="136"/>
      <c r="AH140" s="136"/>
      <c r="AI140"/>
    </row>
    <row r="141" spans="1:41" ht="14.65" customHeight="1">
      <c r="A141" s="48"/>
      <c r="B141" s="26"/>
      <c r="C141" s="26"/>
      <c r="D141" s="288" t="s">
        <v>266</v>
      </c>
      <c r="E141" s="288" t="s">
        <v>267</v>
      </c>
      <c r="F141" s="26"/>
      <c r="G141" s="204"/>
      <c r="H141" s="238"/>
      <c r="W141" s="240"/>
      <c r="X141" s="240"/>
      <c r="Y141" s="261">
        <f t="shared" si="62"/>
        <v>249462</v>
      </c>
      <c r="AB141" s="265"/>
      <c r="AC141" s="20" t="s">
        <v>401</v>
      </c>
      <c r="AD141" s="128" t="s">
        <v>402</v>
      </c>
      <c r="AE141" s="138">
        <f t="shared" si="63"/>
        <v>5.4995959722533301E-2</v>
      </c>
      <c r="AF141" s="143">
        <v>248260.44</v>
      </c>
      <c r="AG141" s="136"/>
      <c r="AH141" s="136"/>
      <c r="AI141"/>
      <c r="AN141" s="235"/>
      <c r="AO141" s="235"/>
    </row>
    <row r="142" spans="1:41" ht="14.65" customHeight="1">
      <c r="A142" s="48"/>
      <c r="B142" s="26"/>
      <c r="C142" s="26"/>
      <c r="D142" s="290">
        <f>G142/$G$144</f>
        <v>8.9054859628137487E-2</v>
      </c>
      <c r="E142" s="207">
        <f>ROUND(G142/$H$139,0)</f>
        <v>6420855</v>
      </c>
      <c r="F142" s="156" t="s">
        <v>186</v>
      </c>
      <c r="G142" s="204">
        <f>$H142*$B$132*1000</f>
        <v>403952.84327323159</v>
      </c>
      <c r="H142" s="238">
        <f>IF(AND($B$132&lt;&gt;0,$C$132&lt;&gt;0),H136+H137,$H$139)</f>
        <v>1.8278409197883781E-2</v>
      </c>
      <c r="W142" s="240"/>
      <c r="X142" s="240"/>
      <c r="Y142" s="261">
        <f t="shared" si="62"/>
        <v>6864</v>
      </c>
      <c r="AB142" s="265"/>
      <c r="AC142" s="20" t="s">
        <v>249</v>
      </c>
      <c r="AD142" s="128">
        <v>640040</v>
      </c>
      <c r="AE142" s="138">
        <f t="shared" si="63"/>
        <v>1.5133299095422179E-3</v>
      </c>
      <c r="AF142" s="143">
        <v>6831.41</v>
      </c>
      <c r="AG142" s="136"/>
      <c r="AH142" s="136"/>
      <c r="AI142"/>
      <c r="AN142" s="235"/>
      <c r="AO142" s="235"/>
    </row>
    <row r="143" spans="1:41" ht="14.65" customHeight="1">
      <c r="A143" s="48"/>
      <c r="B143" s="26"/>
      <c r="C143" s="26"/>
      <c r="D143" s="290">
        <f>G143/$G$144</f>
        <v>0.91094514037186258</v>
      </c>
      <c r="E143" s="168">
        <f>ROUND(G143/$H$139,0)</f>
        <v>65679145</v>
      </c>
      <c r="F143" s="156" t="s">
        <v>286</v>
      </c>
      <c r="G143" s="239">
        <f>$H143*$C$132*1000</f>
        <v>4132047.1567267678</v>
      </c>
      <c r="H143" s="238">
        <f>IF(AND($B$132&lt;&gt;0,$C$132&lt;&gt;0),H136+H138,$H$139)</f>
        <v>8.2640943134535363E-2</v>
      </c>
      <c r="W143" s="160"/>
      <c r="X143" s="160"/>
      <c r="Y143" s="261">
        <f t="shared" si="62"/>
        <v>1050</v>
      </c>
      <c r="AB143" s="265"/>
      <c r="AC143" s="20" t="s">
        <v>250</v>
      </c>
      <c r="AD143" s="128">
        <v>640070</v>
      </c>
      <c r="AE143" s="138">
        <f t="shared" si="63"/>
        <v>2.3147396449338557E-4</v>
      </c>
      <c r="AF143" s="143">
        <v>1044.9100000000001</v>
      </c>
      <c r="AG143"/>
      <c r="AH143"/>
      <c r="AI143"/>
      <c r="AN143" s="235"/>
      <c r="AO143" s="235"/>
    </row>
    <row r="144" spans="1:41" ht="14.65" customHeight="1">
      <c r="A144" s="48"/>
      <c r="B144" s="26"/>
      <c r="C144" s="26"/>
      <c r="D144" s="290">
        <f>G144/$G$144</f>
        <v>1</v>
      </c>
      <c r="E144" s="289">
        <f>SUM(E142:E143)</f>
        <v>72100000</v>
      </c>
      <c r="F144" s="156" t="s">
        <v>107</v>
      </c>
      <c r="G144" s="285">
        <f>SUM(G142:G143)</f>
        <v>4535999.9999999991</v>
      </c>
      <c r="H144" s="238"/>
      <c r="Y144" s="262">
        <f t="shared" si="62"/>
        <v>11098</v>
      </c>
      <c r="AB144" s="265"/>
      <c r="AC144" s="20" t="s">
        <v>251</v>
      </c>
      <c r="AD144" s="128">
        <v>640080</v>
      </c>
      <c r="AE144" s="138">
        <f t="shared" si="63"/>
        <v>2.4466335723723111E-3</v>
      </c>
      <c r="AF144" s="161">
        <v>11044.49</v>
      </c>
      <c r="AN144" s="235"/>
      <c r="AO144" s="235"/>
    </row>
    <row r="145" spans="1:41" ht="14.65" customHeight="1">
      <c r="A145" s="112"/>
      <c r="B145" s="113"/>
      <c r="C145" s="113"/>
      <c r="D145" s="113"/>
      <c r="E145" s="113"/>
      <c r="F145" s="113"/>
      <c r="G145" s="113"/>
      <c r="H145" s="284"/>
      <c r="Y145" s="264">
        <f>SUM(Y137:Y144)</f>
        <v>4536001</v>
      </c>
      <c r="AB145" s="256" t="s">
        <v>12</v>
      </c>
      <c r="AC145" s="130" t="s">
        <v>30</v>
      </c>
      <c r="AD145" s="257" t="s">
        <v>107</v>
      </c>
      <c r="AE145" s="138">
        <f>SUM(AE137:AE144)</f>
        <v>0.99999999999999989</v>
      </c>
      <c r="AF145" s="259">
        <f>SUM(AF137:AF144)</f>
        <v>4514157.790000001</v>
      </c>
      <c r="AN145" s="235"/>
      <c r="AO145" s="235"/>
    </row>
    <row r="146" spans="1:41">
      <c r="AN146" s="235"/>
      <c r="AO146" s="235"/>
    </row>
    <row r="147" spans="1:41">
      <c r="A147" s="72"/>
      <c r="B147" s="72"/>
      <c r="C147" s="72"/>
      <c r="D147" s="72"/>
      <c r="E147" s="72"/>
      <c r="F147" s="72"/>
      <c r="G147" s="72"/>
      <c r="H147" s="72"/>
    </row>
    <row r="148" spans="1:41">
      <c r="A148" s="82" t="s">
        <v>71</v>
      </c>
      <c r="B148" s="93"/>
      <c r="C148" s="93"/>
      <c r="D148" s="93"/>
      <c r="E148" s="93"/>
      <c r="F148" s="93"/>
      <c r="G148" s="93"/>
      <c r="H148" s="148"/>
    </row>
    <row r="149" spans="1:41" ht="15">
      <c r="A149" s="82"/>
      <c r="B149" s="1011" t="s">
        <v>189</v>
      </c>
      <c r="C149" s="1011"/>
      <c r="D149" s="1011"/>
      <c r="E149" s="202"/>
      <c r="F149" s="93"/>
      <c r="G149" s="93"/>
      <c r="H149" s="148"/>
    </row>
    <row r="150" spans="1:41" ht="15">
      <c r="A150" s="48"/>
      <c r="B150" s="1004" t="s">
        <v>72</v>
      </c>
      <c r="C150" s="1004"/>
      <c r="D150" s="342">
        <v>52</v>
      </c>
      <c r="E150" s="49" t="s">
        <v>354</v>
      </c>
      <c r="F150" s="456">
        <f>'17 Std'!T5</f>
        <v>0.02</v>
      </c>
      <c r="G150" s="26"/>
      <c r="H150" s="77"/>
    </row>
    <row r="151" spans="1:41" ht="15">
      <c r="A151" s="48"/>
      <c r="B151" s="1004" t="s">
        <v>479</v>
      </c>
      <c r="C151" s="1004"/>
      <c r="D151" s="353">
        <v>42</v>
      </c>
      <c r="E151" s="200"/>
      <c r="F151" s="26"/>
      <c r="G151" s="26"/>
      <c r="H151" s="77"/>
    </row>
    <row r="152" spans="1:41" ht="15">
      <c r="A152" s="48"/>
      <c r="B152" s="1004" t="s">
        <v>74</v>
      </c>
      <c r="C152" s="1004"/>
      <c r="D152" s="353">
        <v>1.5</v>
      </c>
      <c r="E152" s="201"/>
      <c r="F152" s="26"/>
      <c r="G152" s="26"/>
      <c r="H152" s="111"/>
    </row>
    <row r="153" spans="1:41" ht="15">
      <c r="A153" s="112"/>
      <c r="B153" s="1005" t="s">
        <v>160</v>
      </c>
      <c r="C153" s="1005"/>
      <c r="D153" s="354">
        <v>0.4</v>
      </c>
      <c r="E153" s="180"/>
      <c r="F153" s="113"/>
      <c r="G153" s="113"/>
      <c r="H153" s="181"/>
    </row>
    <row r="154" spans="1:41">
      <c r="A154" s="82"/>
      <c r="B154" s="93"/>
      <c r="C154" s="93"/>
      <c r="D154" s="182"/>
      <c r="E154" s="93"/>
      <c r="F154" s="93"/>
      <c r="G154" s="93"/>
      <c r="H154" s="191"/>
    </row>
    <row r="156" spans="1:41">
      <c r="B156" s="1006"/>
      <c r="C156" s="1006"/>
      <c r="D156" s="1006"/>
      <c r="F156" s="1006"/>
      <c r="G156" s="1006"/>
      <c r="H156" s="1006"/>
    </row>
    <row r="157" spans="1:41">
      <c r="B157" s="114"/>
      <c r="C157" s="114"/>
      <c r="D157" s="115"/>
      <c r="E157" s="6"/>
      <c r="F157" s="114"/>
      <c r="G157" s="114"/>
      <c r="H157" s="115"/>
    </row>
    <row r="158" spans="1:41">
      <c r="C158" s="116"/>
      <c r="D158" s="117"/>
      <c r="G158" s="116"/>
      <c r="H158" s="117"/>
    </row>
    <row r="159" spans="1:41">
      <c r="C159" s="116"/>
      <c r="D159" s="108"/>
      <c r="G159" s="116"/>
      <c r="H159" s="108"/>
    </row>
    <row r="160" spans="1:41">
      <c r="C160" s="118"/>
      <c r="D160" s="108"/>
      <c r="G160" s="118"/>
      <c r="H160" s="108"/>
    </row>
    <row r="161" spans="3:8">
      <c r="C161" s="119"/>
      <c r="D161" s="108"/>
      <c r="G161" s="119"/>
      <c r="H161" s="108"/>
    </row>
    <row r="162" spans="3:8">
      <c r="C162" s="120"/>
      <c r="D162" s="108"/>
      <c r="G162" s="120"/>
      <c r="H162" s="108"/>
    </row>
    <row r="163" spans="3:8">
      <c r="C163" s="118"/>
      <c r="D163" s="108"/>
      <c r="G163" s="118"/>
      <c r="H163" s="108"/>
    </row>
    <row r="164" spans="3:8" ht="15">
      <c r="C164" s="121"/>
      <c r="D164" s="122"/>
      <c r="G164" s="121"/>
      <c r="H164" s="122"/>
    </row>
    <row r="165" spans="3:8" ht="15">
      <c r="D165" s="123"/>
      <c r="H165" s="123"/>
    </row>
  </sheetData>
  <mergeCells count="46">
    <mergeCell ref="S28:U28"/>
    <mergeCell ref="A1:J1"/>
    <mergeCell ref="W1:AA1"/>
    <mergeCell ref="AF1:AN1"/>
    <mergeCell ref="A2:J2"/>
    <mergeCell ref="B3:D3"/>
    <mergeCell ref="E3:G3"/>
    <mergeCell ref="H3:J3"/>
    <mergeCell ref="K3:M3"/>
    <mergeCell ref="N3:P3"/>
    <mergeCell ref="R3:U3"/>
    <mergeCell ref="AO3:AQ3"/>
    <mergeCell ref="AD22:AE22"/>
    <mergeCell ref="AD23:AE23"/>
    <mergeCell ref="AD24:AE24"/>
    <mergeCell ref="B27:H27"/>
    <mergeCell ref="C36:D36"/>
    <mergeCell ref="E36:F36"/>
    <mergeCell ref="G36:H36"/>
    <mergeCell ref="I36:J36"/>
    <mergeCell ref="K36:L36"/>
    <mergeCell ref="E117:F117"/>
    <mergeCell ref="B130:H130"/>
    <mergeCell ref="AF60:AP60"/>
    <mergeCell ref="AF64:AP64"/>
    <mergeCell ref="B66:D66"/>
    <mergeCell ref="F66:H66"/>
    <mergeCell ref="E80:G80"/>
    <mergeCell ref="AF80:AP80"/>
    <mergeCell ref="B60:D60"/>
    <mergeCell ref="F60:H60"/>
    <mergeCell ref="E81:F81"/>
    <mergeCell ref="E87:F87"/>
    <mergeCell ref="G87:H87"/>
    <mergeCell ref="B100:D100"/>
    <mergeCell ref="F100:H100"/>
    <mergeCell ref="B152:C152"/>
    <mergeCell ref="B153:C153"/>
    <mergeCell ref="B156:D156"/>
    <mergeCell ref="F156:H156"/>
    <mergeCell ref="AF131:AG131"/>
    <mergeCell ref="F132:G132"/>
    <mergeCell ref="F134:H134"/>
    <mergeCell ref="B149:D149"/>
    <mergeCell ref="B151:C151"/>
    <mergeCell ref="B150:C150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9" max="9" man="1"/>
    <brk id="91" max="9" man="1"/>
    <brk id="113" max="9" man="1"/>
    <brk id="128" max="9" man="1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U165"/>
  <sheetViews>
    <sheetView zoomScaleNormal="10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28515625" style="1" bestFit="1" customWidth="1"/>
    <col min="9" max="9" width="13.28515625" style="1" bestFit="1" customWidth="1"/>
    <col min="10" max="10" width="12.28515625" style="1" bestFit="1" customWidth="1"/>
    <col min="11" max="11" width="13.28515625" style="1" bestFit="1" customWidth="1"/>
    <col min="12" max="12" width="12.28515625" style="1" bestFit="1" customWidth="1"/>
    <col min="13" max="13" width="7.5703125" style="1" bestFit="1" customWidth="1"/>
    <col min="14" max="14" width="7.7109375" style="1" bestFit="1" customWidth="1"/>
    <col min="15" max="15" width="8.5703125" style="1" bestFit="1" customWidth="1"/>
    <col min="16" max="16" width="7.5703125" style="1" bestFit="1" customWidth="1"/>
    <col min="17" max="17" width="5.5703125" style="1" customWidth="1"/>
    <col min="18" max="18" width="15.28515625" style="1" bestFit="1" customWidth="1"/>
    <col min="19" max="19" width="13.5703125" style="1" bestFit="1" customWidth="1"/>
    <col min="20" max="20" width="11.28515625" style="1" bestFit="1" customWidth="1"/>
    <col min="21" max="21" width="13.42578125" style="1" bestFit="1" customWidth="1"/>
    <col min="22" max="22" width="7.28515625" style="1" bestFit="1" customWidth="1"/>
    <col min="23" max="23" width="12.42578125" style="1" customWidth="1" outlineLevel="1"/>
    <col min="24" max="24" width="9.7109375" style="1" customWidth="1" outlineLevel="1"/>
    <col min="25" max="25" width="12.42578125" style="1" customWidth="1" outlineLevel="1"/>
    <col min="26" max="26" width="11.5703125" style="1" customWidth="1" outlineLevel="1"/>
    <col min="27" max="27" width="11.7109375" style="1" customWidth="1" outlineLevel="1"/>
    <col min="28" max="28" width="5.28515625" style="62" customWidth="1" outlineLevel="1"/>
    <col min="29" max="29" width="16.5703125" style="1" customWidth="1" outlineLevel="1"/>
    <col min="30" max="31" width="9" style="1" customWidth="1" outlineLevel="1"/>
    <col min="32" max="32" width="12.42578125" style="1" customWidth="1" outlineLevel="1"/>
    <col min="33" max="33" width="12.42578125" style="1" bestFit="1" customWidth="1" outlineLevel="1"/>
    <col min="34" max="34" width="11.42578125" style="1" bestFit="1" customWidth="1" outlineLevel="1"/>
    <col min="35" max="35" width="12.42578125" style="1" customWidth="1" outlineLevel="1"/>
    <col min="36" max="36" width="11.5703125" style="135" customWidth="1" outlineLevel="1"/>
    <col min="37" max="37" width="11.5703125" style="1" customWidth="1" outlineLevel="1"/>
    <col min="38" max="38" width="10.5703125" style="1" bestFit="1" customWidth="1" outlineLevel="1"/>
    <col min="39" max="39" width="11.5703125" style="1" customWidth="1" outlineLevel="1"/>
    <col min="40" max="40" width="11.7109375" style="1" customWidth="1" outlineLevel="1"/>
    <col min="41" max="42" width="11.5703125" style="1" customWidth="1" outlineLevel="1"/>
    <col min="43" max="43" width="11.5703125" style="1" bestFit="1" customWidth="1" outlineLevel="1"/>
    <col min="44" max="45" width="11.5703125" style="1" bestFit="1" customWidth="1"/>
    <col min="46" max="47" width="10.28515625" style="1" bestFit="1" customWidth="1"/>
    <col min="48" max="242" width="8.5703125" style="1" customWidth="1"/>
    <col min="243" max="16384" width="10.5703125" style="1"/>
  </cols>
  <sheetData>
    <row r="1" spans="1:47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W1" s="1029" t="s">
        <v>216</v>
      </c>
      <c r="X1" s="1029"/>
      <c r="Y1" s="1029"/>
      <c r="Z1" s="1029"/>
      <c r="AA1" s="1029"/>
      <c r="AB1" s="245"/>
      <c r="AC1" s="246"/>
      <c r="AD1" s="128"/>
      <c r="AE1" s="128"/>
      <c r="AF1" s="1029" t="s">
        <v>225</v>
      </c>
      <c r="AG1" s="1029"/>
      <c r="AH1" s="1029"/>
      <c r="AI1" s="1029"/>
      <c r="AJ1" s="1029"/>
      <c r="AK1" s="1029"/>
      <c r="AL1" s="1029"/>
      <c r="AM1" s="1029"/>
      <c r="AN1" s="1029"/>
      <c r="AO1" s="248" t="s">
        <v>194</v>
      </c>
      <c r="AP1" s="248" t="s">
        <v>177</v>
      </c>
      <c r="AQ1" s="248" t="s">
        <v>282</v>
      </c>
      <c r="AR1" s="387" t="s">
        <v>107</v>
      </c>
      <c r="AS1" s="387" t="s">
        <v>194</v>
      </c>
      <c r="AT1" s="387" t="s">
        <v>177</v>
      </c>
      <c r="AU1" s="387" t="s">
        <v>282</v>
      </c>
    </row>
    <row r="2" spans="1:47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W2" s="10" t="s">
        <v>190</v>
      </c>
      <c r="X2" s="10" t="s">
        <v>55</v>
      </c>
      <c r="Y2" s="10" t="s">
        <v>3</v>
      </c>
      <c r="Z2" s="140" t="s">
        <v>1</v>
      </c>
      <c r="AA2" s="140" t="s">
        <v>215</v>
      </c>
      <c r="AB2" s="249" t="s">
        <v>2</v>
      </c>
      <c r="AC2" s="9" t="s">
        <v>223</v>
      </c>
      <c r="AD2" s="129" t="s">
        <v>226</v>
      </c>
      <c r="AE2" s="129" t="s">
        <v>227</v>
      </c>
      <c r="AF2" s="10" t="s">
        <v>194</v>
      </c>
      <c r="AG2" s="10" t="s">
        <v>177</v>
      </c>
      <c r="AH2" s="10" t="s">
        <v>282</v>
      </c>
      <c r="AI2" s="10" t="s">
        <v>3</v>
      </c>
      <c r="AJ2" s="140" t="s">
        <v>228</v>
      </c>
      <c r="AK2" s="140" t="s">
        <v>229</v>
      </c>
      <c r="AL2" s="140" t="s">
        <v>283</v>
      </c>
      <c r="AM2" s="140" t="s">
        <v>230</v>
      </c>
      <c r="AN2" s="140" t="s">
        <v>215</v>
      </c>
      <c r="AO2" s="249" t="s">
        <v>222</v>
      </c>
      <c r="AP2" s="249" t="s">
        <v>222</v>
      </c>
      <c r="AQ2" s="249" t="s">
        <v>222</v>
      </c>
      <c r="AR2" s="388" t="s">
        <v>327</v>
      </c>
      <c r="AS2" s="388" t="s">
        <v>327</v>
      </c>
      <c r="AT2" s="388" t="s">
        <v>327</v>
      </c>
      <c r="AU2" s="388" t="s">
        <v>327</v>
      </c>
    </row>
    <row r="3" spans="1:47" ht="17.25" customHeight="1">
      <c r="B3" s="1031" t="s">
        <v>476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1031" t="s">
        <v>477</v>
      </c>
      <c r="L3" s="1032"/>
      <c r="M3" s="1033"/>
      <c r="N3" s="1031" t="s">
        <v>478</v>
      </c>
      <c r="O3" s="1032"/>
      <c r="P3" s="1033"/>
      <c r="Q3" s="363"/>
      <c r="R3" s="1031" t="s">
        <v>309</v>
      </c>
      <c r="S3" s="1032"/>
      <c r="T3" s="1032"/>
      <c r="U3" s="1033"/>
      <c r="W3" s="4"/>
      <c r="X3" s="4"/>
      <c r="Y3" s="4"/>
      <c r="Z3" s="4"/>
      <c r="AA3" s="5"/>
      <c r="AB3" s="265"/>
      <c r="AC3" s="3"/>
      <c r="AD3" s="125"/>
      <c r="AE3" s="126"/>
      <c r="AF3" s="242"/>
      <c r="AG3" s="242"/>
      <c r="AH3" s="242"/>
      <c r="AI3" s="4"/>
      <c r="AJ3" s="242"/>
      <c r="AK3" s="242"/>
      <c r="AL3" s="242"/>
      <c r="AM3" s="242"/>
      <c r="AN3" s="5"/>
      <c r="AO3" s="1025"/>
      <c r="AP3" s="1025"/>
      <c r="AQ3" s="1025"/>
      <c r="AR3" s="389"/>
      <c r="AS3" s="389"/>
      <c r="AT3" s="389"/>
      <c r="AU3" s="389"/>
    </row>
    <row r="4" spans="1:47" s="6" customFormat="1" ht="16.5">
      <c r="B4" s="664" t="s">
        <v>464</v>
      </c>
      <c r="C4" s="185" t="s">
        <v>466</v>
      </c>
      <c r="D4" s="665" t="s">
        <v>465</v>
      </c>
      <c r="E4" s="664" t="s">
        <v>464</v>
      </c>
      <c r="F4" s="185" t="s">
        <v>466</v>
      </c>
      <c r="G4" s="665" t="s">
        <v>465</v>
      </c>
      <c r="H4" s="664" t="s">
        <v>464</v>
      </c>
      <c r="I4" s="185" t="s">
        <v>466</v>
      </c>
      <c r="J4" s="665" t="s">
        <v>465</v>
      </c>
      <c r="K4" s="664" t="s">
        <v>464</v>
      </c>
      <c r="L4" s="185" t="s">
        <v>466</v>
      </c>
      <c r="M4" s="665" t="s">
        <v>465</v>
      </c>
      <c r="N4" s="664" t="s">
        <v>464</v>
      </c>
      <c r="O4" s="185" t="s">
        <v>466</v>
      </c>
      <c r="P4" s="665" t="s">
        <v>465</v>
      </c>
      <c r="Q4" s="8"/>
      <c r="R4" s="664" t="s">
        <v>464</v>
      </c>
      <c r="S4" s="683" t="s">
        <v>306</v>
      </c>
      <c r="T4" s="683" t="s">
        <v>469</v>
      </c>
      <c r="U4" s="684" t="s">
        <v>470</v>
      </c>
      <c r="W4" s="10"/>
      <c r="X4" s="10"/>
      <c r="Y4" s="10"/>
      <c r="Z4" s="5"/>
      <c r="AA4" s="5"/>
      <c r="AB4" s="256"/>
      <c r="AC4" s="9"/>
      <c r="AD4" s="125"/>
      <c r="AE4" s="126"/>
      <c r="AF4" s="243"/>
      <c r="AG4" s="243"/>
      <c r="AH4" s="243"/>
      <c r="AI4" s="10"/>
      <c r="AJ4" s="244"/>
      <c r="AK4" s="244"/>
      <c r="AL4" s="244"/>
      <c r="AM4" s="244"/>
      <c r="AN4" s="5"/>
      <c r="AO4" s="5"/>
      <c r="AP4" s="5"/>
      <c r="AQ4" s="5"/>
      <c r="AR4" s="390"/>
      <c r="AS4" s="390"/>
      <c r="AT4" s="390"/>
      <c r="AU4" s="390"/>
    </row>
    <row r="5" spans="1:47" s="6" customFormat="1" ht="15">
      <c r="A5" s="11"/>
      <c r="B5" s="335"/>
      <c r="C5" s="13" t="s">
        <v>287</v>
      </c>
      <c r="D5" s="314"/>
      <c r="E5" s="321"/>
      <c r="F5" s="13" t="s">
        <v>287</v>
      </c>
      <c r="G5" s="322"/>
      <c r="H5" s="321"/>
      <c r="I5" s="13" t="s">
        <v>287</v>
      </c>
      <c r="J5" s="322"/>
      <c r="K5" s="321"/>
      <c r="L5" s="13" t="s">
        <v>287</v>
      </c>
      <c r="M5" s="322"/>
      <c r="N5" s="321"/>
      <c r="O5" s="13" t="s">
        <v>287</v>
      </c>
      <c r="P5" s="322"/>
      <c r="Q5" s="309"/>
      <c r="R5" s="321"/>
      <c r="S5" s="11"/>
      <c r="T5" s="11"/>
      <c r="U5" s="322"/>
      <c r="W5" s="15"/>
      <c r="X5" s="15"/>
      <c r="Y5" s="15"/>
      <c r="Z5" s="16"/>
      <c r="AA5" s="16"/>
      <c r="AB5" s="159"/>
      <c r="AC5" s="14"/>
      <c r="AD5" s="125"/>
      <c r="AE5" s="126"/>
      <c r="AF5" s="15"/>
      <c r="AG5" s="15"/>
      <c r="AH5" s="15"/>
      <c r="AI5" s="15"/>
      <c r="AJ5" s="16"/>
      <c r="AK5" s="16"/>
      <c r="AL5" s="16"/>
      <c r="AM5" s="16"/>
      <c r="AN5" s="16"/>
      <c r="AO5" s="16"/>
      <c r="AP5" s="16"/>
      <c r="AQ5" s="16"/>
      <c r="AR5" s="391"/>
      <c r="AS5" s="391"/>
      <c r="AT5" s="391"/>
      <c r="AU5" s="391"/>
    </row>
    <row r="6" spans="1:47" ht="15">
      <c r="A6" s="17" t="s">
        <v>4</v>
      </c>
      <c r="B6" s="668">
        <f>IF($B$24&lt;&gt;0,$D$56,0)</f>
        <v>4.6284642573161047E-2</v>
      </c>
      <c r="C6" s="666">
        <v>4.8917889727838434E-2</v>
      </c>
      <c r="D6" s="667">
        <v>3.738323662052577E-2</v>
      </c>
      <c r="E6" s="668">
        <f>$F$56</f>
        <v>0.14603302910492424</v>
      </c>
      <c r="F6" s="666">
        <v>0.1482862426540402</v>
      </c>
      <c r="G6" s="667">
        <v>0.10706625391381686</v>
      </c>
      <c r="H6" s="668">
        <f>IF($H$24&lt;&gt;0,$H$56,0)</f>
        <v>0.5815406062835875</v>
      </c>
      <c r="I6" s="666">
        <v>0.58125835091579836</v>
      </c>
      <c r="J6" s="667">
        <v>0.5066647876706033</v>
      </c>
      <c r="K6" s="668">
        <f>J56</f>
        <v>0.27654982296173175</v>
      </c>
      <c r="L6" s="666">
        <v>0.28027625220903413</v>
      </c>
      <c r="M6" s="667">
        <v>0</v>
      </c>
      <c r="N6" s="668">
        <f>L56</f>
        <v>0.14685585187605005</v>
      </c>
      <c r="O6" s="666">
        <v>0.18504974799327983</v>
      </c>
      <c r="P6" s="667">
        <v>0</v>
      </c>
      <c r="Q6" s="18"/>
      <c r="R6" s="668">
        <f>(B6*B$24+E6*E$24+H6*H$24+K6*K$24+N6*N$24)/R$24</f>
        <v>0.16136988717124404</v>
      </c>
      <c r="S6" s="666">
        <f>R6</f>
        <v>0.16136988717124404</v>
      </c>
      <c r="T6" s="666">
        <f>R6</f>
        <v>0.16136988717124404</v>
      </c>
      <c r="U6" s="667">
        <f>R6-T6</f>
        <v>0</v>
      </c>
      <c r="V6" s="1">
        <f>R6*$R$24</f>
        <v>16153.125705841529</v>
      </c>
      <c r="W6" s="24"/>
      <c r="X6" s="21"/>
      <c r="Y6" s="21"/>
      <c r="Z6" s="2"/>
      <c r="AA6" s="2"/>
      <c r="AB6" s="159"/>
      <c r="AC6" s="20"/>
      <c r="AD6" s="125"/>
      <c r="AE6" s="126"/>
      <c r="AF6" s="21"/>
      <c r="AG6" s="21"/>
      <c r="AH6" s="21"/>
      <c r="AI6" s="21"/>
      <c r="AJ6" s="2"/>
      <c r="AK6" s="2"/>
      <c r="AL6" s="2"/>
      <c r="AM6" s="2"/>
      <c r="AN6" s="2"/>
      <c r="AO6" s="2"/>
      <c r="AP6" s="2"/>
      <c r="AQ6" s="2"/>
      <c r="AR6" s="253"/>
      <c r="AS6" s="253"/>
      <c r="AT6" s="253"/>
      <c r="AU6" s="253"/>
    </row>
    <row r="7" spans="1:47" ht="15">
      <c r="A7" s="17" t="s">
        <v>5</v>
      </c>
      <c r="B7" s="672">
        <f>IF($B$24&lt;&gt;0,$D$104,0)</f>
        <v>5.9930775556556303E-3</v>
      </c>
      <c r="C7" s="251">
        <v>6.7184367154371882E-3</v>
      </c>
      <c r="D7" s="673">
        <v>5.644520175438596E-3</v>
      </c>
      <c r="E7" s="672">
        <f>$H$104</f>
        <v>5.2296736289233058E-2</v>
      </c>
      <c r="F7" s="251">
        <v>5.3032975011683359E-2</v>
      </c>
      <c r="G7" s="674">
        <v>4.635952916666667E-2</v>
      </c>
      <c r="H7" s="672">
        <f>IF($H$24&lt;&gt;0,$H$104,0)</f>
        <v>5.2296736289233058E-2</v>
      </c>
      <c r="I7" s="251">
        <v>5.5088299786421595E-2</v>
      </c>
      <c r="J7" s="673">
        <v>5.1146000000000004E-2</v>
      </c>
      <c r="K7" s="672">
        <f>B7</f>
        <v>5.9930775556556303E-3</v>
      </c>
      <c r="L7" s="251">
        <v>4.5711697648667593E-3</v>
      </c>
      <c r="M7" s="673">
        <v>0</v>
      </c>
      <c r="N7" s="672">
        <f t="shared" ref="N7:N11" si="0">B7</f>
        <v>5.9930775556556303E-3</v>
      </c>
      <c r="O7" s="251">
        <v>4.7608362889677057E-3</v>
      </c>
      <c r="P7" s="673">
        <v>0</v>
      </c>
      <c r="Q7" s="23"/>
      <c r="R7" s="672">
        <f>(B7*B$24+E7*E$24+H7*H$24+K7*K$24+N7*N$24)/R$24</f>
        <v>2.9121778221778222E-2</v>
      </c>
      <c r="S7" s="251">
        <v>6.5396806966618289E-3</v>
      </c>
      <c r="T7" s="251">
        <f>IF($R$22&lt;$S$22,R7,IF($R$12&lt;$S$12,R7,IF(AND($R$12&gt;$S$12,$R$20&lt;$S$20),(($S$7+$S$8+$S$9+$S$10+$S$11)+($S$20-$R$20))/($R$7+$R$8+$R$9+$R$10+$R$11)*R7,R7/($R$7+$R$8+$R$9+$R$10+$R$11)*($S$7+$S$8+$S$9+$S$10+$S$11))))</f>
        <v>1.6205598038312671E-2</v>
      </c>
      <c r="U7" s="673">
        <f t="shared" ref="U7:U11" si="1">R7-T7</f>
        <v>1.2916180183465551E-2</v>
      </c>
      <c r="V7" s="1">
        <f t="shared" ref="V7:V11" si="2">R7*$R$24</f>
        <v>2915.09</v>
      </c>
      <c r="W7" s="24">
        <f>ROUND($G$98*$H$98,0)</f>
        <v>2915090</v>
      </c>
      <c r="X7" s="24">
        <v>0</v>
      </c>
      <c r="Y7" s="24">
        <f>SUM(W7:X7)</f>
        <v>2915090</v>
      </c>
      <c r="Z7" s="19">
        <f>G98</f>
        <v>40858400</v>
      </c>
      <c r="AA7" s="25">
        <f>Y7/Z7</f>
        <v>7.1346161376852735E-2</v>
      </c>
      <c r="AB7" s="159" t="s">
        <v>6</v>
      </c>
      <c r="AC7" s="20" t="s">
        <v>7</v>
      </c>
      <c r="AD7" s="125">
        <v>630010</v>
      </c>
      <c r="AE7" s="126">
        <v>1</v>
      </c>
      <c r="AF7" s="24">
        <f>ROUND($B$104*$C$104*$B$24*1000,0)</f>
        <v>300253</v>
      </c>
      <c r="AG7" s="24">
        <f>ROUND($F$104*$G$104*$E$24*1000,0)</f>
        <v>1830386</v>
      </c>
      <c r="AH7" s="24">
        <f>ROUND($F$104*$G$104*$H$24*1000,0)</f>
        <v>784451</v>
      </c>
      <c r="AI7" s="24">
        <f>SUM(AF7:AH7)</f>
        <v>2915090</v>
      </c>
      <c r="AJ7" s="19">
        <f>$B$104*$B$24*1000</f>
        <v>4208400.0000000009</v>
      </c>
      <c r="AK7" s="19">
        <f>$F$104*$E$24*1000</f>
        <v>25655000.000000004</v>
      </c>
      <c r="AL7" s="19">
        <f>$F$104*$H$24*1000</f>
        <v>10995000.000000002</v>
      </c>
      <c r="AM7" s="19">
        <f>SUM(AJ7:AL7)</f>
        <v>40858400.000000007</v>
      </c>
      <c r="AN7" s="25">
        <f>AI7/AM7</f>
        <v>7.1346161376852721E-2</v>
      </c>
      <c r="AO7" s="56">
        <f>ROUND(AJ7/$B$24,3)</f>
        <v>84</v>
      </c>
      <c r="AP7" s="56">
        <f>ROUND(AK7/$E$24,3)</f>
        <v>733</v>
      </c>
      <c r="AQ7" s="56">
        <f>IF($H$24&lt;&gt;0,ROUND(AL7/$H$24,3),0)</f>
        <v>733</v>
      </c>
      <c r="AR7" s="241">
        <f>U7*$R$24</f>
        <v>1292.9096363649016</v>
      </c>
      <c r="AS7" s="241">
        <f>$AR7/$AM7*AJ7</f>
        <v>133.16921156183435</v>
      </c>
      <c r="AT7" s="241">
        <f t="shared" ref="AT7:AU11" si="3">$AR7/$AM7*AK7</f>
        <v>811.81829736214706</v>
      </c>
      <c r="AU7" s="241">
        <f t="shared" si="3"/>
        <v>347.92212744092018</v>
      </c>
    </row>
    <row r="8" spans="1:47" ht="15">
      <c r="A8" s="26" t="s">
        <v>8</v>
      </c>
      <c r="B8" s="675">
        <f>IF($B$24&lt;&gt;0,$D$109,0)</f>
        <v>2.1345718120805369E-2</v>
      </c>
      <c r="C8" s="251">
        <v>2.3250695603634748E-2</v>
      </c>
      <c r="D8" s="673">
        <v>1.757311140350877E-2</v>
      </c>
      <c r="E8" s="675">
        <f>$H$109</f>
        <v>1.2006966442953021E-2</v>
      </c>
      <c r="F8" s="251">
        <v>1.439344247035242E-2</v>
      </c>
      <c r="G8" s="673">
        <v>1.007329375E-2</v>
      </c>
      <c r="H8" s="675">
        <f>IF($H$24&lt;&gt;0,$H$109,0)</f>
        <v>1.2006966442953021E-2</v>
      </c>
      <c r="I8" s="251">
        <v>1.2985864992557116E-2</v>
      </c>
      <c r="J8" s="673">
        <v>1.2474500000000001E-2</v>
      </c>
      <c r="K8" s="675">
        <f t="shared" ref="K8:K11" si="4">B8</f>
        <v>2.1345718120805369E-2</v>
      </c>
      <c r="L8" s="251">
        <v>3.1930814796483312E-2</v>
      </c>
      <c r="M8" s="673">
        <v>0</v>
      </c>
      <c r="N8" s="675">
        <f t="shared" si="0"/>
        <v>2.1345718120805369E-2</v>
      </c>
      <c r="O8" s="251">
        <v>2.0645267873809967E-2</v>
      </c>
      <c r="P8" s="673">
        <v>0</v>
      </c>
      <c r="Q8" s="23"/>
      <c r="R8" s="675">
        <f t="shared" ref="R8:R11" si="5">(B8*B$24+E8*E$24+H8*H$24+K8*K$24+N8*N$24)/R$24</f>
        <v>1.6681006993006994E-2</v>
      </c>
      <c r="S8" s="251">
        <v>2.9646432510885341E-2</v>
      </c>
      <c r="T8" s="251">
        <f>IF($R$22&lt;$S$22,R8,IF($R$12&lt;$S$12,R8,IF(AND($R$12&gt;$S$12,$R$20&lt;$S$20),(($S$7+$S$8+$S$9+$S$10+$S$11)+($S$20-$R$20))/($R$7+$R$8+$R$9+$R$10+$R$11)*R8,R8/($R$7+$R$8+$R$9+$R$10+$R$11)*($S$7+$S$8+$S$9+$S$10+$S$11))))</f>
        <v>9.2825957310805843E-3</v>
      </c>
      <c r="U8" s="673">
        <f t="shared" si="1"/>
        <v>7.39841126192641E-3</v>
      </c>
      <c r="V8" s="1">
        <f t="shared" si="2"/>
        <v>1669.7688000000001</v>
      </c>
      <c r="W8" s="24">
        <f>ROUND($D$98*$C$98,0)</f>
        <v>1669769</v>
      </c>
      <c r="X8" s="24">
        <v>0</v>
      </c>
      <c r="Y8" s="24">
        <f>SUM(W8:X8)</f>
        <v>1669769</v>
      </c>
      <c r="Z8" s="19">
        <f>C98*1000</f>
        <v>375480000</v>
      </c>
      <c r="AA8" s="25">
        <f>Y8/Z8</f>
        <v>4.4470251411526576E-3</v>
      </c>
      <c r="AB8" s="159" t="s">
        <v>9</v>
      </c>
      <c r="AC8" s="20" t="s">
        <v>10</v>
      </c>
      <c r="AD8" s="125" t="s">
        <v>75</v>
      </c>
      <c r="AE8" s="126">
        <v>1</v>
      </c>
      <c r="AF8" s="24">
        <f>ROUND($B$109*$C$109*$B$24*1000,0)</f>
        <v>1069420</v>
      </c>
      <c r="AG8" s="24">
        <f>ROUND($F$109*$G$109*$E$24*1000,0)</f>
        <v>420244</v>
      </c>
      <c r="AH8" s="24">
        <f>ROUND($F$109*$G$109*$H$24*1000,0)</f>
        <v>180104</v>
      </c>
      <c r="AI8" s="24">
        <f t="shared" ref="AI8:AI11" si="6">SUM(AF8:AH8)</f>
        <v>1669768</v>
      </c>
      <c r="AJ8" s="19">
        <f>$B$109*$B$24*1000*1000</f>
        <v>240480000</v>
      </c>
      <c r="AK8" s="19">
        <f>$F$109*$E$24*1000*1000</f>
        <v>94499999.999999985</v>
      </c>
      <c r="AL8" s="19">
        <f>$F$109*$H$24*1000*1000</f>
        <v>40499999.999999993</v>
      </c>
      <c r="AM8" s="19">
        <f t="shared" ref="AM8:AM11" si="7">SUM(AJ8:AL8)</f>
        <v>375480000</v>
      </c>
      <c r="AN8" s="25">
        <f>AI8/AM8</f>
        <v>4.4470224778949607E-3</v>
      </c>
      <c r="AO8" s="56">
        <f>ROUND(AJ8/$B$24,3)</f>
        <v>4800</v>
      </c>
      <c r="AP8" s="56">
        <f>ROUND(AK8/$E$24,3)</f>
        <v>2700</v>
      </c>
      <c r="AQ8" s="56">
        <f>IF($H$24&lt;&gt;0,ROUND(AL8/$H$24,3),0)</f>
        <v>2700</v>
      </c>
      <c r="AR8" s="241">
        <f>U8*$R$24</f>
        <v>740.58096731883359</v>
      </c>
      <c r="AS8" s="241">
        <f>$AR8/$AM8*AJ8</f>
        <v>474.31264253977065</v>
      </c>
      <c r="AT8" s="241">
        <f t="shared" si="3"/>
        <v>186.38782734534399</v>
      </c>
      <c r="AU8" s="241">
        <f t="shared" si="3"/>
        <v>79.880497433718844</v>
      </c>
    </row>
    <row r="9" spans="1:47" ht="15">
      <c r="A9" s="17" t="s">
        <v>11</v>
      </c>
      <c r="B9" s="675">
        <f>IF($B$24&lt;&gt;0,$H$119,0)</f>
        <v>3.5964037402597397E-2</v>
      </c>
      <c r="C9" s="251">
        <v>2.0888728808069957E-2</v>
      </c>
      <c r="D9" s="673">
        <v>9.1201588372432588E-3</v>
      </c>
      <c r="E9" s="675">
        <f>$H$119</f>
        <v>3.5964037402597397E-2</v>
      </c>
      <c r="F9" s="251">
        <v>2.1258138375900237E-2</v>
      </c>
      <c r="G9" s="673">
        <v>9.3875756480945125E-3</v>
      </c>
      <c r="H9" s="675">
        <f>IF($H$24&lt;&gt;0,$H$119,0)</f>
        <v>3.5964037402597397E-2</v>
      </c>
      <c r="I9" s="251">
        <v>1.5830357905637176E-2</v>
      </c>
      <c r="J9" s="673">
        <v>3.1944442500000003E-2</v>
      </c>
      <c r="K9" s="675">
        <f t="shared" si="4"/>
        <v>3.5964037402597397E-2</v>
      </c>
      <c r="L9" s="251">
        <v>1.8773030271302702E-2</v>
      </c>
      <c r="M9" s="673">
        <v>0</v>
      </c>
      <c r="N9" s="675">
        <f t="shared" si="0"/>
        <v>3.5964037402597397E-2</v>
      </c>
      <c r="O9" s="251">
        <v>2.4556496173231288E-2</v>
      </c>
      <c r="P9" s="673">
        <v>0</v>
      </c>
      <c r="Q9" s="23"/>
      <c r="R9" s="675">
        <f t="shared" si="5"/>
        <v>3.5964037402597397E-2</v>
      </c>
      <c r="S9" s="251">
        <v>1.4439611030478954E-2</v>
      </c>
      <c r="T9" s="251">
        <f>IF($R$22&lt;$S$22,R9,IF($R$12&lt;$S$12,R9,IF(AND($R$12&gt;$S$12,$R$20&lt;$S$20),(($S$7+$S$8+$S$9+$S$10+$S$11)+($S$20-$R$20))/($R$7+$R$8+$R$9+$R$10+$R$11)*R9,R9/($R$7+$R$8+$R$9+$R$10+$R$11)*($S$7+$S$8+$S$9+$S$10+$S$11))))</f>
        <v>2.0013157491374785E-2</v>
      </c>
      <c r="U9" s="673">
        <f t="shared" si="1"/>
        <v>1.5950879911222612E-2</v>
      </c>
      <c r="V9" s="1">
        <f t="shared" si="2"/>
        <v>3600.0001439999996</v>
      </c>
      <c r="W9" s="24">
        <f>ROUND($G$119,0)</f>
        <v>3600000</v>
      </c>
      <c r="X9" s="24">
        <v>0</v>
      </c>
      <c r="Y9" s="24">
        <f>SUM(W9:X9)</f>
        <v>3600000</v>
      </c>
      <c r="Z9" s="19">
        <f>$B$25*1000</f>
        <v>100100000</v>
      </c>
      <c r="AA9" s="25">
        <f>Y9/Z9</f>
        <v>3.5964035964035967E-2</v>
      </c>
      <c r="AB9" s="159" t="s">
        <v>12</v>
      </c>
      <c r="AC9" s="20" t="s">
        <v>13</v>
      </c>
      <c r="AD9" s="125" t="s">
        <v>76</v>
      </c>
      <c r="AE9" s="126">
        <v>1</v>
      </c>
      <c r="AF9" s="24">
        <f>$H$119*$B$24*1000</f>
        <v>1801798.2738701296</v>
      </c>
      <c r="AG9" s="24">
        <f>$H$119*$E$24*1000</f>
        <v>1258741.3090909091</v>
      </c>
      <c r="AH9" s="24">
        <f>$H$119*$H$24*1000</f>
        <v>539460.56103896094</v>
      </c>
      <c r="AI9" s="24">
        <f t="shared" si="6"/>
        <v>3600000.1439999994</v>
      </c>
      <c r="AJ9" s="19">
        <f>$B$24*1000</f>
        <v>50100000</v>
      </c>
      <c r="AK9" s="19">
        <f>$E$24*1000</f>
        <v>35000000</v>
      </c>
      <c r="AL9" s="19">
        <f>$H$24*1000</f>
        <v>15000000</v>
      </c>
      <c r="AM9" s="19">
        <f t="shared" si="7"/>
        <v>100100000</v>
      </c>
      <c r="AN9" s="25">
        <f>AI9/AM9</f>
        <v>3.5964037402597397E-2</v>
      </c>
      <c r="AO9" s="56">
        <f>ROUND(AJ9/$B$24,3)</f>
        <v>1000</v>
      </c>
      <c r="AP9" s="56">
        <f>ROUND(AK9/$E$24,3)</f>
        <v>1000</v>
      </c>
      <c r="AQ9" s="56">
        <f>IF($H$24&lt;&gt;0,ROUND(AL9/$H$24,3),0)</f>
        <v>1000</v>
      </c>
      <c r="AR9" s="241">
        <f>U9*$R$24</f>
        <v>1596.6830791133834</v>
      </c>
      <c r="AS9" s="241">
        <f t="shared" ref="AS9:AS11" si="8">$AR9/$AM9*AJ9</f>
        <v>799.13908355225283</v>
      </c>
      <c r="AT9" s="241">
        <f t="shared" si="3"/>
        <v>558.28079689279139</v>
      </c>
      <c r="AU9" s="241">
        <f t="shared" si="3"/>
        <v>239.26319866833916</v>
      </c>
    </row>
    <row r="10" spans="1:47" ht="15">
      <c r="A10" s="17" t="s">
        <v>14</v>
      </c>
      <c r="B10" s="675">
        <f>IF($B$24&lt;&gt;0,$H$123,0)</f>
        <v>4.7952047952047952E-3</v>
      </c>
      <c r="C10" s="251">
        <v>2.5984533297509871E-3</v>
      </c>
      <c r="D10" s="673">
        <v>7.9305733846812159E-4</v>
      </c>
      <c r="E10" s="675">
        <f>$H$123</f>
        <v>4.7952047952047952E-3</v>
      </c>
      <c r="F10" s="251">
        <v>2.0231731586708226E-3</v>
      </c>
      <c r="G10" s="673">
        <v>8.1631097560975617E-4</v>
      </c>
      <c r="H10" s="675">
        <f>IF($H$24&lt;&gt;0,$H$123,0)</f>
        <v>4.7952047952047952E-3</v>
      </c>
      <c r="I10" s="251">
        <v>3.5917746424179663E-3</v>
      </c>
      <c r="J10" s="673">
        <v>2.7777777777777783E-3</v>
      </c>
      <c r="K10" s="675">
        <f t="shared" si="4"/>
        <v>4.7952047952047952E-3</v>
      </c>
      <c r="L10" s="251">
        <v>2.1372028313709811E-3</v>
      </c>
      <c r="M10" s="673">
        <v>0</v>
      </c>
      <c r="N10" s="675">
        <f t="shared" si="0"/>
        <v>4.7952047952047952E-3</v>
      </c>
      <c r="O10" s="251">
        <v>1.6521560574948664E-3</v>
      </c>
      <c r="P10" s="673">
        <v>0</v>
      </c>
      <c r="Q10" s="23"/>
      <c r="R10" s="675">
        <f t="shared" si="5"/>
        <v>4.7952047952047952E-3</v>
      </c>
      <c r="S10" s="251">
        <v>1.1089114658925979E-3</v>
      </c>
      <c r="T10" s="251">
        <f>IF($R$22&lt;$S$22,R10,IF($R$12&lt;$S$12,R10,IF(AND($R$12&gt;$S$12,$R$20&lt;$S$20),(($S$7+$S$8+$S$9+$S$10+$S$11)+($S$20-$R$20))/($R$7+$R$8+$R$9+$R$10+$R$11)*R10,R10/($R$7+$R$8+$R$9+$R$10+$R$11)*($S$7+$S$8+$S$9+$S$10+$S$11))))</f>
        <v>2.6684208921131359E-3</v>
      </c>
      <c r="U10" s="673">
        <f t="shared" si="1"/>
        <v>2.1267839030916593E-3</v>
      </c>
      <c r="V10" s="1">
        <f t="shared" si="2"/>
        <v>480</v>
      </c>
      <c r="W10" s="24">
        <f>ROUND($G$123,0)</f>
        <v>480000</v>
      </c>
      <c r="X10" s="24">
        <v>0</v>
      </c>
      <c r="Y10" s="24">
        <f>SUM(W10:X10)</f>
        <v>480000</v>
      </c>
      <c r="Z10" s="19">
        <f>$B$25*1000</f>
        <v>100100000</v>
      </c>
      <c r="AA10" s="25">
        <f>Y10/Z10</f>
        <v>4.7952047952047952E-3</v>
      </c>
      <c r="AB10" s="159" t="s">
        <v>12</v>
      </c>
      <c r="AC10" s="20" t="s">
        <v>15</v>
      </c>
      <c r="AD10" s="125" t="s">
        <v>77</v>
      </c>
      <c r="AE10" s="126">
        <v>1</v>
      </c>
      <c r="AF10" s="24">
        <f>$H$123*$B$24*1000</f>
        <v>240239.76023976025</v>
      </c>
      <c r="AG10" s="24">
        <f>$H$123*$E$24*1000</f>
        <v>167832.16783216785</v>
      </c>
      <c r="AH10" s="24">
        <f>$H$123*$H$24*1000</f>
        <v>71928.071928071935</v>
      </c>
      <c r="AI10" s="24">
        <f t="shared" si="6"/>
        <v>480000</v>
      </c>
      <c r="AJ10" s="19">
        <f>$B$24*1000</f>
        <v>50100000</v>
      </c>
      <c r="AK10" s="19">
        <f>$E$24*1000</f>
        <v>35000000</v>
      </c>
      <c r="AL10" s="19">
        <f>$H$24*1000</f>
        <v>15000000</v>
      </c>
      <c r="AM10" s="19">
        <f t="shared" si="7"/>
        <v>100100000</v>
      </c>
      <c r="AN10" s="25">
        <f>AI10/AM10</f>
        <v>4.7952047952047952E-3</v>
      </c>
      <c r="AO10" s="56">
        <f>ROUND(AJ10/$B$24,3)</f>
        <v>1000</v>
      </c>
      <c r="AP10" s="56">
        <f>ROUND(AK10/$E$24,3)</f>
        <v>1000</v>
      </c>
      <c r="AQ10" s="56">
        <f>IF($H$24&lt;&gt;0,ROUND(AL10/$H$24,3),0)</f>
        <v>1000</v>
      </c>
      <c r="AR10" s="241">
        <f>U10*$R$24</f>
        <v>212.89106869947508</v>
      </c>
      <c r="AS10" s="241">
        <f t="shared" si="8"/>
        <v>106.55187354489212</v>
      </c>
      <c r="AT10" s="241">
        <f t="shared" si="3"/>
        <v>74.43743660820806</v>
      </c>
      <c r="AU10" s="241">
        <f t="shared" si="3"/>
        <v>31.901758546374886</v>
      </c>
    </row>
    <row r="11" spans="1:47" ht="15">
      <c r="A11" s="17" t="s">
        <v>16</v>
      </c>
      <c r="B11" s="676">
        <f>IF($B$24&lt;&gt;0,$H$126,0)</f>
        <v>1.1988011988011988E-2</v>
      </c>
      <c r="C11" s="677">
        <v>7.126124167183989E-3</v>
      </c>
      <c r="D11" s="678">
        <v>2.9739650192554556E-3</v>
      </c>
      <c r="E11" s="679">
        <f>$H$126</f>
        <v>1.1988011988011988E-2</v>
      </c>
      <c r="F11" s="677">
        <v>8.722240971826745E-3</v>
      </c>
      <c r="G11" s="680">
        <v>3.0611661585365855E-3</v>
      </c>
      <c r="H11" s="679">
        <f>IF($H$24&lt;&gt;0,$H$126,0)</f>
        <v>1.1988011988011988E-2</v>
      </c>
      <c r="I11" s="677">
        <v>6.8701844540806417E-3</v>
      </c>
      <c r="J11" s="680">
        <v>1.0416666666666666E-2</v>
      </c>
      <c r="K11" s="679">
        <f t="shared" si="4"/>
        <v>1.1988011988011988E-2</v>
      </c>
      <c r="L11" s="677">
        <v>7.8377165012072352E-3</v>
      </c>
      <c r="M11" s="680">
        <v>0</v>
      </c>
      <c r="N11" s="679">
        <f t="shared" si="0"/>
        <v>1.1988011988011988E-2</v>
      </c>
      <c r="O11" s="677">
        <v>1.1616427104722792E-2</v>
      </c>
      <c r="P11" s="680">
        <v>0</v>
      </c>
      <c r="Q11" s="31"/>
      <c r="R11" s="679">
        <f t="shared" si="5"/>
        <v>1.1988011988011988E-2</v>
      </c>
      <c r="S11" s="677">
        <v>3.106188679245283E-3</v>
      </c>
      <c r="T11" s="677">
        <f>IF($R$22&lt;$S$22,R11,IF($R$12&lt;$S$12,R11,IF(AND($R$12&gt;$S$12,$R$20&lt;$S$20),(($S$7+$S$8+$S$9+$S$10+$S$11)+($S$20-$R$20))/($R$7+$R$8+$R$9+$R$10+$R$11)*R11,R11/($R$7+$R$8+$R$9+$R$10+$R$11)*($S$7+$S$8+$S$9+$S$10+$S$11))))</f>
        <v>6.6710522302828399E-3</v>
      </c>
      <c r="U11" s="680">
        <f t="shared" si="1"/>
        <v>5.3169597577291481E-3</v>
      </c>
      <c r="V11" s="372">
        <f t="shared" si="2"/>
        <v>1200</v>
      </c>
      <c r="W11" s="28">
        <f>ROUND($G$126,0)</f>
        <v>1200000</v>
      </c>
      <c r="X11" s="28">
        <v>0</v>
      </c>
      <c r="Y11" s="28">
        <f>SUM(W11:X11)</f>
        <v>1200000</v>
      </c>
      <c r="Z11" s="19">
        <f>$B$25*1000</f>
        <v>100100000</v>
      </c>
      <c r="AA11" s="25">
        <f>Y11/Z11</f>
        <v>1.1988011988011988E-2</v>
      </c>
      <c r="AB11" s="159" t="s">
        <v>12</v>
      </c>
      <c r="AC11" s="20" t="s">
        <v>17</v>
      </c>
      <c r="AD11" s="125" t="s">
        <v>78</v>
      </c>
      <c r="AE11" s="127" t="s">
        <v>78</v>
      </c>
      <c r="AF11" s="28">
        <f>$H$126*$B$24*1000</f>
        <v>600599.40059940063</v>
      </c>
      <c r="AG11" s="28">
        <f>$H$126*$E$24*1000</f>
        <v>419580.41958041955</v>
      </c>
      <c r="AH11" s="28">
        <f>$H$126*$H$24*1000</f>
        <v>179820.17982017982</v>
      </c>
      <c r="AI11" s="28">
        <f t="shared" si="6"/>
        <v>1200000</v>
      </c>
      <c r="AJ11" s="19">
        <f>$B$24*1000</f>
        <v>50100000</v>
      </c>
      <c r="AK11" s="19">
        <f>$E$24*1000</f>
        <v>35000000</v>
      </c>
      <c r="AL11" s="19">
        <f>$H$24*1000</f>
        <v>15000000</v>
      </c>
      <c r="AM11" s="19">
        <f t="shared" si="7"/>
        <v>100100000</v>
      </c>
      <c r="AN11" s="25">
        <f>AI11/AM11</f>
        <v>1.1988011988011988E-2</v>
      </c>
      <c r="AO11" s="56">
        <f>ROUND(AJ11/$B$24,3)</f>
        <v>1000</v>
      </c>
      <c r="AP11" s="56">
        <f>ROUND(AK11/$E$24,3)</f>
        <v>1000</v>
      </c>
      <c r="AQ11" s="56">
        <f>IF($H$24&lt;&gt;0,ROUND(AL11/$H$24,3),0)</f>
        <v>1000</v>
      </c>
      <c r="AR11" s="384">
        <f>U11*$R$24</f>
        <v>532.22767174868773</v>
      </c>
      <c r="AS11" s="384">
        <f t="shared" si="8"/>
        <v>266.37968386223037</v>
      </c>
      <c r="AT11" s="384">
        <f t="shared" si="3"/>
        <v>186.09359152052019</v>
      </c>
      <c r="AU11" s="384">
        <f t="shared" si="3"/>
        <v>79.754396365937225</v>
      </c>
    </row>
    <row r="12" spans="1:47">
      <c r="A12" s="192" t="s">
        <v>169</v>
      </c>
      <c r="B12" s="675">
        <f t="shared" ref="B12:D12" si="9">SUM(B6:B11)</f>
        <v>0.12637069243543622</v>
      </c>
      <c r="C12" s="251">
        <f t="shared" si="9"/>
        <v>0.1095003283519153</v>
      </c>
      <c r="D12" s="673">
        <f t="shared" si="9"/>
        <v>7.348804939443998E-2</v>
      </c>
      <c r="E12" s="675">
        <f>SUM(E6:E11)</f>
        <v>0.26308398602292449</v>
      </c>
      <c r="F12" s="251">
        <f t="shared" ref="F12" si="10">SUM(F6:F11)</f>
        <v>0.24771621264247379</v>
      </c>
      <c r="G12" s="673">
        <f>SUM(G6:G11)</f>
        <v>0.17676412961272434</v>
      </c>
      <c r="H12" s="675">
        <f>SUM(H6:H11)</f>
        <v>0.69859156320158777</v>
      </c>
      <c r="I12" s="251">
        <f t="shared" ref="I12" si="11">SUM(I6:I11)</f>
        <v>0.67562483269691287</v>
      </c>
      <c r="J12" s="673">
        <f>SUM(J6:J11)</f>
        <v>0.61542417461504784</v>
      </c>
      <c r="K12" s="675">
        <f>SUM(K6:K11)</f>
        <v>0.35663587282400694</v>
      </c>
      <c r="L12" s="251">
        <f t="shared" ref="L12" si="12">SUM(L6:L11)</f>
        <v>0.34552618637426513</v>
      </c>
      <c r="M12" s="673">
        <f>SUM(M6:M11)</f>
        <v>0</v>
      </c>
      <c r="N12" s="675">
        <f>SUM(N6:N11)</f>
        <v>0.22694190173832524</v>
      </c>
      <c r="O12" s="251">
        <f t="shared" ref="O12" si="13">SUM(O6:O11)</f>
        <v>0.24828093149150646</v>
      </c>
      <c r="P12" s="673">
        <f>SUM(P6:P11)</f>
        <v>0</v>
      </c>
      <c r="Q12" s="23"/>
      <c r="R12" s="675">
        <f>SUM(R6:R11)</f>
        <v>0.25991992657184343</v>
      </c>
      <c r="S12" s="251">
        <f t="shared" ref="S12:U12" si="14">SUM(S6:S11)</f>
        <v>0.21621071155440802</v>
      </c>
      <c r="T12" s="251">
        <f t="shared" si="14"/>
        <v>0.21621071155440805</v>
      </c>
      <c r="U12" s="673">
        <f t="shared" si="14"/>
        <v>4.3709215017435375E-2</v>
      </c>
      <c r="V12" s="1">
        <f>SUM(V7:V11)</f>
        <v>9864.8589439999996</v>
      </c>
      <c r="W12" s="29">
        <f>SUM(W7:W11)</f>
        <v>9864859</v>
      </c>
      <c r="X12" s="29">
        <f>SUM(X7:X11)</f>
        <v>0</v>
      </c>
      <c r="Y12" s="29">
        <f>SUM(Y7:Y11)</f>
        <v>9864859</v>
      </c>
      <c r="Z12" s="19"/>
      <c r="AA12" s="19"/>
      <c r="AB12" s="159"/>
      <c r="AC12" s="20"/>
      <c r="AD12" s="125"/>
      <c r="AE12" s="127"/>
      <c r="AF12" s="29">
        <f>SUM(AF7:AF11)</f>
        <v>4012310.4347092905</v>
      </c>
      <c r="AG12" s="29">
        <f>SUM(AG7:AG11)</f>
        <v>4096783.8965034964</v>
      </c>
      <c r="AH12" s="29">
        <f>SUM(AH7:AH11)</f>
        <v>1755763.8127872129</v>
      </c>
      <c r="AI12" s="29">
        <f>SUM(AI7:AI11)</f>
        <v>9864858.1439999994</v>
      </c>
      <c r="AJ12" s="19"/>
      <c r="AK12" s="19"/>
      <c r="AL12" s="19"/>
      <c r="AM12" s="19"/>
      <c r="AN12" s="19"/>
      <c r="AO12" s="19"/>
      <c r="AP12" s="19"/>
      <c r="AQ12" s="19"/>
      <c r="AR12" s="102">
        <f>SUM(AR7:AR11)</f>
        <v>4375.2924232452815</v>
      </c>
      <c r="AS12" s="102">
        <f t="shared" ref="AS12:AU12" si="15">SUM(AS7:AS11)</f>
        <v>1779.5524950609802</v>
      </c>
      <c r="AT12" s="102">
        <f t="shared" si="15"/>
        <v>1817.017949729011</v>
      </c>
      <c r="AU12" s="102">
        <f t="shared" si="15"/>
        <v>778.72197845529035</v>
      </c>
    </row>
    <row r="13" spans="1:47">
      <c r="A13" s="17"/>
      <c r="B13" s="681"/>
      <c r="C13" s="251"/>
      <c r="D13" s="673"/>
      <c r="E13" s="681"/>
      <c r="F13" s="251"/>
      <c r="G13" s="682"/>
      <c r="H13" s="675"/>
      <c r="I13" s="251"/>
      <c r="J13" s="673"/>
      <c r="K13" s="675"/>
      <c r="L13" s="251"/>
      <c r="M13" s="673"/>
      <c r="N13" s="675"/>
      <c r="O13" s="251"/>
      <c r="P13" s="673"/>
      <c r="Q13" s="23"/>
      <c r="R13" s="675"/>
      <c r="S13" s="251"/>
      <c r="T13" s="251"/>
      <c r="U13" s="673"/>
      <c r="W13" s="29"/>
      <c r="X13" s="29"/>
      <c r="Y13" s="29"/>
      <c r="Z13" s="19"/>
      <c r="AA13" s="19"/>
      <c r="AB13" s="159"/>
      <c r="AC13" s="20"/>
      <c r="AD13" s="125"/>
      <c r="AE13" s="127"/>
      <c r="AF13" s="29"/>
      <c r="AG13" s="29"/>
      <c r="AH13" s="29"/>
      <c r="AI13" s="29"/>
      <c r="AJ13" s="19"/>
      <c r="AK13" s="19"/>
      <c r="AL13" s="19"/>
      <c r="AM13" s="19"/>
      <c r="AN13" s="19"/>
      <c r="AO13" s="19"/>
      <c r="AP13" s="19"/>
      <c r="AQ13" s="19"/>
      <c r="AR13" s="102"/>
      <c r="AS13" s="102"/>
      <c r="AT13" s="102"/>
      <c r="AU13" s="102"/>
    </row>
    <row r="14" spans="1:47">
      <c r="A14" s="17" t="s">
        <v>18</v>
      </c>
      <c r="B14" s="675">
        <f>IF($B$24&lt;&gt;0,$F$89/$B$24/1000,0)</f>
        <v>3.0526660310956549E-2</v>
      </c>
      <c r="C14" s="251">
        <v>1.3083500137702623E-2</v>
      </c>
      <c r="D14" s="673">
        <v>1.5388494196625942E-2</v>
      </c>
      <c r="E14" s="675">
        <f>$H$89/($E$24+$H$24)/1000</f>
        <v>3.0526660310956556E-2</v>
      </c>
      <c r="F14" s="251">
        <v>1.53156155139797E-2</v>
      </c>
      <c r="G14" s="673">
        <v>1.5854473602379751E-2</v>
      </c>
      <c r="H14" s="675">
        <f>IF($H$24&lt;&gt;0,$H$89/($E$24+$H$24)/1000,0)</f>
        <v>3.0526660310956556E-2</v>
      </c>
      <c r="I14" s="251">
        <v>3.573798653808815E-2</v>
      </c>
      <c r="J14" s="673">
        <v>5.5160287540776363E-2</v>
      </c>
      <c r="K14" s="675">
        <f t="shared" ref="K14:K19" si="16">B14</f>
        <v>3.0526660310956549E-2</v>
      </c>
      <c r="L14" s="251">
        <v>1.4090322130317941E-2</v>
      </c>
      <c r="M14" s="673">
        <v>0</v>
      </c>
      <c r="N14" s="675">
        <f t="shared" ref="N14:N19" si="17">B14</f>
        <v>3.0526660310956549E-2</v>
      </c>
      <c r="O14" s="251">
        <v>1.3746770580548814E-2</v>
      </c>
      <c r="P14" s="673">
        <v>0</v>
      </c>
      <c r="Q14" s="23"/>
      <c r="R14" s="675">
        <f t="shared" ref="R14:R19" si="18">(B14*B$24+E14*E$24+H14*H$24+K14*K$24+N14*N$24)/R$24</f>
        <v>3.0526660310956553E-2</v>
      </c>
      <c r="S14" s="251">
        <v>1.130844702467344E-2</v>
      </c>
      <c r="T14" s="251">
        <f>R14</f>
        <v>3.0526660310956553E-2</v>
      </c>
      <c r="U14" s="673">
        <f t="shared" ref="U14:U19" si="19">R14-T14</f>
        <v>0</v>
      </c>
      <c r="V14" s="1">
        <f t="shared" ref="V14:V19" si="20">R14*$R$24</f>
        <v>3055.7186971267511</v>
      </c>
      <c r="W14" s="24">
        <f>ROUND($D$78,0)</f>
        <v>3055719</v>
      </c>
      <c r="X14" s="24">
        <f>ROUND($D$77,0)</f>
        <v>48876</v>
      </c>
      <c r="Y14" s="24">
        <f t="shared" ref="Y14:Y19" si="21">SUM(W14:X14)</f>
        <v>3104595</v>
      </c>
      <c r="Z14" s="19">
        <f>$B$76</f>
        <v>99348</v>
      </c>
      <c r="AA14" s="25">
        <f t="shared" ref="AA14:AA19" si="22">Y14/Z14</f>
        <v>31.249698031163184</v>
      </c>
      <c r="AB14" s="159" t="s">
        <v>19</v>
      </c>
      <c r="AC14" s="20" t="s">
        <v>20</v>
      </c>
      <c r="AD14" s="125" t="s">
        <v>78</v>
      </c>
      <c r="AE14" s="127" t="s">
        <v>78</v>
      </c>
      <c r="AF14" s="24">
        <f>$F89</f>
        <v>1529385.6815789232</v>
      </c>
      <c r="AG14" s="24">
        <f>$H89/($E$24+$H$24)*E24</f>
        <v>1068433.1108834795</v>
      </c>
      <c r="AH14" s="24">
        <f>$H89/($E$24+$H$24)*H24</f>
        <v>457899.90466434835</v>
      </c>
      <c r="AI14" s="24">
        <f t="shared" ref="AI14:AI19" si="23">SUM(AF14:AH14)</f>
        <v>3055718.6971267513</v>
      </c>
      <c r="AJ14" s="19">
        <f>$E89</f>
        <v>48940.811875624371</v>
      </c>
      <c r="AK14" s="19">
        <f>$G89/($E$24+$H$24)*E24</f>
        <v>34190.187937062932</v>
      </c>
      <c r="AL14" s="19">
        <f>$G89/($E$24+$H$24)*H24</f>
        <v>14652.937687312686</v>
      </c>
      <c r="AM14" s="19">
        <f t="shared" ref="AM14:AM19" si="24">SUM(AJ14:AL14)</f>
        <v>97783.9375</v>
      </c>
      <c r="AN14" s="25">
        <f t="shared" ref="AN14:AN19" si="25">AI14/AM14</f>
        <v>31.249699851028716</v>
      </c>
      <c r="AO14" s="56">
        <f t="shared" ref="AO14:AO19" si="26">ROUND(AJ14/$B$24,3)</f>
        <v>0.97699999999999998</v>
      </c>
      <c r="AP14" s="56">
        <f t="shared" ref="AP14:AP19" si="27">ROUND(AK14/$E$24,3)</f>
        <v>0.97699999999999998</v>
      </c>
      <c r="AQ14" s="56">
        <f t="shared" ref="AQ14:AQ19" si="28">IF($H$24&lt;&gt;0,ROUND(AL14/$H$24,3),0)</f>
        <v>0.97699999999999998</v>
      </c>
      <c r="AR14" s="241">
        <f t="shared" ref="AR14:AR19" si="29">U14*$R$24</f>
        <v>0</v>
      </c>
      <c r="AS14" s="241">
        <f t="shared" ref="AS14:AU19" si="30">$AR14/$AM14*AJ14</f>
        <v>0</v>
      </c>
      <c r="AT14" s="241">
        <f t="shared" si="30"/>
        <v>0</v>
      </c>
      <c r="AU14" s="241">
        <f t="shared" si="30"/>
        <v>0</v>
      </c>
    </row>
    <row r="15" spans="1:47">
      <c r="A15" s="17" t="s">
        <v>21</v>
      </c>
      <c r="B15" s="675">
        <f>IF($B$24&lt;&gt;0,$F$90/$B$24/1000,0)</f>
        <v>1.2046029381818183E-2</v>
      </c>
      <c r="C15" s="251">
        <v>5.5430532793763086E-3</v>
      </c>
      <c r="D15" s="673">
        <v>5.4755569051261627E-3</v>
      </c>
      <c r="E15" s="675">
        <f>$H$90/($E$24+$H$24)/1000</f>
        <v>1.2046029381818183E-2</v>
      </c>
      <c r="F15" s="251">
        <v>6.4201194447931816E-3</v>
      </c>
      <c r="G15" s="673">
        <v>5.6361084910507321E-3</v>
      </c>
      <c r="H15" s="675">
        <f>IF($H$24&lt;&gt;0,$H$90/($E$24+$H$24)/1000,0)</f>
        <v>1.2046029381818183E-2</v>
      </c>
      <c r="I15" s="251">
        <v>1.4775811274351177E-2</v>
      </c>
      <c r="J15" s="673">
        <v>1.9178790176000004E-2</v>
      </c>
      <c r="K15" s="675">
        <f t="shared" si="16"/>
        <v>1.2046029381818183E-2</v>
      </c>
      <c r="L15" s="251">
        <v>6.1446048803393584E-3</v>
      </c>
      <c r="M15" s="673">
        <v>0</v>
      </c>
      <c r="N15" s="675">
        <f t="shared" si="17"/>
        <v>1.2046029381818183E-2</v>
      </c>
      <c r="O15" s="251">
        <v>6.2273100616016428E-3</v>
      </c>
      <c r="P15" s="673">
        <v>0</v>
      </c>
      <c r="Q15" s="23"/>
      <c r="R15" s="675">
        <f t="shared" si="18"/>
        <v>1.2046029381818184E-2</v>
      </c>
      <c r="S15" s="251">
        <v>5.2712801161103051E-3</v>
      </c>
      <c r="T15" s="251">
        <f>S22-T12-T14</f>
        <v>8.1436444785935001E-3</v>
      </c>
      <c r="U15" s="673">
        <f t="shared" si="19"/>
        <v>3.9023849032246843E-3</v>
      </c>
      <c r="V15" s="1">
        <f t="shared" si="20"/>
        <v>1205.8075411200002</v>
      </c>
      <c r="W15" s="24">
        <f>ROUND($H$76,0)</f>
        <v>1205808</v>
      </c>
      <c r="X15" s="24">
        <v>0</v>
      </c>
      <c r="Y15" s="24">
        <f t="shared" si="21"/>
        <v>1205808</v>
      </c>
      <c r="Z15" s="19">
        <f>$F$76</f>
        <v>36691.200000000004</v>
      </c>
      <c r="AA15" s="25">
        <f t="shared" si="22"/>
        <v>32.863683935112505</v>
      </c>
      <c r="AB15" s="159" t="s">
        <v>19</v>
      </c>
      <c r="AC15" s="20" t="s">
        <v>22</v>
      </c>
      <c r="AD15" s="125" t="s">
        <v>78</v>
      </c>
      <c r="AE15" s="127" t="s">
        <v>78</v>
      </c>
      <c r="AF15" s="24">
        <f>$F90</f>
        <v>603506.07202909095</v>
      </c>
      <c r="AG15" s="24">
        <f>$H90/($E$24+$H$24)*E24</f>
        <v>421611.0283636364</v>
      </c>
      <c r="AH15" s="24">
        <f>$H90/($E$24+$H$24)*H24</f>
        <v>180690.44072727274</v>
      </c>
      <c r="AI15" s="24">
        <f t="shared" si="23"/>
        <v>1205807.5411200002</v>
      </c>
      <c r="AJ15" s="19">
        <f>$E90</f>
        <v>18363.927272727273</v>
      </c>
      <c r="AK15" s="19">
        <f>$G90/($E$24+$H$24)*E24</f>
        <v>12829.09090909091</v>
      </c>
      <c r="AL15" s="19">
        <f>$G90/($E$24+$H$24)*H24</f>
        <v>5498.181818181818</v>
      </c>
      <c r="AM15" s="19">
        <f t="shared" si="24"/>
        <v>36691.199999999997</v>
      </c>
      <c r="AN15" s="25">
        <f t="shared" si="25"/>
        <v>32.863671428571436</v>
      </c>
      <c r="AO15" s="56">
        <f t="shared" si="26"/>
        <v>0.36699999999999999</v>
      </c>
      <c r="AP15" s="56">
        <f t="shared" si="27"/>
        <v>0.36699999999999999</v>
      </c>
      <c r="AQ15" s="56">
        <f t="shared" si="28"/>
        <v>0.36699999999999999</v>
      </c>
      <c r="AR15" s="241">
        <f t="shared" si="29"/>
        <v>390.62872881279088</v>
      </c>
      <c r="AS15" s="241">
        <f t="shared" si="30"/>
        <v>195.50948365155668</v>
      </c>
      <c r="AT15" s="241">
        <f t="shared" si="30"/>
        <v>136.58347161286395</v>
      </c>
      <c r="AU15" s="241">
        <f t="shared" si="30"/>
        <v>58.535773548370258</v>
      </c>
    </row>
    <row r="16" spans="1:47">
      <c r="A16" s="17" t="s">
        <v>23</v>
      </c>
      <c r="B16" s="672">
        <f>IF($B$24&lt;&gt;0,$F$91/$B$24/1000,0)</f>
        <v>1.6953216347934646E-2</v>
      </c>
      <c r="C16" s="251">
        <v>7.1493218677338953E-3</v>
      </c>
      <c r="D16" s="673">
        <v>9.3107449328913277E-3</v>
      </c>
      <c r="E16" s="672">
        <f>$H$91/($E$24+$H$24)/1000</f>
        <v>1.695321634793465E-2</v>
      </c>
      <c r="F16" s="251">
        <v>8.2509872979517947E-3</v>
      </c>
      <c r="G16" s="674">
        <v>9.5926838500795496E-3</v>
      </c>
      <c r="H16" s="672">
        <f>IF($H$24&lt;&gt;0,$H$91/($E$24+$H$24)/1000,0)</f>
        <v>1.695321634793465E-2</v>
      </c>
      <c r="I16" s="251">
        <v>1.9322726684356997E-2</v>
      </c>
      <c r="J16" s="673">
        <v>3.3374504428751707E-2</v>
      </c>
      <c r="K16" s="672">
        <f t="shared" si="16"/>
        <v>1.6953216347934646E-2</v>
      </c>
      <c r="L16" s="251">
        <v>8.0163111589140277E-3</v>
      </c>
      <c r="M16" s="673">
        <v>0</v>
      </c>
      <c r="N16" s="672">
        <f t="shared" si="17"/>
        <v>1.6953216347934646E-2</v>
      </c>
      <c r="O16" s="251">
        <v>7.4639163711032299E-3</v>
      </c>
      <c r="P16" s="673">
        <v>0</v>
      </c>
      <c r="Q16" s="23"/>
      <c r="R16" s="672">
        <f t="shared" si="18"/>
        <v>1.6953216347934646E-2</v>
      </c>
      <c r="S16" s="251">
        <v>8.0958838896952098E-3</v>
      </c>
      <c r="T16" s="251">
        <f>S22-T12-T14-T15</f>
        <v>0</v>
      </c>
      <c r="U16" s="673">
        <f t="shared" si="19"/>
        <v>1.6953216347934646E-2</v>
      </c>
      <c r="V16" s="1">
        <f t="shared" si="20"/>
        <v>1697.016956428258</v>
      </c>
      <c r="W16" s="24">
        <f>ROUND($D$86,0)</f>
        <v>1697017</v>
      </c>
      <c r="X16" s="24">
        <f>ROUND($D$85,0)</f>
        <v>27144</v>
      </c>
      <c r="Y16" s="24">
        <f t="shared" si="21"/>
        <v>1724161</v>
      </c>
      <c r="Z16" s="19">
        <f>$B$84</f>
        <v>99348</v>
      </c>
      <c r="AA16" s="25">
        <f t="shared" si="22"/>
        <v>17.354763055119378</v>
      </c>
      <c r="AB16" s="159" t="s">
        <v>19</v>
      </c>
      <c r="AC16" s="20" t="s">
        <v>24</v>
      </c>
      <c r="AD16" s="125" t="s">
        <v>78</v>
      </c>
      <c r="AE16" s="127" t="s">
        <v>78</v>
      </c>
      <c r="AF16" s="24">
        <f>$F91</f>
        <v>849356.13903152582</v>
      </c>
      <c r="AG16" s="24">
        <f>$H91/($E$24+$H$24)*E24</f>
        <v>593362.57217771269</v>
      </c>
      <c r="AH16" s="24">
        <f>$H91/($E$24+$H$24)*H24</f>
        <v>254298.24521901974</v>
      </c>
      <c r="AI16" s="24">
        <f t="shared" si="23"/>
        <v>1697016.9564282582</v>
      </c>
      <c r="AJ16" s="19">
        <f>$E91</f>
        <v>48940.811875624371</v>
      </c>
      <c r="AK16" s="19">
        <f>$G91/($E$24+$H$24)*E24</f>
        <v>34190.187937062939</v>
      </c>
      <c r="AL16" s="19">
        <f>$G91/($E$24+$H$24)*H24</f>
        <v>14652.937687312688</v>
      </c>
      <c r="AM16" s="19">
        <f t="shared" si="24"/>
        <v>97783.9375</v>
      </c>
      <c r="AN16" s="25">
        <f t="shared" si="25"/>
        <v>17.354761935499461</v>
      </c>
      <c r="AO16" s="56">
        <f t="shared" si="26"/>
        <v>0.97699999999999998</v>
      </c>
      <c r="AP16" s="56">
        <f t="shared" si="27"/>
        <v>0.97699999999999998</v>
      </c>
      <c r="AQ16" s="56">
        <f t="shared" si="28"/>
        <v>0.97699999999999998</v>
      </c>
      <c r="AR16" s="241">
        <f t="shared" si="29"/>
        <v>1697.016956428258</v>
      </c>
      <c r="AS16" s="241">
        <f t="shared" si="30"/>
        <v>849.35613903152569</v>
      </c>
      <c r="AT16" s="241">
        <f t="shared" si="30"/>
        <v>593.36257217771265</v>
      </c>
      <c r="AU16" s="241">
        <f t="shared" si="30"/>
        <v>254.29824521901969</v>
      </c>
    </row>
    <row r="17" spans="1:47">
      <c r="A17" s="26" t="s">
        <v>25</v>
      </c>
      <c r="B17" s="675">
        <f>IF($B$24&lt;&gt;0,$D$136,0)</f>
        <v>3.786213786213786E-3</v>
      </c>
      <c r="C17" s="251">
        <v>2.0941539157395359E-3</v>
      </c>
      <c r="D17" s="673">
        <v>1.4661647544929397E-3</v>
      </c>
      <c r="E17" s="675">
        <f>$E$136</f>
        <v>3.786213786213786E-3</v>
      </c>
      <c r="F17" s="251">
        <v>2.2554739961018855E-3</v>
      </c>
      <c r="G17" s="673">
        <v>1.5091549161585364E-3</v>
      </c>
      <c r="H17" s="675">
        <f>IF($H$24&lt;&gt;0,$E$136,0)</f>
        <v>3.786213786213786E-3</v>
      </c>
      <c r="I17" s="251">
        <v>1.9750708691994045E-3</v>
      </c>
      <c r="J17" s="673">
        <v>5.1354166666666666E-3</v>
      </c>
      <c r="K17" s="675">
        <f t="shared" si="16"/>
        <v>3.786213786213786E-3</v>
      </c>
      <c r="L17" s="251">
        <v>2.4827481177601583E-3</v>
      </c>
      <c r="M17" s="673">
        <v>0</v>
      </c>
      <c r="N17" s="675">
        <f t="shared" si="17"/>
        <v>3.786213786213786E-3</v>
      </c>
      <c r="O17" s="251">
        <v>2.5772820608549562E-3</v>
      </c>
      <c r="P17" s="673">
        <v>0</v>
      </c>
      <c r="Q17" s="23"/>
      <c r="R17" s="675">
        <f t="shared" si="18"/>
        <v>3.7862137862137864E-3</v>
      </c>
      <c r="S17" s="251">
        <v>2.0913265602322205E-3</v>
      </c>
      <c r="T17" s="251">
        <f>S22-T12-T14-T15-T16</f>
        <v>0</v>
      </c>
      <c r="U17" s="673">
        <f t="shared" si="19"/>
        <v>3.7862137862137864E-3</v>
      </c>
      <c r="V17" s="1">
        <f t="shared" si="20"/>
        <v>379</v>
      </c>
      <c r="W17" s="24">
        <f>ROUND($C$136,0)</f>
        <v>379000</v>
      </c>
      <c r="X17" s="24">
        <v>0</v>
      </c>
      <c r="Y17" s="24">
        <f t="shared" si="21"/>
        <v>379000</v>
      </c>
      <c r="Z17" s="19">
        <f>$B$25*1000</f>
        <v>100100000</v>
      </c>
      <c r="AA17" s="25">
        <f t="shared" si="22"/>
        <v>3.7862137862137864E-3</v>
      </c>
      <c r="AB17" s="159" t="s">
        <v>12</v>
      </c>
      <c r="AC17" s="20" t="s">
        <v>26</v>
      </c>
      <c r="AD17" s="125" t="s">
        <v>99</v>
      </c>
      <c r="AE17" s="127">
        <v>1</v>
      </c>
      <c r="AF17" s="24">
        <f>$D$136*$B$24*1000</f>
        <v>189689.31068931066</v>
      </c>
      <c r="AG17" s="24">
        <f>$E$136*$E$24*1000</f>
        <v>132517.48251748251</v>
      </c>
      <c r="AH17" s="24">
        <f>$E$136*$H$24*1000</f>
        <v>56793.206793206795</v>
      </c>
      <c r="AI17" s="24">
        <f t="shared" si="23"/>
        <v>378999.99999999994</v>
      </c>
      <c r="AJ17" s="19">
        <f t="shared" ref="AJ17:AL18" si="31">ROUND(AF17/$AA17,0)</f>
        <v>50100000</v>
      </c>
      <c r="AK17" s="19">
        <f t="shared" si="31"/>
        <v>35000000</v>
      </c>
      <c r="AL17" s="19">
        <f t="shared" si="31"/>
        <v>15000000</v>
      </c>
      <c r="AM17" s="19">
        <f t="shared" si="24"/>
        <v>100100000</v>
      </c>
      <c r="AN17" s="25">
        <f t="shared" si="25"/>
        <v>3.7862137862137856E-3</v>
      </c>
      <c r="AO17" s="56">
        <f t="shared" si="26"/>
        <v>1000</v>
      </c>
      <c r="AP17" s="56">
        <f t="shared" si="27"/>
        <v>1000</v>
      </c>
      <c r="AQ17" s="56">
        <f t="shared" si="28"/>
        <v>1000</v>
      </c>
      <c r="AR17" s="241">
        <f t="shared" si="29"/>
        <v>379</v>
      </c>
      <c r="AS17" s="241">
        <f t="shared" si="30"/>
        <v>189.68931068931067</v>
      </c>
      <c r="AT17" s="241">
        <f t="shared" si="30"/>
        <v>132.51748251748251</v>
      </c>
      <c r="AU17" s="241">
        <f t="shared" si="30"/>
        <v>56.793206793206792</v>
      </c>
    </row>
    <row r="18" spans="1:47">
      <c r="A18" s="26" t="s">
        <v>27</v>
      </c>
      <c r="B18" s="675">
        <f>IF($B$24&lt;&gt;0,$D$137,0)</f>
        <v>3.996003996003996E-3</v>
      </c>
      <c r="C18" s="251">
        <v>2.2245575361439971E-3</v>
      </c>
      <c r="D18" s="673">
        <v>1.1301067073170733E-3</v>
      </c>
      <c r="E18" s="675">
        <f>$E$137</f>
        <v>3.996003996003996E-3</v>
      </c>
      <c r="F18" s="251">
        <v>2.5373784106710764E-3</v>
      </c>
      <c r="G18" s="673">
        <v>1.1632431402439022E-3</v>
      </c>
      <c r="H18" s="675">
        <f>IF($H$24&lt;&gt;0,$E$137,0)</f>
        <v>3.996003996003996E-3</v>
      </c>
      <c r="I18" s="251">
        <v>1.7392298233124069E-3</v>
      </c>
      <c r="J18" s="673">
        <v>3.9583333333333337E-3</v>
      </c>
      <c r="K18" s="675">
        <f t="shared" si="16"/>
        <v>3.996003996003996E-3</v>
      </c>
      <c r="L18" s="251">
        <v>2.1055704146479984E-3</v>
      </c>
      <c r="M18" s="673">
        <v>0</v>
      </c>
      <c r="N18" s="675">
        <f t="shared" si="17"/>
        <v>3.996003996003996E-3</v>
      </c>
      <c r="O18" s="251">
        <v>4.2373716632443529E-3</v>
      </c>
      <c r="P18" s="673">
        <v>0</v>
      </c>
      <c r="Q18" s="23"/>
      <c r="R18" s="675">
        <f t="shared" si="18"/>
        <v>3.996003996003996E-3</v>
      </c>
      <c r="S18" s="251">
        <v>3.1981538461538462E-3</v>
      </c>
      <c r="T18" s="251">
        <f>S22-T12-T14-T15-T16-T17</f>
        <v>0</v>
      </c>
      <c r="U18" s="673">
        <f t="shared" si="19"/>
        <v>3.996003996003996E-3</v>
      </c>
      <c r="V18" s="1">
        <f t="shared" si="20"/>
        <v>400</v>
      </c>
      <c r="W18" s="24">
        <f>ROUND($C$137,0)</f>
        <v>400000</v>
      </c>
      <c r="X18" s="24">
        <v>0</v>
      </c>
      <c r="Y18" s="24">
        <f t="shared" si="21"/>
        <v>400000</v>
      </c>
      <c r="Z18" s="19">
        <f>$B$25*1000</f>
        <v>100100000</v>
      </c>
      <c r="AA18" s="25">
        <f t="shared" si="22"/>
        <v>3.996003996003996E-3</v>
      </c>
      <c r="AB18" s="159" t="s">
        <v>12</v>
      </c>
      <c r="AC18" s="20" t="s">
        <v>28</v>
      </c>
      <c r="AD18" s="125" t="s">
        <v>78</v>
      </c>
      <c r="AE18" s="127" t="s">
        <v>78</v>
      </c>
      <c r="AF18" s="24">
        <f>$D$137*$B$24*1000</f>
        <v>200199.8001998002</v>
      </c>
      <c r="AG18" s="24">
        <f>$E$137*$E$24*1000</f>
        <v>139860.13986013987</v>
      </c>
      <c r="AH18" s="24">
        <f>$E$137*$H$24*1000</f>
        <v>59940.059940059939</v>
      </c>
      <c r="AI18" s="24">
        <f t="shared" si="23"/>
        <v>400000.00000000006</v>
      </c>
      <c r="AJ18" s="19">
        <f t="shared" si="31"/>
        <v>50100000</v>
      </c>
      <c r="AK18" s="19">
        <f t="shared" si="31"/>
        <v>35000000</v>
      </c>
      <c r="AL18" s="19">
        <f t="shared" si="31"/>
        <v>15000000</v>
      </c>
      <c r="AM18" s="19">
        <f t="shared" si="24"/>
        <v>100100000</v>
      </c>
      <c r="AN18" s="25">
        <f t="shared" si="25"/>
        <v>3.9960039960039969E-3</v>
      </c>
      <c r="AO18" s="56">
        <f t="shared" si="26"/>
        <v>1000</v>
      </c>
      <c r="AP18" s="56">
        <f t="shared" si="27"/>
        <v>1000</v>
      </c>
      <c r="AQ18" s="56">
        <f t="shared" si="28"/>
        <v>1000</v>
      </c>
      <c r="AR18" s="241">
        <f t="shared" si="29"/>
        <v>400</v>
      </c>
      <c r="AS18" s="241">
        <f t="shared" si="30"/>
        <v>200.19980019980022</v>
      </c>
      <c r="AT18" s="241">
        <f t="shared" si="30"/>
        <v>139.86013986013987</v>
      </c>
      <c r="AU18" s="241">
        <f t="shared" si="30"/>
        <v>59.940059940059946</v>
      </c>
    </row>
    <row r="19" spans="1:47" ht="15">
      <c r="A19" s="26" t="s">
        <v>29</v>
      </c>
      <c r="B19" s="679">
        <f>IF($B$24&lt;&gt;0,$D$138,0)</f>
        <v>1.278661458302177E-2</v>
      </c>
      <c r="C19" s="252">
        <v>2.3696806690411271E-2</v>
      </c>
      <c r="D19" s="680">
        <v>1.276747432605905E-2</v>
      </c>
      <c r="E19" s="679">
        <f>$E$138</f>
        <v>7.7907812187812189E-2</v>
      </c>
      <c r="F19" s="252">
        <v>7.9572806570752497E-2</v>
      </c>
      <c r="G19" s="680">
        <v>4.9354496951219511E-2</v>
      </c>
      <c r="H19" s="679">
        <f>IF($H$24&lt;&gt;0,$E$138,0)</f>
        <v>7.7907812187812189E-2</v>
      </c>
      <c r="I19" s="252">
        <v>2.6228571613487798E-2</v>
      </c>
      <c r="J19" s="680">
        <v>6.6666666666666666E-2</v>
      </c>
      <c r="K19" s="679">
        <f t="shared" si="16"/>
        <v>1.278661458302177E-2</v>
      </c>
      <c r="L19" s="252">
        <v>2.1028799142085709E-2</v>
      </c>
      <c r="M19" s="680">
        <v>0</v>
      </c>
      <c r="N19" s="679">
        <f t="shared" si="17"/>
        <v>1.278661458302177E-2</v>
      </c>
      <c r="O19" s="252">
        <v>3.0451932051521375E-2</v>
      </c>
      <c r="P19" s="680">
        <v>0</v>
      </c>
      <c r="Q19" s="31"/>
      <c r="R19" s="679">
        <f t="shared" si="18"/>
        <v>4.5314685314685313E-2</v>
      </c>
      <c r="S19" s="252">
        <v>8.7052133526850511E-3</v>
      </c>
      <c r="T19" s="252">
        <f>S22-T12-T14-T15-T16-T17-T18</f>
        <v>0</v>
      </c>
      <c r="U19" s="680">
        <f t="shared" si="19"/>
        <v>4.5314685314685313E-2</v>
      </c>
      <c r="V19" s="372">
        <f t="shared" si="20"/>
        <v>4536</v>
      </c>
      <c r="W19" s="28">
        <f>ROUND($C$138,0)</f>
        <v>4536000</v>
      </c>
      <c r="X19" s="28">
        <v>0</v>
      </c>
      <c r="Y19" s="28">
        <f t="shared" si="21"/>
        <v>4536000</v>
      </c>
      <c r="Z19" s="19">
        <f>$B$25*1000</f>
        <v>100100000</v>
      </c>
      <c r="AA19" s="25">
        <f t="shared" si="22"/>
        <v>4.5314685314685313E-2</v>
      </c>
      <c r="AB19" s="159" t="s">
        <v>12</v>
      </c>
      <c r="AC19" s="20" t="s">
        <v>30</v>
      </c>
      <c r="AD19" s="125" t="s">
        <v>78</v>
      </c>
      <c r="AE19" s="127" t="s">
        <v>78</v>
      </c>
      <c r="AF19" s="28">
        <f>$D$138*$B$24*1000</f>
        <v>640609.39060939068</v>
      </c>
      <c r="AG19" s="28">
        <f>$E$138*$E$24*1000</f>
        <v>2726773.4265734265</v>
      </c>
      <c r="AH19" s="28">
        <f>$E$138*$H$24*1000</f>
        <v>1168617.1828171827</v>
      </c>
      <c r="AI19" s="28">
        <f t="shared" si="23"/>
        <v>4536000</v>
      </c>
      <c r="AJ19" s="19">
        <f>AF19/$AA19</f>
        <v>14136904.761904765</v>
      </c>
      <c r="AK19" s="19">
        <f>AG19/$AA19</f>
        <v>60174166.666666664</v>
      </c>
      <c r="AL19" s="19">
        <f>AH19/$AA19</f>
        <v>25788928.571428571</v>
      </c>
      <c r="AM19" s="19">
        <f t="shared" si="24"/>
        <v>100100000</v>
      </c>
      <c r="AN19" s="25">
        <f t="shared" si="25"/>
        <v>4.5314685314685313E-2</v>
      </c>
      <c r="AO19" s="56">
        <f t="shared" si="26"/>
        <v>282.17399999999998</v>
      </c>
      <c r="AP19" s="56">
        <f t="shared" si="27"/>
        <v>1719.2619999999999</v>
      </c>
      <c r="AQ19" s="56">
        <f t="shared" si="28"/>
        <v>1719.2619999999999</v>
      </c>
      <c r="AR19" s="384">
        <f t="shared" si="29"/>
        <v>4536</v>
      </c>
      <c r="AS19" s="384">
        <f t="shared" si="30"/>
        <v>640.60939060939074</v>
      </c>
      <c r="AT19" s="384">
        <f t="shared" si="30"/>
        <v>2726.7734265734266</v>
      </c>
      <c r="AU19" s="384">
        <f t="shared" si="30"/>
        <v>1168.6171828171828</v>
      </c>
    </row>
    <row r="20" spans="1:47">
      <c r="A20" s="192" t="s">
        <v>170</v>
      </c>
      <c r="B20" s="675">
        <f t="shared" ref="B20:D20" si="32">SUM(B14:B19)</f>
        <v>8.009473840594894E-2</v>
      </c>
      <c r="C20" s="251">
        <f t="shared" si="32"/>
        <v>5.3791393427107634E-2</v>
      </c>
      <c r="D20" s="673">
        <f t="shared" si="32"/>
        <v>4.553854182251249E-2</v>
      </c>
      <c r="E20" s="675">
        <f>SUM(E14:E19)</f>
        <v>0.14521593601073934</v>
      </c>
      <c r="F20" s="251">
        <f t="shared" ref="F20" si="33">SUM(F14:F19)</f>
        <v>0.11435238123425012</v>
      </c>
      <c r="G20" s="673">
        <f>SUM(G14:G19)</f>
        <v>8.3110160951131981E-2</v>
      </c>
      <c r="H20" s="675">
        <f>SUM(H14:H19)</f>
        <v>0.14521593601073934</v>
      </c>
      <c r="I20" s="251">
        <f t="shared" ref="I20" si="34">SUM(I14:I19)</f>
        <v>9.9779396802795933E-2</v>
      </c>
      <c r="J20" s="673">
        <f>SUM(J14:J19)</f>
        <v>0.18347399881219473</v>
      </c>
      <c r="K20" s="675">
        <f>SUM(K14:K19)</f>
        <v>8.009473840594894E-2</v>
      </c>
      <c r="L20" s="251">
        <f t="shared" ref="L20" si="35">SUM(L14:L19)</f>
        <v>5.3868355844065199E-2</v>
      </c>
      <c r="M20" s="673">
        <f>SUM(M14:M19)</f>
        <v>0</v>
      </c>
      <c r="N20" s="675">
        <f>SUM(N14:N19)</f>
        <v>8.009473840594894E-2</v>
      </c>
      <c r="O20" s="251">
        <f t="shared" ref="O20" si="36">SUM(O14:O19)</f>
        <v>6.4704582788874365E-2</v>
      </c>
      <c r="P20" s="673">
        <f>SUM(P14:P19)</f>
        <v>0</v>
      </c>
      <c r="Q20" s="23"/>
      <c r="R20" s="675">
        <f>SUM(R14:R19)</f>
        <v>0.11262280913761248</v>
      </c>
      <c r="S20" s="251">
        <f t="shared" ref="S20:U20" si="37">SUM(S14:S19)</f>
        <v>3.8670304789550067E-2</v>
      </c>
      <c r="T20" s="251">
        <f t="shared" si="37"/>
        <v>3.8670304789550053E-2</v>
      </c>
      <c r="U20" s="673">
        <f t="shared" si="37"/>
        <v>7.3952504348062428E-2</v>
      </c>
      <c r="V20" s="1">
        <f>SUM(V14:V19)</f>
        <v>11273.54319467501</v>
      </c>
      <c r="W20" s="32">
        <f>SUM(W14:W19)</f>
        <v>11273544</v>
      </c>
      <c r="X20" s="32">
        <f>SUM(X14:X19)</f>
        <v>76020</v>
      </c>
      <c r="Y20" s="32">
        <f>SUM(Y14:Y19)</f>
        <v>11349564</v>
      </c>
      <c r="Z20" s="19"/>
      <c r="AA20" s="19"/>
      <c r="AB20" s="265"/>
      <c r="AC20" s="21"/>
      <c r="AD20" s="125"/>
      <c r="AE20" s="127"/>
      <c r="AF20" s="32">
        <f>SUM(AF14:AF19)</f>
        <v>4012746.3941380414</v>
      </c>
      <c r="AG20" s="32">
        <f>SUM(AG14:AG19)</f>
        <v>5082557.7603758778</v>
      </c>
      <c r="AH20" s="32">
        <f>SUM(AH14:AH19)</f>
        <v>2178239.04016109</v>
      </c>
      <c r="AI20" s="32">
        <f>SUM(AI14:AI19)</f>
        <v>11273543.19467501</v>
      </c>
      <c r="AJ20" s="19"/>
      <c r="AK20" s="19"/>
      <c r="AL20" s="19"/>
      <c r="AM20" s="19"/>
      <c r="AN20" s="19"/>
      <c r="AO20" s="19"/>
      <c r="AP20" s="19"/>
      <c r="AQ20" s="19"/>
      <c r="AR20" s="385">
        <f>SUM(AR14:AR19)</f>
        <v>7402.6456852410483</v>
      </c>
      <c r="AS20" s="385">
        <f t="shared" ref="AS20:AU20" si="38">SUM(AS14:AS19)</f>
        <v>2075.364124181584</v>
      </c>
      <c r="AT20" s="385">
        <f t="shared" si="38"/>
        <v>3729.0970927416256</v>
      </c>
      <c r="AU20" s="385">
        <f t="shared" si="38"/>
        <v>1598.1844683178394</v>
      </c>
    </row>
    <row r="21" spans="1:47" ht="15">
      <c r="A21" s="26"/>
      <c r="B21" s="675"/>
      <c r="C21" s="251"/>
      <c r="D21" s="673"/>
      <c r="E21" s="675"/>
      <c r="F21" s="251"/>
      <c r="G21" s="673"/>
      <c r="H21" s="675"/>
      <c r="I21" s="251"/>
      <c r="J21" s="673"/>
      <c r="K21" s="675"/>
      <c r="L21" s="251"/>
      <c r="M21" s="673"/>
      <c r="N21" s="675"/>
      <c r="O21" s="251"/>
      <c r="P21" s="673"/>
      <c r="Q21" s="23"/>
      <c r="R21" s="675"/>
      <c r="S21" s="251"/>
      <c r="T21" s="251"/>
      <c r="U21" s="673"/>
      <c r="V21" s="1">
        <f>V12+V20</f>
        <v>21138.40213867501</v>
      </c>
      <c r="W21" s="247">
        <f>W12+W20</f>
        <v>21138403</v>
      </c>
      <c r="X21" s="247">
        <f>X12+X20</f>
        <v>76020</v>
      </c>
      <c r="Y21" s="247">
        <f>Y12+Y20</f>
        <v>21214423</v>
      </c>
      <c r="Z21" s="19"/>
      <c r="AA21" s="19"/>
      <c r="AB21" s="265"/>
      <c r="AC21" s="2"/>
      <c r="AD21" s="125"/>
      <c r="AE21" s="127"/>
      <c r="AF21" s="33">
        <f>AF12+AF20</f>
        <v>8025056.8288473319</v>
      </c>
      <c r="AG21" s="33">
        <f>AG12+AG20</f>
        <v>9179341.6568793748</v>
      </c>
      <c r="AH21" s="33">
        <f>AH12+AH20</f>
        <v>3934002.8529483029</v>
      </c>
      <c r="AI21" s="33">
        <f>AI12+AI20</f>
        <v>21138401.338675007</v>
      </c>
      <c r="AJ21" s="19"/>
      <c r="AK21" s="19"/>
      <c r="AL21" s="19"/>
      <c r="AM21" s="19"/>
      <c r="AN21" s="19"/>
      <c r="AO21" s="19"/>
      <c r="AP21" s="19"/>
      <c r="AQ21" s="19"/>
      <c r="AR21" s="386">
        <f>AR12+AR20</f>
        <v>11777.938108486331</v>
      </c>
      <c r="AS21" s="386">
        <f t="shared" ref="AS21:AU21" si="39">AS12+AS20</f>
        <v>3854.9166192425641</v>
      </c>
      <c r="AT21" s="386">
        <f t="shared" si="39"/>
        <v>5546.1150424706366</v>
      </c>
      <c r="AU21" s="386">
        <f t="shared" si="39"/>
        <v>2376.9064467731296</v>
      </c>
    </row>
    <row r="22" spans="1:47">
      <c r="A22" s="192" t="s">
        <v>171</v>
      </c>
      <c r="B22" s="669">
        <f t="shared" ref="B22:D22" si="40">B12+B20</f>
        <v>0.20646543084138516</v>
      </c>
      <c r="C22" s="670">
        <f t="shared" si="40"/>
        <v>0.16329172177902293</v>
      </c>
      <c r="D22" s="671">
        <f t="shared" si="40"/>
        <v>0.11902659121695247</v>
      </c>
      <c r="E22" s="669">
        <f>E12+E20</f>
        <v>0.40829992203366383</v>
      </c>
      <c r="F22" s="670">
        <f t="shared" ref="F22" si="41">F12+F20</f>
        <v>0.36206859387672391</v>
      </c>
      <c r="G22" s="671">
        <f>G12+G20</f>
        <v>0.2598742905638563</v>
      </c>
      <c r="H22" s="669">
        <f>H12+H20</f>
        <v>0.84380749921232712</v>
      </c>
      <c r="I22" s="670">
        <f t="shared" ref="I22" si="42">I12+I20</f>
        <v>0.77540422949970877</v>
      </c>
      <c r="J22" s="671">
        <f>J12+J20</f>
        <v>0.79889817342724256</v>
      </c>
      <c r="K22" s="669">
        <f>K12+K20</f>
        <v>0.43673061122995588</v>
      </c>
      <c r="L22" s="670">
        <f t="shared" ref="L22" si="43">L12+L20</f>
        <v>0.39939454221833032</v>
      </c>
      <c r="M22" s="671">
        <f>M12+M20</f>
        <v>0</v>
      </c>
      <c r="N22" s="669">
        <f>N12+N20</f>
        <v>0.30703664014427418</v>
      </c>
      <c r="O22" s="670">
        <f t="shared" ref="O22" si="44">O12+O20</f>
        <v>0.31298551428038079</v>
      </c>
      <c r="P22" s="671">
        <f>P12+P20</f>
        <v>0</v>
      </c>
      <c r="Q22" s="18"/>
      <c r="R22" s="669">
        <f>R12+R20</f>
        <v>0.3725427357094559</v>
      </c>
      <c r="S22" s="670">
        <f t="shared" ref="S22:U22" si="45">S12+S20</f>
        <v>0.2548810163439581</v>
      </c>
      <c r="T22" s="670">
        <f t="shared" si="45"/>
        <v>0.2548810163439581</v>
      </c>
      <c r="U22" s="671">
        <f t="shared" si="45"/>
        <v>0.1176617193654978</v>
      </c>
      <c r="V22" s="1">
        <f>V6+V21</f>
        <v>37291.527844516539</v>
      </c>
      <c r="W22" s="37"/>
      <c r="X22" s="37"/>
      <c r="Y22" s="37"/>
      <c r="Z22" s="19"/>
      <c r="AA22" s="19"/>
      <c r="AB22" s="265"/>
      <c r="AC22" s="36"/>
      <c r="AD22" s="1026" t="s">
        <v>31</v>
      </c>
      <c r="AE22" s="1026"/>
      <c r="AF22" s="38">
        <f>ROUND(AF21/AF24,5)</f>
        <v>0.16017999999999999</v>
      </c>
      <c r="AG22" s="38">
        <f>ROUND(AG21/AG24,5)</f>
        <v>0.26227</v>
      </c>
      <c r="AH22" s="38">
        <f>IF(AH24&lt;&gt;0,ROUND(AH21/AH24,5),0)</f>
        <v>0.26227</v>
      </c>
      <c r="AI22" s="38">
        <f>ROUND(AI21/AI24,5)</f>
        <v>0.21117</v>
      </c>
      <c r="AJ22" s="19"/>
      <c r="AK22" s="19"/>
      <c r="AL22" s="19"/>
      <c r="AM22" s="19"/>
      <c r="AN22" s="19"/>
      <c r="AO22" s="19"/>
      <c r="AP22" s="19"/>
      <c r="AQ22" s="19"/>
    </row>
    <row r="23" spans="1:47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48"/>
      <c r="L23" s="26"/>
      <c r="M23" s="318"/>
      <c r="N23" s="48"/>
      <c r="O23" s="26"/>
      <c r="P23" s="318"/>
      <c r="Q23" s="17"/>
      <c r="R23" s="48"/>
      <c r="S23" s="26"/>
      <c r="T23" s="26"/>
      <c r="U23" s="318"/>
      <c r="W23" s="37"/>
      <c r="X23" s="37"/>
      <c r="Y23" s="37"/>
      <c r="Z23" s="19"/>
      <c r="AA23" s="19"/>
      <c r="AB23" s="265"/>
      <c r="AC23" s="36"/>
      <c r="AD23" s="1026" t="s">
        <v>32</v>
      </c>
      <c r="AE23" s="1026"/>
      <c r="AF23" s="38">
        <f>ROUND(AF22+B6,5)</f>
        <v>0.20646</v>
      </c>
      <c r="AG23" s="38">
        <f>ROUND(AG22+E6,5)</f>
        <v>0.4083</v>
      </c>
      <c r="AH23" s="38">
        <f>IF(AH24&lt;&gt;0,ROUND(AH22+H6,5),0)</f>
        <v>0.84380999999999995</v>
      </c>
      <c r="AI23" s="38">
        <f>ROUND(AI22+(B6*B24+E6*E24+H6*H24)/B25,5)</f>
        <v>0.37253999999999998</v>
      </c>
      <c r="AJ23" s="19"/>
      <c r="AK23" s="19"/>
      <c r="AL23" s="19"/>
      <c r="AM23" s="19"/>
      <c r="AN23" s="19"/>
      <c r="AO23" s="19"/>
      <c r="AP23" s="19"/>
      <c r="AQ23" s="19"/>
    </row>
    <row r="24" spans="1:47">
      <c r="A24" s="192" t="s">
        <v>264</v>
      </c>
      <c r="B24" s="331">
        <f>$B$30+$B$31</f>
        <v>50100</v>
      </c>
      <c r="C24" s="26">
        <v>121112.435</v>
      </c>
      <c r="D24" s="77">
        <v>190000</v>
      </c>
      <c r="E24" s="331">
        <f>$B$32</f>
        <v>35000</v>
      </c>
      <c r="F24" s="26">
        <v>8379.4359999999997</v>
      </c>
      <c r="G24" s="77">
        <v>40000</v>
      </c>
      <c r="H24" s="331">
        <f>$B$33</f>
        <v>15000</v>
      </c>
      <c r="I24" s="26">
        <v>15451</v>
      </c>
      <c r="J24" s="77">
        <v>6000</v>
      </c>
      <c r="K24" s="331">
        <v>0</v>
      </c>
      <c r="L24" s="26">
        <v>630.36599999999999</v>
      </c>
      <c r="M24" s="77">
        <v>0</v>
      </c>
      <c r="N24" s="331">
        <v>0</v>
      </c>
      <c r="O24" s="26">
        <v>1071.4000000000001</v>
      </c>
      <c r="P24" s="77">
        <v>0</v>
      </c>
      <c r="Q24" s="26"/>
      <c r="R24" s="331">
        <f>B25</f>
        <v>100100</v>
      </c>
      <c r="S24" s="26"/>
      <c r="T24" s="26"/>
      <c r="U24" s="77"/>
      <c r="W24" s="41"/>
      <c r="X24" s="41"/>
      <c r="Y24" s="41"/>
      <c r="Z24" s="19"/>
      <c r="AA24" s="19"/>
      <c r="AB24" s="265"/>
      <c r="AC24" s="5"/>
      <c r="AD24" s="1026" t="s">
        <v>33</v>
      </c>
      <c r="AE24" s="1026"/>
      <c r="AF24" s="41">
        <f>ROUND(B24*1000,0)</f>
        <v>50100000</v>
      </c>
      <c r="AG24" s="41">
        <f>ROUND(E24*1000,0)</f>
        <v>35000000</v>
      </c>
      <c r="AH24" s="41">
        <f>ROUND(H24*1000,0)</f>
        <v>15000000</v>
      </c>
      <c r="AI24" s="41">
        <f>SUM(AF24:AH24)</f>
        <v>100100000</v>
      </c>
      <c r="AJ24" s="19"/>
      <c r="AK24" s="19"/>
      <c r="AL24" s="19"/>
      <c r="AM24" s="19"/>
      <c r="AN24" s="19"/>
      <c r="AO24" s="19"/>
      <c r="AP24" s="19"/>
      <c r="AQ24" s="19"/>
    </row>
    <row r="25" spans="1:47">
      <c r="A25" s="192" t="s">
        <v>265</v>
      </c>
      <c r="B25" s="686">
        <f>B24+E24+H24+K24+N24</f>
        <v>100100</v>
      </c>
      <c r="C25" s="687">
        <f>C24+F24+I24+L24+O24</f>
        <v>146644.63699999999</v>
      </c>
      <c r="D25" s="688">
        <f>D24+G24+J24+M24+P24</f>
        <v>236000</v>
      </c>
      <c r="E25" s="99"/>
      <c r="F25" s="72"/>
      <c r="G25" s="75"/>
      <c r="H25" s="99"/>
      <c r="I25" s="72"/>
      <c r="J25" s="75"/>
      <c r="K25" s="99"/>
      <c r="L25" s="72"/>
      <c r="M25" s="75"/>
      <c r="N25" s="99"/>
      <c r="O25" s="72"/>
      <c r="P25" s="75"/>
      <c r="R25" s="99"/>
      <c r="S25" s="72"/>
      <c r="T25" s="72"/>
      <c r="U25" s="75"/>
    </row>
    <row r="27" spans="1:47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R27" s="17"/>
      <c r="S27" s="199" t="s">
        <v>107</v>
      </c>
      <c r="T27" s="199" t="s">
        <v>310</v>
      </c>
      <c r="U27" s="199" t="s">
        <v>311</v>
      </c>
    </row>
    <row r="28" spans="1:47">
      <c r="A28" s="44"/>
      <c r="H28" s="45"/>
      <c r="R28" s="371" t="s">
        <v>471</v>
      </c>
      <c r="S28" s="1027" t="s">
        <v>312</v>
      </c>
      <c r="T28" s="1027"/>
      <c r="U28" s="1027"/>
    </row>
    <row r="29" spans="1:47">
      <c r="A29" s="190" t="s">
        <v>176</v>
      </c>
      <c r="B29" s="46" t="s">
        <v>168</v>
      </c>
      <c r="C29" s="46" t="s">
        <v>36</v>
      </c>
      <c r="D29" s="47"/>
      <c r="F29" s="47"/>
      <c r="H29" s="45"/>
      <c r="R29" s="17" t="s">
        <v>315</v>
      </c>
      <c r="S29" s="366">
        <f>SUM(T29:U29)</f>
        <v>25513.589736030204</v>
      </c>
      <c r="T29" s="366">
        <f>T12*$R$24</f>
        <v>21642.692226596246</v>
      </c>
      <c r="U29" s="366">
        <f>T20*$R$24</f>
        <v>3870.8975094339603</v>
      </c>
    </row>
    <row r="30" spans="1:47" ht="15">
      <c r="A30" s="48" t="s">
        <v>188</v>
      </c>
      <c r="B30" s="342">
        <f>36000</f>
        <v>36000</v>
      </c>
      <c r="C30" s="183">
        <f>+B30/$B$34</f>
        <v>0.35964035964035962</v>
      </c>
      <c r="D30" s="50"/>
      <c r="F30" s="51"/>
      <c r="H30" s="45"/>
      <c r="R30" s="17" t="s">
        <v>316</v>
      </c>
      <c r="S30" s="367">
        <f>SUM(T30:U30)</f>
        <v>11777.938108486331</v>
      </c>
      <c r="T30" s="367">
        <f>U12*R24</f>
        <v>4375.2924232452815</v>
      </c>
      <c r="U30" s="367">
        <f>U20*R24</f>
        <v>7402.6456852410493</v>
      </c>
      <c r="AQ30" s="39"/>
    </row>
    <row r="31" spans="1:47" ht="16.5">
      <c r="A31" s="48" t="s">
        <v>187</v>
      </c>
      <c r="B31" s="342">
        <f>17500+4600-8000</f>
        <v>14100</v>
      </c>
      <c r="C31" s="183">
        <f>+B31/$B$34</f>
        <v>0.14085914085914086</v>
      </c>
      <c r="D31" s="50"/>
      <c r="F31" s="51"/>
      <c r="H31" s="45"/>
      <c r="R31" s="17" t="s">
        <v>314</v>
      </c>
      <c r="S31" s="213">
        <f>SUM(T31:U31)</f>
        <v>0</v>
      </c>
      <c r="T31" s="213">
        <f>IF(C97&lt;&gt;0,0,(((((D96/1.06564)-0.33)*0.974)-D97)*(240000-C96))/1000)</f>
        <v>0</v>
      </c>
      <c r="U31" s="213">
        <v>0</v>
      </c>
      <c r="AQ31" s="39"/>
    </row>
    <row r="32" spans="1:47" ht="15">
      <c r="A32" s="48" t="s">
        <v>280</v>
      </c>
      <c r="B32" s="342">
        <f>35000</f>
        <v>35000</v>
      </c>
      <c r="C32" s="183">
        <f>+B32/$B$34</f>
        <v>0.34965034965034963</v>
      </c>
      <c r="D32" s="50"/>
      <c r="F32" s="51"/>
      <c r="H32" s="45"/>
      <c r="R32" s="192" t="s">
        <v>3</v>
      </c>
      <c r="S32" s="368">
        <f>SUM(S29:S31)</f>
        <v>37291.527844516531</v>
      </c>
      <c r="T32" s="368">
        <f>SUM(T29:T31)</f>
        <v>26017.984649841528</v>
      </c>
      <c r="U32" s="368">
        <f>SUM(U29:U31)</f>
        <v>11273.54319467501</v>
      </c>
      <c r="AQ32" s="39"/>
    </row>
    <row r="33" spans="1:47" ht="16.5">
      <c r="A33" s="48" t="s">
        <v>281</v>
      </c>
      <c r="B33" s="342">
        <f>15000</f>
        <v>15000</v>
      </c>
      <c r="C33" s="184">
        <f>+B33/$B$34</f>
        <v>0.14985014985014986</v>
      </c>
      <c r="D33" s="50"/>
      <c r="F33" s="51"/>
      <c r="H33" s="45"/>
      <c r="R33" s="192" t="s">
        <v>317</v>
      </c>
      <c r="S33" s="369">
        <f>SUM(T33:U33)</f>
        <v>-4536</v>
      </c>
      <c r="T33" s="369">
        <v>0</v>
      </c>
      <c r="U33" s="369">
        <f>-R19*R24</f>
        <v>-4536</v>
      </c>
      <c r="AQ33" s="39"/>
    </row>
    <row r="34" spans="1:47" ht="15">
      <c r="A34" s="141" t="s">
        <v>107</v>
      </c>
      <c r="B34" s="49">
        <f>SUM(B30:B33)</f>
        <v>100100</v>
      </c>
      <c r="C34" s="183">
        <f>SUM(C30:C33)</f>
        <v>1</v>
      </c>
      <c r="D34" s="50"/>
      <c r="F34" s="51"/>
      <c r="H34" s="45"/>
      <c r="R34" s="192" t="s">
        <v>313</v>
      </c>
      <c r="S34" s="370">
        <f>SUM(S32:S33)</f>
        <v>32755.527844516531</v>
      </c>
      <c r="T34" s="370">
        <f>SUM(T32:T33)</f>
        <v>26017.984649841528</v>
      </c>
      <c r="U34" s="370">
        <f>SUM(U32:U33)</f>
        <v>6737.5431946750105</v>
      </c>
      <c r="AQ34" s="39"/>
    </row>
    <row r="35" spans="1:47">
      <c r="A35" s="141"/>
      <c r="B35" s="49"/>
      <c r="C35" s="183"/>
      <c r="D35" s="50"/>
      <c r="F35" s="51"/>
      <c r="H35" s="45"/>
      <c r="AQ35" s="39"/>
    </row>
    <row r="36" spans="1:47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I36" s="1009" t="s">
        <v>467</v>
      </c>
      <c r="J36" s="1010"/>
      <c r="K36" s="1009" t="s">
        <v>459</v>
      </c>
      <c r="L36" s="1010"/>
      <c r="R36" s="371" t="s">
        <v>475</v>
      </c>
      <c r="AQ36" s="39"/>
    </row>
    <row r="37" spans="1:47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I37" s="53" t="s">
        <v>38</v>
      </c>
      <c r="J37" s="171"/>
      <c r="K37" s="53" t="s">
        <v>38</v>
      </c>
      <c r="L37" s="171"/>
      <c r="R37" s="17" t="s">
        <v>315</v>
      </c>
      <c r="S37" s="366">
        <f>SUM(T37:U37)</f>
        <v>2126.132478002517</v>
      </c>
      <c r="T37" s="366">
        <f>T29/12</f>
        <v>1803.5576855496872</v>
      </c>
      <c r="U37" s="366">
        <f>U29/12</f>
        <v>322.57479245283002</v>
      </c>
      <c r="AB37" s="13"/>
      <c r="AC37" s="46"/>
      <c r="AO37" s="11"/>
    </row>
    <row r="38" spans="1:47" ht="15">
      <c r="A38" s="176" t="s">
        <v>173</v>
      </c>
      <c r="B38" s="347">
        <f>13.3*2</f>
        <v>26.6</v>
      </c>
      <c r="C38" s="343">
        <v>0.5</v>
      </c>
      <c r="D38" s="134"/>
      <c r="E38" s="343">
        <v>0.5</v>
      </c>
      <c r="F38" s="134"/>
      <c r="G38" s="343">
        <v>0</v>
      </c>
      <c r="H38" s="186"/>
      <c r="I38" s="343">
        <v>0.5</v>
      </c>
      <c r="J38" s="186"/>
      <c r="K38" s="343">
        <v>0.5</v>
      </c>
      <c r="L38" s="186"/>
      <c r="R38" s="17" t="s">
        <v>316</v>
      </c>
      <c r="S38" s="367">
        <f>SUM(T38:U38)</f>
        <v>981.49484237386082</v>
      </c>
      <c r="T38" s="367">
        <f t="shared" ref="T38:U39" si="46">T30/12</f>
        <v>364.60770193710681</v>
      </c>
      <c r="U38" s="367">
        <f t="shared" si="46"/>
        <v>616.88714043675407</v>
      </c>
      <c r="AB38" s="13"/>
      <c r="AC38" s="250"/>
      <c r="AO38" s="251"/>
      <c r="AP38" s="251"/>
    </row>
    <row r="39" spans="1:47" ht="16.5">
      <c r="A39" s="176" t="s">
        <v>178</v>
      </c>
      <c r="B39" s="355">
        <f>12.41*2</f>
        <v>24.82</v>
      </c>
      <c r="C39" s="343">
        <v>0.5</v>
      </c>
      <c r="D39" s="134"/>
      <c r="E39" s="343">
        <v>0.5</v>
      </c>
      <c r="F39" s="134"/>
      <c r="G39" s="343">
        <v>0</v>
      </c>
      <c r="H39" s="186"/>
      <c r="I39" s="343">
        <v>0.5</v>
      </c>
      <c r="J39" s="186"/>
      <c r="K39" s="343">
        <v>0.5</v>
      </c>
      <c r="L39" s="186"/>
      <c r="R39" s="17" t="s">
        <v>314</v>
      </c>
      <c r="S39" s="213">
        <f>SUM(T39:U39)</f>
        <v>0</v>
      </c>
      <c r="T39" s="213">
        <f t="shared" si="46"/>
        <v>0</v>
      </c>
      <c r="U39" s="213">
        <f t="shared" si="46"/>
        <v>0</v>
      </c>
      <c r="AB39" s="13"/>
      <c r="AC39" s="250"/>
      <c r="AO39" s="252"/>
      <c r="AP39" s="252"/>
    </row>
    <row r="40" spans="1:47">
      <c r="A40" s="141" t="s">
        <v>174</v>
      </c>
      <c r="B40" s="157">
        <f>+B38*C38+B39*C39</f>
        <v>25.71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I40" s="55">
        <f>SUM(I38:I39)</f>
        <v>1</v>
      </c>
      <c r="J40" s="187"/>
      <c r="K40" s="55">
        <f>SUM(K38:K39)</f>
        <v>1</v>
      </c>
      <c r="L40" s="187"/>
      <c r="R40" s="192" t="s">
        <v>3</v>
      </c>
      <c r="S40" s="368">
        <f>SUM(S37:S39)</f>
        <v>3107.6273203763776</v>
      </c>
      <c r="T40" s="368">
        <f>SUM(T37:T39)</f>
        <v>2168.1653874867939</v>
      </c>
      <c r="U40" s="368">
        <f>SUM(U37:U39)</f>
        <v>939.46193288958409</v>
      </c>
      <c r="AB40" s="13"/>
      <c r="AC40" s="250"/>
      <c r="AO40" s="251"/>
      <c r="AP40" s="251"/>
    </row>
    <row r="41" spans="1:47" ht="15">
      <c r="A41" s="43"/>
      <c r="B41" s="50"/>
      <c r="C41" s="60"/>
      <c r="D41" s="59"/>
      <c r="E41" s="60"/>
      <c r="F41" s="59"/>
      <c r="G41" s="60"/>
      <c r="H41" s="187"/>
      <c r="I41" s="60"/>
      <c r="J41" s="187"/>
      <c r="K41" s="60"/>
      <c r="L41" s="187"/>
      <c r="R41" s="192" t="s">
        <v>317</v>
      </c>
      <c r="S41" s="369">
        <f>SUM(T41:U41)</f>
        <v>-378</v>
      </c>
      <c r="T41" s="369">
        <f>T33/12</f>
        <v>0</v>
      </c>
      <c r="U41" s="369">
        <f>U33/12</f>
        <v>-378</v>
      </c>
      <c r="Z41" s="39"/>
      <c r="AA41" s="39"/>
      <c r="AB41" s="13"/>
      <c r="AC41" s="62"/>
    </row>
    <row r="42" spans="1:47" ht="18" customHeight="1">
      <c r="A42" s="198" t="s">
        <v>39</v>
      </c>
      <c r="B42" s="61" t="s">
        <v>40</v>
      </c>
      <c r="C42" s="185" t="s">
        <v>496</v>
      </c>
      <c r="D42" s="61" t="s">
        <v>179</v>
      </c>
      <c r="E42" s="185" t="s">
        <v>496</v>
      </c>
      <c r="F42" s="61" t="s">
        <v>179</v>
      </c>
      <c r="G42" s="185" t="s">
        <v>496</v>
      </c>
      <c r="H42" s="188" t="s">
        <v>179</v>
      </c>
      <c r="I42" s="185" t="s">
        <v>496</v>
      </c>
      <c r="J42" s="188" t="s">
        <v>179</v>
      </c>
      <c r="K42" s="185" t="s">
        <v>496</v>
      </c>
      <c r="L42" s="188" t="s">
        <v>179</v>
      </c>
      <c r="M42" s="62"/>
      <c r="N42" s="62"/>
      <c r="O42" s="62"/>
      <c r="P42" s="62"/>
      <c r="Q42" s="62"/>
      <c r="R42" s="192" t="s">
        <v>313</v>
      </c>
      <c r="S42" s="370">
        <f>SUM(S40:S41)</f>
        <v>2729.6273203763776</v>
      </c>
      <c r="T42" s="370">
        <f>SUM(T40:T41)</f>
        <v>2168.1653874867939</v>
      </c>
      <c r="U42" s="370">
        <f>SUM(U40:U41)</f>
        <v>561.46193288958409</v>
      </c>
      <c r="AB42" s="13"/>
      <c r="AC42" s="46"/>
      <c r="AO42" s="11"/>
      <c r="AP42" s="11"/>
      <c r="AQ42" s="11"/>
      <c r="AR42" s="52" t="s">
        <v>291</v>
      </c>
      <c r="AS42" s="52" t="s">
        <v>294</v>
      </c>
      <c r="AT42" s="52" t="s">
        <v>295</v>
      </c>
      <c r="AU42" s="52" t="s">
        <v>296</v>
      </c>
    </row>
    <row r="43" spans="1:47" ht="15">
      <c r="A43" s="176" t="s">
        <v>404</v>
      </c>
      <c r="B43" s="64">
        <f>$B$40/2000</f>
        <v>1.2855E-2</v>
      </c>
      <c r="C43" s="344">
        <v>2.1972328275292297</v>
      </c>
      <c r="D43" s="307">
        <f t="shared" ref="D43:D51" si="47">B43*C43</f>
        <v>2.8245427997888248E-2</v>
      </c>
      <c r="E43" s="344">
        <v>2.4102521654202023</v>
      </c>
      <c r="F43" s="307">
        <f t="shared" ref="F43:F51" si="48">B43*E43</f>
        <v>3.0983791586476701E-2</v>
      </c>
      <c r="G43" s="344">
        <v>0</v>
      </c>
      <c r="H43" s="311">
        <f t="shared" ref="H43:H51" si="49">$B43*G43</f>
        <v>0</v>
      </c>
      <c r="I43" s="344">
        <v>2.6302428700151976</v>
      </c>
      <c r="J43" s="311">
        <f t="shared" ref="J43:J51" si="50">$B43*I43</f>
        <v>3.3811772094045366E-2</v>
      </c>
      <c r="K43" s="344">
        <v>1.4950065335075602</v>
      </c>
      <c r="L43" s="311">
        <f t="shared" ref="L43:L51" si="51">$B43*K43</f>
        <v>1.9218308988239688E-2</v>
      </c>
      <c r="M43" s="65"/>
      <c r="N43" s="65"/>
      <c r="O43" s="65"/>
      <c r="P43" s="65"/>
      <c r="Q43" s="65"/>
      <c r="R43" s="65"/>
      <c r="S43" s="65"/>
      <c r="T43" s="65"/>
      <c r="U43" s="65"/>
      <c r="AA43" s="312">
        <f>B43*1000</f>
        <v>12.855</v>
      </c>
      <c r="AB43" s="256" t="s">
        <v>12</v>
      </c>
      <c r="AC43" s="255" t="s">
        <v>154</v>
      </c>
      <c r="AO43" s="56">
        <f t="shared" ref="AO43:AO51" si="52">IF(B43&lt;&gt;0,D43/B43*1000,0)</f>
        <v>2197.2328275292298</v>
      </c>
      <c r="AP43" s="56">
        <f t="shared" ref="AP43:AP51" si="53">IF(B43&lt;&gt;0,F43/B43*1000,0)</f>
        <v>2410.2521654202023</v>
      </c>
      <c r="AQ43" s="56">
        <f>IF(B43&lt;&gt;0,H43/B43*1000,0)</f>
        <v>0</v>
      </c>
      <c r="AR43" s="26">
        <f t="shared" ref="AR43:AR51" si="54">AO43*$B$24+AP43*$E$24+AQ43*$H$24</f>
        <v>194440190.4489215</v>
      </c>
      <c r="AS43" s="26">
        <v>202343432</v>
      </c>
      <c r="AT43" s="183">
        <f t="shared" ref="AT43:AT50" si="55">AS43/AR43</f>
        <v>1.0406461315062054</v>
      </c>
      <c r="AU43" s="341">
        <f>343597.02/24291676.299</f>
        <v>1.414464015454317E-2</v>
      </c>
    </row>
    <row r="44" spans="1:47" ht="15">
      <c r="A44" s="176" t="s">
        <v>436</v>
      </c>
      <c r="B44" s="344">
        <v>0.13442000000000001</v>
      </c>
      <c r="C44" s="344">
        <v>0</v>
      </c>
      <c r="D44" s="307">
        <f t="shared" si="47"/>
        <v>0</v>
      </c>
      <c r="E44" s="344">
        <v>0</v>
      </c>
      <c r="F44" s="307">
        <f t="shared" si="48"/>
        <v>0</v>
      </c>
      <c r="G44" s="344">
        <v>3.497559704873471</v>
      </c>
      <c r="H44" s="311">
        <f t="shared" si="49"/>
        <v>0.47014197552909204</v>
      </c>
      <c r="I44" s="344">
        <v>0</v>
      </c>
      <c r="J44" s="311">
        <f t="shared" si="50"/>
        <v>0</v>
      </c>
      <c r="K44" s="344">
        <v>0</v>
      </c>
      <c r="L44" s="311">
        <f t="shared" si="51"/>
        <v>0</v>
      </c>
      <c r="M44" s="65"/>
      <c r="N44" s="65"/>
      <c r="O44" s="65"/>
      <c r="P44" s="65"/>
      <c r="Q44" s="65"/>
      <c r="R44" s="65"/>
      <c r="S44" s="65"/>
      <c r="T44" s="65"/>
      <c r="U44" s="65"/>
      <c r="AA44" s="312">
        <f t="shared" ref="AA44:AA51" si="56">B44*1000</f>
        <v>134.42000000000002</v>
      </c>
      <c r="AB44" s="256" t="s">
        <v>12</v>
      </c>
      <c r="AC44" s="256" t="s">
        <v>298</v>
      </c>
      <c r="AO44" s="56">
        <f t="shared" si="52"/>
        <v>0</v>
      </c>
      <c r="AP44" s="56">
        <f t="shared" si="53"/>
        <v>0</v>
      </c>
      <c r="AQ44" s="56">
        <f t="shared" ref="AQ44:AQ51" si="57">IF(B44&lt;&gt;0,H44/B44*1000,0)</f>
        <v>3497.5597048734712</v>
      </c>
      <c r="AR44" s="26">
        <f t="shared" si="54"/>
        <v>52463395.573102072</v>
      </c>
      <c r="AS44" s="26">
        <v>0</v>
      </c>
      <c r="AT44" s="183">
        <f t="shared" si="55"/>
        <v>0</v>
      </c>
      <c r="AU44" s="341">
        <v>6.2740000000000004E-2</v>
      </c>
    </row>
    <row r="45" spans="1:47" ht="15">
      <c r="A45" s="176" t="s">
        <v>434</v>
      </c>
      <c r="B45" s="344">
        <v>0.23</v>
      </c>
      <c r="C45" s="344">
        <v>0</v>
      </c>
      <c r="D45" s="307">
        <f t="shared" si="47"/>
        <v>0</v>
      </c>
      <c r="E45" s="344">
        <v>0</v>
      </c>
      <c r="F45" s="307">
        <f t="shared" si="48"/>
        <v>0</v>
      </c>
      <c r="G45" s="344">
        <v>0</v>
      </c>
      <c r="H45" s="311">
        <f t="shared" si="49"/>
        <v>0</v>
      </c>
      <c r="I45" s="344">
        <v>0</v>
      </c>
      <c r="J45" s="311">
        <f t="shared" si="50"/>
        <v>0</v>
      </c>
      <c r="K45" s="344">
        <v>0.5014980399477319</v>
      </c>
      <c r="L45" s="311">
        <f t="shared" si="51"/>
        <v>0.11534454918797835</v>
      </c>
      <c r="M45" s="65"/>
      <c r="N45" s="65"/>
      <c r="O45" s="65"/>
      <c r="P45" s="65"/>
      <c r="Q45" s="65"/>
      <c r="R45" s="65"/>
      <c r="S45" s="65"/>
      <c r="T45" s="65"/>
      <c r="U45" s="65"/>
      <c r="AA45" s="312"/>
      <c r="AB45" s="256"/>
      <c r="AC45" s="256"/>
      <c r="AO45" s="56"/>
      <c r="AP45" s="56"/>
      <c r="AQ45" s="56"/>
      <c r="AR45" s="26"/>
      <c r="AS45" s="26"/>
      <c r="AT45" s="183"/>
      <c r="AU45" s="341"/>
    </row>
    <row r="46" spans="1:47" ht="15">
      <c r="A46" s="176" t="s">
        <v>405</v>
      </c>
      <c r="B46" s="344">
        <v>1.3656999999999999</v>
      </c>
      <c r="C46" s="344">
        <v>9.9558258902151548E-3</v>
      </c>
      <c r="D46" s="307">
        <f t="shared" si="47"/>
        <v>1.3596671418266836E-2</v>
      </c>
      <c r="E46" s="344">
        <v>0</v>
      </c>
      <c r="F46" s="307">
        <f t="shared" si="48"/>
        <v>0</v>
      </c>
      <c r="G46" s="344">
        <v>0</v>
      </c>
      <c r="H46" s="311">
        <f t="shared" si="49"/>
        <v>0</v>
      </c>
      <c r="I46" s="344">
        <v>1.0031902101318916E-2</v>
      </c>
      <c r="J46" s="311">
        <f t="shared" si="50"/>
        <v>1.3700568699771242E-2</v>
      </c>
      <c r="K46" s="344">
        <v>6.6058428224752656E-3</v>
      </c>
      <c r="L46" s="311">
        <f t="shared" si="51"/>
        <v>9.0215995426544699E-3</v>
      </c>
      <c r="M46" s="65"/>
      <c r="N46" s="65"/>
      <c r="O46" s="65"/>
      <c r="P46" s="65"/>
      <c r="Q46" s="65"/>
      <c r="R46" s="65"/>
      <c r="S46" s="65"/>
      <c r="T46" s="65"/>
      <c r="U46" s="65"/>
      <c r="AA46" s="312">
        <f t="shared" si="56"/>
        <v>1365.6999999999998</v>
      </c>
      <c r="AB46" s="256" t="s">
        <v>12</v>
      </c>
      <c r="AC46" s="255" t="s">
        <v>155</v>
      </c>
      <c r="AO46" s="56">
        <f t="shared" si="52"/>
        <v>9.955825890215154</v>
      </c>
      <c r="AP46" s="56">
        <f t="shared" si="53"/>
        <v>0</v>
      </c>
      <c r="AQ46" s="56">
        <f t="shared" si="57"/>
        <v>0</v>
      </c>
      <c r="AR46" s="26">
        <f t="shared" si="54"/>
        <v>498786.8770997792</v>
      </c>
      <c r="AS46" s="26">
        <v>101933</v>
      </c>
      <c r="AT46" s="183">
        <f t="shared" si="55"/>
        <v>0.20436183203674971</v>
      </c>
      <c r="AU46" s="341">
        <f>143105.19/AS46</f>
        <v>1.4039142377836422</v>
      </c>
    </row>
    <row r="47" spans="1:47" ht="15">
      <c r="A47" s="176" t="s">
        <v>406</v>
      </c>
      <c r="B47" s="344">
        <v>0.46</v>
      </c>
      <c r="C47" s="344">
        <v>8.3656484654115008E-3</v>
      </c>
      <c r="D47" s="307">
        <f t="shared" si="47"/>
        <v>3.8481982940892904E-3</v>
      </c>
      <c r="E47" s="344">
        <v>1.0556001143752398E-2</v>
      </c>
      <c r="F47" s="307">
        <f t="shared" si="48"/>
        <v>4.8557605261261034E-3</v>
      </c>
      <c r="G47" s="344">
        <v>5.2729258300433625E-3</v>
      </c>
      <c r="H47" s="311">
        <f t="shared" si="49"/>
        <v>2.4255458818199468E-3</v>
      </c>
      <c r="I47" s="344">
        <v>5.8781279447178304E-3</v>
      </c>
      <c r="J47" s="311">
        <f t="shared" si="50"/>
        <v>2.7039388545702023E-3</v>
      </c>
      <c r="K47" s="344">
        <v>6.2581668844502517E-3</v>
      </c>
      <c r="L47" s="311">
        <f t="shared" si="51"/>
        <v>2.8787567668471159E-3</v>
      </c>
      <c r="M47" s="65"/>
      <c r="N47" s="65"/>
      <c r="O47" s="65"/>
      <c r="P47" s="65"/>
      <c r="Q47" s="65"/>
      <c r="R47" s="65"/>
      <c r="S47" s="65"/>
      <c r="T47" s="65"/>
      <c r="U47" s="65"/>
      <c r="AA47" s="312">
        <f t="shared" si="56"/>
        <v>460</v>
      </c>
      <c r="AB47" s="256" t="s">
        <v>12</v>
      </c>
      <c r="AC47" s="255" t="s">
        <v>156</v>
      </c>
      <c r="AO47" s="56">
        <f t="shared" si="52"/>
        <v>8.3656484654115015</v>
      </c>
      <c r="AP47" s="56">
        <f t="shared" si="53"/>
        <v>10.556001143752399</v>
      </c>
      <c r="AQ47" s="56">
        <f t="shared" si="57"/>
        <v>5.2729258300433628</v>
      </c>
      <c r="AR47" s="26">
        <f t="shared" si="54"/>
        <v>867672.91559910064</v>
      </c>
      <c r="AS47" s="26">
        <v>84108</v>
      </c>
      <c r="AT47" s="183">
        <f t="shared" si="55"/>
        <v>9.6935145131188172E-2</v>
      </c>
      <c r="AU47" s="341">
        <f>38613.79/AS47</f>
        <v>0.45909770770913588</v>
      </c>
    </row>
    <row r="48" spans="1:47" ht="15">
      <c r="A48" s="176" t="s">
        <v>407</v>
      </c>
      <c r="B48" s="344">
        <v>6.2740000000000004E-2</v>
      </c>
      <c r="C48" s="344">
        <v>9.4731409454363608E-3</v>
      </c>
      <c r="D48" s="307">
        <f t="shared" si="47"/>
        <v>5.9434486291667736E-4</v>
      </c>
      <c r="E48" s="344">
        <v>1.3838362868336247E-2</v>
      </c>
      <c r="F48" s="307">
        <f t="shared" si="48"/>
        <v>8.6821888635941612E-4</v>
      </c>
      <c r="G48" s="344">
        <v>4.5626975600284776E-4</v>
      </c>
      <c r="H48" s="311">
        <f t="shared" si="49"/>
        <v>2.862636449161867E-5</v>
      </c>
      <c r="I48" s="344">
        <v>1.4843041978786928E-2</v>
      </c>
      <c r="J48" s="311">
        <f t="shared" si="50"/>
        <v>9.3125245374909194E-4</v>
      </c>
      <c r="K48" s="344">
        <v>6.2581668844502517E-3</v>
      </c>
      <c r="L48" s="311">
        <f t="shared" si="51"/>
        <v>3.9263739033040883E-4</v>
      </c>
      <c r="M48" s="65"/>
      <c r="N48" s="65"/>
      <c r="O48" s="65"/>
      <c r="P48" s="65"/>
      <c r="Q48" s="65"/>
      <c r="R48" s="65"/>
      <c r="S48" s="65"/>
      <c r="T48" s="65"/>
      <c r="U48" s="65"/>
      <c r="AA48" s="312">
        <f t="shared" si="56"/>
        <v>62.74</v>
      </c>
      <c r="AB48" s="256" t="s">
        <v>12</v>
      </c>
      <c r="AC48" s="255" t="s">
        <v>157</v>
      </c>
      <c r="AO48" s="56">
        <f t="shared" si="52"/>
        <v>9.4731409454363611</v>
      </c>
      <c r="AP48" s="56">
        <f t="shared" si="53"/>
        <v>13.838362868336247</v>
      </c>
      <c r="AQ48" s="56">
        <f t="shared" si="57"/>
        <v>0.45626975600284775</v>
      </c>
      <c r="AR48" s="26">
        <f t="shared" si="54"/>
        <v>965791.10809817305</v>
      </c>
      <c r="AS48" s="26">
        <v>47388</v>
      </c>
      <c r="AT48" s="183">
        <f t="shared" si="55"/>
        <v>4.9066510969764478E-2</v>
      </c>
      <c r="AU48" s="341">
        <f>2705.86/AS48</f>
        <v>5.710010973242171E-2</v>
      </c>
    </row>
    <row r="49" spans="1:47" ht="15">
      <c r="A49" s="176" t="s">
        <v>408</v>
      </c>
      <c r="B49" s="344">
        <v>8.677E-2</v>
      </c>
      <c r="C49" s="344">
        <v>0</v>
      </c>
      <c r="D49" s="307">
        <f t="shared" si="47"/>
        <v>0</v>
      </c>
      <c r="E49" s="344">
        <v>0.35728908377604413</v>
      </c>
      <c r="F49" s="307">
        <f t="shared" si="48"/>
        <v>3.1001973799247348E-2</v>
      </c>
      <c r="G49" s="344">
        <v>0.27359570532651606</v>
      </c>
      <c r="H49" s="311">
        <f t="shared" si="49"/>
        <v>2.3739899351181797E-2</v>
      </c>
      <c r="I49" s="344">
        <v>0</v>
      </c>
      <c r="J49" s="311">
        <f t="shared" si="50"/>
        <v>0</v>
      </c>
      <c r="K49" s="344">
        <v>0</v>
      </c>
      <c r="L49" s="311">
        <f t="shared" si="51"/>
        <v>0</v>
      </c>
      <c r="M49" s="65"/>
      <c r="N49" s="65"/>
      <c r="O49" s="65"/>
      <c r="P49" s="65"/>
      <c r="Q49" s="65"/>
      <c r="R49" s="65"/>
      <c r="S49" s="65"/>
      <c r="T49" s="65"/>
      <c r="U49" s="65"/>
      <c r="AA49" s="312">
        <f t="shared" si="56"/>
        <v>86.77</v>
      </c>
      <c r="AB49" s="256" t="s">
        <v>12</v>
      </c>
      <c r="AC49" s="255" t="s">
        <v>231</v>
      </c>
      <c r="AO49" s="56">
        <f t="shared" si="52"/>
        <v>0</v>
      </c>
      <c r="AP49" s="56">
        <f t="shared" si="53"/>
        <v>357.28908377604415</v>
      </c>
      <c r="AQ49" s="56">
        <f t="shared" si="57"/>
        <v>273.59570532651605</v>
      </c>
      <c r="AR49" s="26">
        <f t="shared" si="54"/>
        <v>16609053.512059286</v>
      </c>
      <c r="AS49" s="26">
        <v>560786</v>
      </c>
      <c r="AT49" s="183">
        <f t="shared" si="55"/>
        <v>3.376387459964722E-2</v>
      </c>
      <c r="AU49" s="341">
        <f>49077.4/AS49</f>
        <v>8.7515380198507103E-2</v>
      </c>
    </row>
    <row r="50" spans="1:47" ht="15">
      <c r="A50" s="176" t="s">
        <v>409</v>
      </c>
      <c r="B50" s="344">
        <v>6.1364400000000003</v>
      </c>
      <c r="C50" s="344">
        <v>0</v>
      </c>
      <c r="D50" s="307">
        <f t="shared" si="47"/>
        <v>0</v>
      </c>
      <c r="E50" s="344">
        <v>1.276363564325809E-2</v>
      </c>
      <c r="F50" s="307">
        <f t="shared" si="48"/>
        <v>7.8323284306714674E-2</v>
      </c>
      <c r="G50" s="344">
        <v>1.3885014626884991E-2</v>
      </c>
      <c r="H50" s="311">
        <f t="shared" si="49"/>
        <v>8.5204559157002147E-2</v>
      </c>
      <c r="I50" s="344">
        <v>0</v>
      </c>
      <c r="J50" s="311">
        <f t="shared" si="50"/>
        <v>0</v>
      </c>
      <c r="K50" s="344">
        <v>0</v>
      </c>
      <c r="L50" s="311">
        <f t="shared" si="51"/>
        <v>0</v>
      </c>
      <c r="M50" s="65"/>
      <c r="N50" s="65"/>
      <c r="O50" s="65"/>
      <c r="P50" s="65"/>
      <c r="Q50" s="65"/>
      <c r="R50" s="65"/>
      <c r="S50" s="65"/>
      <c r="T50" s="65"/>
      <c r="U50" s="65"/>
      <c r="AA50" s="312">
        <f t="shared" si="56"/>
        <v>6136.4400000000005</v>
      </c>
      <c r="AB50" s="256" t="s">
        <v>12</v>
      </c>
      <c r="AC50" s="255" t="s">
        <v>232</v>
      </c>
      <c r="AO50" s="56">
        <f t="shared" si="52"/>
        <v>0</v>
      </c>
      <c r="AP50" s="56">
        <f t="shared" si="53"/>
        <v>12.763635643258089</v>
      </c>
      <c r="AQ50" s="56">
        <f t="shared" si="57"/>
        <v>13.885014626884994</v>
      </c>
      <c r="AR50" s="26">
        <f t="shared" si="54"/>
        <v>655002.46691730805</v>
      </c>
      <c r="AS50" s="26">
        <v>208883</v>
      </c>
      <c r="AT50" s="183">
        <f t="shared" si="55"/>
        <v>0.31890414242725412</v>
      </c>
      <c r="AU50" s="341">
        <f>1269211.15/AS50</f>
        <v>6.0761821210917111</v>
      </c>
    </row>
    <row r="51" spans="1:47" ht="15">
      <c r="A51" s="176" t="s">
        <v>432</v>
      </c>
      <c r="B51" s="344">
        <v>11.52</v>
      </c>
      <c r="C51" s="344">
        <v>0</v>
      </c>
      <c r="D51" s="307">
        <f t="shared" si="47"/>
        <v>0</v>
      </c>
      <c r="E51" s="344">
        <v>0</v>
      </c>
      <c r="F51" s="307">
        <f t="shared" si="48"/>
        <v>0</v>
      </c>
      <c r="G51" s="344">
        <v>0</v>
      </c>
      <c r="H51" s="311">
        <f t="shared" si="49"/>
        <v>0</v>
      </c>
      <c r="I51" s="344">
        <v>1.9566171081562139E-2</v>
      </c>
      <c r="J51" s="311">
        <f t="shared" si="50"/>
        <v>0.22540229085959584</v>
      </c>
      <c r="K51" s="344">
        <v>0</v>
      </c>
      <c r="L51" s="311">
        <f t="shared" si="51"/>
        <v>0</v>
      </c>
      <c r="M51" s="65"/>
      <c r="N51" s="65"/>
      <c r="O51" s="65"/>
      <c r="P51" s="65"/>
      <c r="Q51" s="65"/>
      <c r="R51" s="65"/>
      <c r="S51" s="65"/>
      <c r="T51" s="65"/>
      <c r="U51" s="65"/>
      <c r="AA51" s="312">
        <f t="shared" si="56"/>
        <v>11520</v>
      </c>
      <c r="AB51" s="256" t="s">
        <v>12</v>
      </c>
      <c r="AC51" s="255" t="s">
        <v>472</v>
      </c>
      <c r="AO51" s="56">
        <f t="shared" si="52"/>
        <v>0</v>
      </c>
      <c r="AP51" s="56">
        <f t="shared" si="53"/>
        <v>0</v>
      </c>
      <c r="AQ51" s="56">
        <f t="shared" si="57"/>
        <v>0</v>
      </c>
      <c r="AR51" s="26">
        <f t="shared" si="54"/>
        <v>0</v>
      </c>
      <c r="AS51" s="26"/>
      <c r="AT51" s="183"/>
      <c r="AU51" s="341"/>
    </row>
    <row r="52" spans="1:47">
      <c r="A52" s="63"/>
      <c r="B52" s="67"/>
      <c r="C52" s="51"/>
      <c r="D52" s="68"/>
      <c r="E52" s="51"/>
      <c r="F52" s="68"/>
      <c r="G52" s="51"/>
      <c r="H52" s="98"/>
      <c r="I52" s="51"/>
      <c r="J52" s="98"/>
      <c r="K52" s="51"/>
      <c r="L52" s="98"/>
      <c r="M52" s="65"/>
      <c r="N52" s="65"/>
      <c r="O52" s="65"/>
      <c r="P52" s="65"/>
      <c r="Q52" s="65"/>
      <c r="R52" s="65"/>
      <c r="S52" s="65"/>
      <c r="T52" s="65"/>
      <c r="U52" s="65"/>
      <c r="AC52" s="156"/>
      <c r="AQ52" s="157"/>
    </row>
    <row r="53" spans="1:47" ht="15">
      <c r="A53" s="63" t="s">
        <v>42</v>
      </c>
      <c r="C53" s="69"/>
      <c r="D53" s="199" t="s">
        <v>43</v>
      </c>
      <c r="F53" s="199" t="s">
        <v>43</v>
      </c>
      <c r="H53" s="283" t="s">
        <v>43</v>
      </c>
      <c r="J53" s="283" t="s">
        <v>43</v>
      </c>
      <c r="L53" s="283" t="s">
        <v>43</v>
      </c>
    </row>
    <row r="54" spans="1:47">
      <c r="A54" s="63" t="s">
        <v>284</v>
      </c>
      <c r="C54" s="69"/>
      <c r="D54" s="64">
        <f>D43+D44+D45</f>
        <v>2.8245427997888248E-2</v>
      </c>
      <c r="F54" s="64">
        <f>F43+F44+F45</f>
        <v>3.0983791586476701E-2</v>
      </c>
      <c r="H54" s="189">
        <f>H43+H44+H45</f>
        <v>0.47014197552909204</v>
      </c>
      <c r="J54" s="189">
        <f>J43+J44+J45</f>
        <v>3.3811772094045366E-2</v>
      </c>
      <c r="L54" s="189">
        <f>L43+L44+L45</f>
        <v>0.13456285817621805</v>
      </c>
    </row>
    <row r="55" spans="1:47" ht="15">
      <c r="A55" s="63" t="s">
        <v>44</v>
      </c>
      <c r="C55" s="69"/>
      <c r="D55" s="70">
        <f>SUM(D46:D51)</f>
        <v>1.8039214575272803E-2</v>
      </c>
      <c r="F55" s="70">
        <f>SUM(F46:F51)</f>
        <v>0.11504923751844753</v>
      </c>
      <c r="H55" s="310">
        <f>SUM(H46:H51)</f>
        <v>0.11139863075449551</v>
      </c>
      <c r="J55" s="310">
        <f>SUM(J46:J51)</f>
        <v>0.24273805086768638</v>
      </c>
      <c r="L55" s="310">
        <f>SUM(L46:L51)</f>
        <v>1.2292993699831993E-2</v>
      </c>
    </row>
    <row r="56" spans="1:47" ht="15">
      <c r="A56" s="63" t="s">
        <v>45</v>
      </c>
      <c r="C56" s="51"/>
      <c r="D56" s="339">
        <f>SUM(D54:D55)</f>
        <v>4.6284642573161047E-2</v>
      </c>
      <c r="F56" s="339">
        <f>SUM(F54:F55)</f>
        <v>0.14603302910492424</v>
      </c>
      <c r="H56" s="340">
        <f>SUM(H54:H55)</f>
        <v>0.5815406062835875</v>
      </c>
      <c r="J56" s="340">
        <f>SUM(J54:J55)</f>
        <v>0.27654982296173175</v>
      </c>
      <c r="L56" s="340">
        <f>SUM(L54:L55)</f>
        <v>0.14685585187605005</v>
      </c>
    </row>
    <row r="57" spans="1:47">
      <c r="A57" s="71"/>
      <c r="B57" s="72"/>
      <c r="C57" s="72"/>
      <c r="D57" s="72"/>
      <c r="E57" s="73"/>
      <c r="F57" s="74"/>
      <c r="G57" s="72"/>
      <c r="H57" s="75"/>
      <c r="I57" s="72"/>
      <c r="J57" s="75"/>
      <c r="K57" s="72"/>
      <c r="L57" s="75"/>
      <c r="AB57" s="69"/>
    </row>
    <row r="58" spans="1:47">
      <c r="A58" s="39"/>
      <c r="E58" s="51"/>
      <c r="F58" s="76"/>
      <c r="AB58" s="69"/>
    </row>
    <row r="59" spans="1:47" ht="13.5" thickBot="1">
      <c r="F59" s="39"/>
      <c r="G59" s="39"/>
    </row>
    <row r="60" spans="1:47" ht="14.65" customHeight="1">
      <c r="A60" s="82" t="s">
        <v>269</v>
      </c>
      <c r="B60" s="1020" t="s">
        <v>18</v>
      </c>
      <c r="C60" s="1020"/>
      <c r="D60" s="1020"/>
      <c r="E60" s="93"/>
      <c r="F60" s="1020" t="s">
        <v>46</v>
      </c>
      <c r="G60" s="1020"/>
      <c r="H60" s="1021"/>
      <c r="AF60" s="1014" t="s">
        <v>253</v>
      </c>
      <c r="AG60" s="1015"/>
      <c r="AH60" s="1015"/>
      <c r="AI60" s="1015"/>
      <c r="AJ60" s="1015"/>
      <c r="AK60" s="1015"/>
      <c r="AL60" s="1015"/>
      <c r="AM60" s="1015"/>
      <c r="AN60" s="1015"/>
      <c r="AO60" s="1015"/>
      <c r="AP60" s="1016"/>
    </row>
    <row r="61" spans="1:47" ht="14.65" customHeight="1">
      <c r="A61" s="43"/>
      <c r="B61" s="199" t="s">
        <v>159</v>
      </c>
      <c r="C61" s="199" t="s">
        <v>109</v>
      </c>
      <c r="D61" s="199" t="s">
        <v>107</v>
      </c>
      <c r="E61" s="26"/>
      <c r="F61" s="199" t="s">
        <v>159</v>
      </c>
      <c r="G61" s="199" t="s">
        <v>109</v>
      </c>
      <c r="H61" s="283" t="s">
        <v>107</v>
      </c>
      <c r="W61" s="240"/>
      <c r="X61" s="240"/>
      <c r="Y61" s="261">
        <f>$Y$14*$AE61</f>
        <v>2794135.5</v>
      </c>
      <c r="Z61" s="250"/>
      <c r="AA61" s="250"/>
      <c r="AB61" s="256"/>
      <c r="AC61" s="20" t="s">
        <v>79</v>
      </c>
      <c r="AD61" s="128" t="s">
        <v>80</v>
      </c>
      <c r="AE61" s="206">
        <f>100%-D64</f>
        <v>0.9</v>
      </c>
      <c r="AF61" s="274"/>
      <c r="AG61" s="261"/>
      <c r="AH61" s="261"/>
      <c r="AI61" s="261" t="s">
        <v>159</v>
      </c>
      <c r="AJ61" s="278">
        <f>($B$68+$B$70+$B$72+$B$75-$B$77)/$B$25*$B$24</f>
        <v>24892.811875624378</v>
      </c>
      <c r="AK61" s="278">
        <f>($B$68+$B$70+$B$72+$B$75-$B$77)/$B$25*($E$24+$H$24)</f>
        <v>24843.125624375625</v>
      </c>
      <c r="AL61" s="278"/>
      <c r="AM61" s="278">
        <f>SUM(AJ61:AK61)</f>
        <v>49735.9375</v>
      </c>
      <c r="AN61" s="25"/>
      <c r="AO61" s="24"/>
      <c r="AP61" s="270"/>
      <c r="AQ61" s="131"/>
    </row>
    <row r="62" spans="1:47" ht="14.65" customHeight="1">
      <c r="A62" s="48" t="s">
        <v>191</v>
      </c>
      <c r="B62" s="346">
        <f>33-8</f>
        <v>25</v>
      </c>
      <c r="C62" s="346">
        <v>20</v>
      </c>
      <c r="D62" s="78">
        <f>SUM(B62:C62)</f>
        <v>45</v>
      </c>
      <c r="F62" s="346">
        <f>11+1</f>
        <v>12</v>
      </c>
      <c r="G62" s="346">
        <v>4</v>
      </c>
      <c r="H62" s="79">
        <f>SUM(F62:G62)</f>
        <v>16</v>
      </c>
      <c r="W62" s="269"/>
      <c r="X62" s="269"/>
      <c r="Y62" s="262">
        <f>$Y$14*$AE62</f>
        <v>310459.5</v>
      </c>
      <c r="Z62" s="250"/>
      <c r="AA62" s="250"/>
      <c r="AB62" s="256"/>
      <c r="AC62" s="20" t="s">
        <v>81</v>
      </c>
      <c r="AD62" s="128" t="s">
        <v>82</v>
      </c>
      <c r="AE62" s="138">
        <f>D64</f>
        <v>0.1</v>
      </c>
      <c r="AF62" s="274"/>
      <c r="AG62" s="261"/>
      <c r="AH62" s="261"/>
      <c r="AI62" s="261" t="s">
        <v>109</v>
      </c>
      <c r="AJ62" s="279">
        <v>0</v>
      </c>
      <c r="AK62" s="279">
        <f>($B$69+$B$71+$B$73)/$E$24*($E$24+$H$24)</f>
        <v>68640</v>
      </c>
      <c r="AL62" s="279"/>
      <c r="AM62" s="279">
        <f>SUM(AJ62:AK62)</f>
        <v>68640</v>
      </c>
      <c r="AN62" s="25"/>
      <c r="AO62" s="24"/>
      <c r="AP62" s="270"/>
      <c r="AQ62" s="131"/>
    </row>
    <row r="63" spans="1:47" ht="14.65" customHeight="1" thickBot="1">
      <c r="A63" s="48" t="s">
        <v>192</v>
      </c>
      <c r="B63" s="347">
        <f>28.6*(1+$F$150)</f>
        <v>29.172000000000001</v>
      </c>
      <c r="C63" s="347">
        <f>28.6*(1+$F$150)</f>
        <v>29.172000000000001</v>
      </c>
      <c r="D63" s="80">
        <f>($B$62*B63+$C$62*C63)/$D$62</f>
        <v>29.172000000000004</v>
      </c>
      <c r="E63" s="26"/>
      <c r="F63" s="347">
        <f>31.47*(1+$F$150)</f>
        <v>32.099400000000003</v>
      </c>
      <c r="G63" s="347">
        <f>31.47*(1+$F$150)</f>
        <v>32.099400000000003</v>
      </c>
      <c r="H63" s="81">
        <f>($F$62*F63+$G$62*G63)/$H$62</f>
        <v>32.099400000000003</v>
      </c>
      <c r="W63" s="235"/>
      <c r="X63" s="235"/>
      <c r="Y63" s="24">
        <f>SUM(Y61:Y62)</f>
        <v>3104595</v>
      </c>
      <c r="Z63" s="268"/>
      <c r="AA63" s="268"/>
      <c r="AB63" s="256" t="s">
        <v>19</v>
      </c>
      <c r="AC63" s="130" t="s">
        <v>20</v>
      </c>
      <c r="AD63" s="257" t="s">
        <v>107</v>
      </c>
      <c r="AE63" s="138"/>
      <c r="AF63" s="271">
        <f>$AN$63*AO63*$B$24</f>
        <v>777892.89956138504</v>
      </c>
      <c r="AG63" s="272">
        <f>$AN$63*AP63*($E$24+$H$24)</f>
        <v>2921319.6168977492</v>
      </c>
      <c r="AH63" s="272"/>
      <c r="AI63" s="273">
        <f>SUM(AF63:AG63)</f>
        <v>3699212.5164591344</v>
      </c>
      <c r="AJ63" s="280">
        <f>SUM(AJ61:AJ62)</f>
        <v>24892.811875624378</v>
      </c>
      <c r="AK63" s="280">
        <f>SUM(AK61:AK62)</f>
        <v>93483.125624375622</v>
      </c>
      <c r="AL63" s="280"/>
      <c r="AM63" s="280">
        <f>SUM(AM61:AM62)</f>
        <v>118375.9375</v>
      </c>
      <c r="AN63" s="277">
        <f>$AN$14</f>
        <v>31.249699851028716</v>
      </c>
      <c r="AO63" s="275">
        <f>AJ63/$B$24</f>
        <v>0.49686251248751256</v>
      </c>
      <c r="AP63" s="276">
        <f>AK63/($E$24+$H$24)</f>
        <v>1.8696625124875124</v>
      </c>
      <c r="AQ63" s="131"/>
    </row>
    <row r="64" spans="1:47" ht="14.65" customHeight="1">
      <c r="A64" s="48" t="s">
        <v>193</v>
      </c>
      <c r="B64" s="343">
        <v>0.1</v>
      </c>
      <c r="C64" s="343">
        <v>0.1</v>
      </c>
      <c r="D64" s="203">
        <f>($B$62*B64+$C$62*C64)/$D$62</f>
        <v>0.1</v>
      </c>
      <c r="E64" s="26"/>
      <c r="F64" s="343">
        <v>0.05</v>
      </c>
      <c r="G64" s="343">
        <v>0.05</v>
      </c>
      <c r="H64" s="211">
        <f>($F$62*F64+$G$62*G64)/$H$62</f>
        <v>0.05</v>
      </c>
      <c r="AF64" s="1014" t="s">
        <v>254</v>
      </c>
      <c r="AG64" s="1015"/>
      <c r="AH64" s="1015"/>
      <c r="AI64" s="1015"/>
      <c r="AJ64" s="1015"/>
      <c r="AK64" s="1015"/>
      <c r="AL64" s="1015"/>
      <c r="AM64" s="1015"/>
      <c r="AN64" s="1015"/>
      <c r="AO64" s="1015"/>
      <c r="AP64" s="1016"/>
    </row>
    <row r="65" spans="1:43" ht="14.65" customHeight="1">
      <c r="A65" s="43"/>
      <c r="H65" s="45"/>
      <c r="W65" s="240"/>
      <c r="X65" s="240"/>
      <c r="Y65" s="261">
        <f>$Y$15*$AE65</f>
        <v>1145517.5999999999</v>
      </c>
      <c r="Z65" s="250"/>
      <c r="AA65" s="250"/>
      <c r="AB65" s="256"/>
      <c r="AC65" s="20" t="s">
        <v>83</v>
      </c>
      <c r="AD65" s="128" t="s">
        <v>84</v>
      </c>
      <c r="AE65" s="138">
        <f>100%-H64</f>
        <v>0.95</v>
      </c>
      <c r="AF65" s="274"/>
      <c r="AG65" s="261"/>
      <c r="AH65" s="261"/>
      <c r="AI65" s="261" t="s">
        <v>159</v>
      </c>
      <c r="AJ65" s="278">
        <f>($F$68+$F$70+$F$72+$F$75-$F$77)/$B$25*$B$24</f>
        <v>13772.945454545456</v>
      </c>
      <c r="AK65" s="278">
        <f>($F$68+$F$70+$F$72+$F$75-$F$77)/$B$25*($E$24+$H$24)</f>
        <v>13745.454545454546</v>
      </c>
      <c r="AL65" s="278"/>
      <c r="AM65" s="278">
        <f>SUM(AJ65:AK65)</f>
        <v>27518.400000000001</v>
      </c>
      <c r="AN65" s="25"/>
      <c r="AO65" s="24"/>
      <c r="AP65" s="270"/>
      <c r="AQ65" s="131"/>
    </row>
    <row r="66" spans="1:43" ht="14.65" customHeight="1">
      <c r="A66" s="48"/>
      <c r="B66" s="1017" t="s">
        <v>18</v>
      </c>
      <c r="C66" s="1017"/>
      <c r="D66" s="1017"/>
      <c r="F66" s="1017" t="s">
        <v>47</v>
      </c>
      <c r="G66" s="1017"/>
      <c r="H66" s="1018"/>
      <c r="W66" s="269"/>
      <c r="X66" s="269"/>
      <c r="Y66" s="262">
        <f>$Y$15*$AE66</f>
        <v>60290.400000000001</v>
      </c>
      <c r="Z66" s="250"/>
      <c r="AA66" s="250"/>
      <c r="AB66" s="256"/>
      <c r="AC66" s="20" t="s">
        <v>85</v>
      </c>
      <c r="AD66" s="128" t="s">
        <v>86</v>
      </c>
      <c r="AE66" s="138">
        <f>H64</f>
        <v>0.05</v>
      </c>
      <c r="AF66" s="274"/>
      <c r="AG66" s="261"/>
      <c r="AH66" s="261"/>
      <c r="AI66" s="261" t="s">
        <v>109</v>
      </c>
      <c r="AJ66" s="279">
        <v>0</v>
      </c>
      <c r="AK66" s="279">
        <f>($F$69+$F$71+$F$73)/$E$24*($E$24+$H$24)</f>
        <v>13103.999999999998</v>
      </c>
      <c r="AL66" s="279"/>
      <c r="AM66" s="279">
        <f>SUM(AJ66:AK66)</f>
        <v>13103.999999999998</v>
      </c>
      <c r="AN66" s="25"/>
      <c r="AO66" s="24"/>
      <c r="AP66" s="270"/>
      <c r="AQ66" s="131"/>
    </row>
    <row r="67" spans="1:43" ht="14.65" customHeight="1" thickBot="1">
      <c r="A67" s="48"/>
      <c r="B67" s="83" t="s">
        <v>48</v>
      </c>
      <c r="C67" s="83" t="s">
        <v>49</v>
      </c>
      <c r="D67" s="84" t="s">
        <v>50</v>
      </c>
      <c r="E67" s="52"/>
      <c r="F67" s="83" t="s">
        <v>48</v>
      </c>
      <c r="G67" s="83" t="s">
        <v>49</v>
      </c>
      <c r="H67" s="85" t="s">
        <v>50</v>
      </c>
      <c r="I67" s="52"/>
      <c r="W67" s="235"/>
      <c r="X67" s="235"/>
      <c r="Y67" s="24">
        <f>SUM(Y65:Y66)</f>
        <v>1205807.9999999998</v>
      </c>
      <c r="Z67" s="268"/>
      <c r="AA67" s="268"/>
      <c r="AB67" s="256" t="s">
        <v>19</v>
      </c>
      <c r="AC67" s="130" t="s">
        <v>22</v>
      </c>
      <c r="AD67" s="257" t="s">
        <v>107</v>
      </c>
      <c r="AE67" s="138"/>
      <c r="AF67" s="271">
        <f>$AN$67*AO67*$B$24</f>
        <v>452629.55402181839</v>
      </c>
      <c r="AG67" s="272">
        <f>$AN$67*AP67*($E$24+$H$24)</f>
        <v>882371.65221818187</v>
      </c>
      <c r="AH67" s="272"/>
      <c r="AI67" s="273">
        <f>SUM(AF67:AG67)</f>
        <v>1335001.2062400002</v>
      </c>
      <c r="AJ67" s="280">
        <f>SUM(AJ65:AJ66)</f>
        <v>13772.945454545456</v>
      </c>
      <c r="AK67" s="280">
        <f>SUM(AK65:AK66)</f>
        <v>26849.454545454544</v>
      </c>
      <c r="AL67" s="280"/>
      <c r="AM67" s="280">
        <f>SUM(AM65:AM66)</f>
        <v>40622.400000000001</v>
      </c>
      <c r="AN67" s="277">
        <f>$AN$15</f>
        <v>32.863671428571436</v>
      </c>
      <c r="AO67" s="275">
        <f>AJ67/$B$24</f>
        <v>0.27490909090909094</v>
      </c>
      <c r="AP67" s="276">
        <f>AK67/($E$24+$H$24)</f>
        <v>0.53698909090909086</v>
      </c>
    </row>
    <row r="68" spans="1:43" ht="14.65" customHeight="1">
      <c r="A68" s="48" t="s">
        <v>195</v>
      </c>
      <c r="B68" s="49">
        <f>$D$150*$D$151*B$62</f>
        <v>54600</v>
      </c>
      <c r="C68" s="86">
        <f>B$63</f>
        <v>29.172000000000001</v>
      </c>
      <c r="D68" s="87">
        <f>B68*C68</f>
        <v>1592791.2</v>
      </c>
      <c r="F68" s="49">
        <f>$D$150*$D$151*F$62</f>
        <v>26208</v>
      </c>
      <c r="G68" s="86">
        <f>F$63</f>
        <v>32.099400000000003</v>
      </c>
      <c r="H68" s="88">
        <f>F68*G68</f>
        <v>841261.07520000008</v>
      </c>
      <c r="I68" s="26"/>
      <c r="W68"/>
      <c r="X68"/>
      <c r="Y68"/>
      <c r="Z68" s="131"/>
      <c r="AA68" s="131"/>
      <c r="AB68" s="146"/>
      <c r="AC68" s="131"/>
      <c r="AD68" s="132"/>
      <c r="AE68"/>
      <c r="AF68" s="260" t="s">
        <v>398</v>
      </c>
      <c r="AG68" s="131"/>
      <c r="AH68" s="131"/>
      <c r="AI68" s="131"/>
      <c r="AJ68" s="162"/>
    </row>
    <row r="69" spans="1:43" ht="14.65" customHeight="1">
      <c r="A69" s="48" t="s">
        <v>196</v>
      </c>
      <c r="B69" s="49">
        <f>$D$150*$D$151*C$62</f>
        <v>43680</v>
      </c>
      <c r="C69" s="205">
        <f>C$63</f>
        <v>29.172000000000001</v>
      </c>
      <c r="D69" s="78">
        <f>B69*C69</f>
        <v>1274232.96</v>
      </c>
      <c r="F69" s="49">
        <f>$D$150*$D$151*G$62</f>
        <v>8736</v>
      </c>
      <c r="G69" s="205">
        <f>G$63</f>
        <v>32.099400000000003</v>
      </c>
      <c r="H69" s="79">
        <f>F69*G69</f>
        <v>280420.35840000003</v>
      </c>
      <c r="I69" s="26"/>
      <c r="W69" s="240"/>
      <c r="X69" s="240"/>
      <c r="Y69" s="261">
        <f t="shared" ref="Y69:Y74" si="58">$Y$16*$AE69</f>
        <v>152926.99688676081</v>
      </c>
      <c r="Z69" s="250"/>
      <c r="AA69" s="250"/>
      <c r="AB69" s="159"/>
      <c r="AC69" s="20" t="s">
        <v>87</v>
      </c>
      <c r="AD69" s="128" t="s">
        <v>88</v>
      </c>
      <c r="AE69" s="138">
        <f t="shared" ref="AE69:AE74" si="59">AF69/$AF$75</f>
        <v>8.8696471435533455E-2</v>
      </c>
      <c r="AF69" s="143">
        <v>113854.1</v>
      </c>
      <c r="AG69" s="133"/>
      <c r="AH69" s="133"/>
      <c r="AI69" s="133"/>
      <c r="AJ69" s="143"/>
      <c r="AN69" s="240"/>
      <c r="AO69" s="240"/>
    </row>
    <row r="70" spans="1:43" ht="14.65" customHeight="1">
      <c r="A70" s="48" t="s">
        <v>197</v>
      </c>
      <c r="B70" s="49">
        <f>B68*B64</f>
        <v>5460</v>
      </c>
      <c r="C70" s="89">
        <f>B63*D152</f>
        <v>43.758000000000003</v>
      </c>
      <c r="D70" s="78">
        <f>B70*C70</f>
        <v>238918.68000000002</v>
      </c>
      <c r="F70" s="49">
        <f>F68*F64</f>
        <v>1310.4000000000001</v>
      </c>
      <c r="G70" s="89">
        <f>F63*D152</f>
        <v>48.149100000000004</v>
      </c>
      <c r="H70" s="79">
        <f>F70*G70</f>
        <v>63094.580640000007</v>
      </c>
      <c r="I70" s="26"/>
      <c r="W70" s="240"/>
      <c r="X70" s="240"/>
      <c r="Y70" s="261">
        <f t="shared" si="58"/>
        <v>143396.26073479431</v>
      </c>
      <c r="Z70" s="250"/>
      <c r="AA70" s="250"/>
      <c r="AB70" s="159"/>
      <c r="AC70" s="20" t="s">
        <v>89</v>
      </c>
      <c r="AD70" s="128" t="s">
        <v>90</v>
      </c>
      <c r="AE70" s="138">
        <f t="shared" si="59"/>
        <v>8.3168718428728125E-2</v>
      </c>
      <c r="AF70" s="143">
        <v>106758.47</v>
      </c>
      <c r="AG70" s="133"/>
      <c r="AH70" s="133"/>
      <c r="AI70" s="133"/>
      <c r="AJ70" s="143"/>
      <c r="AN70" s="240"/>
      <c r="AO70" s="240"/>
    </row>
    <row r="71" spans="1:43" ht="14.65" customHeight="1">
      <c r="A71" s="48" t="s">
        <v>198</v>
      </c>
      <c r="B71" s="49">
        <f>B69*C64</f>
        <v>4368</v>
      </c>
      <c r="C71" s="89">
        <f>C63*D152</f>
        <v>43.758000000000003</v>
      </c>
      <c r="D71" s="78">
        <f>B71*C71</f>
        <v>191134.94400000002</v>
      </c>
      <c r="F71" s="49">
        <f>F69*G64</f>
        <v>436.8</v>
      </c>
      <c r="G71" s="89">
        <f>G63*D152</f>
        <v>48.149100000000004</v>
      </c>
      <c r="H71" s="79">
        <f>F71*G71</f>
        <v>21031.526880000001</v>
      </c>
      <c r="I71" s="26"/>
      <c r="W71" s="240"/>
      <c r="X71" s="240"/>
      <c r="Y71" s="261">
        <f t="shared" si="58"/>
        <v>142313.82910535688</v>
      </c>
      <c r="Z71" s="250"/>
      <c r="AA71" s="250"/>
      <c r="AB71" s="159"/>
      <c r="AC71" s="20" t="s">
        <v>91</v>
      </c>
      <c r="AD71" s="128" t="s">
        <v>92</v>
      </c>
      <c r="AE71" s="138">
        <f t="shared" si="59"/>
        <v>8.2540916483644436E-2</v>
      </c>
      <c r="AF71" s="143">
        <v>105952.6</v>
      </c>
      <c r="AG71" s="133"/>
      <c r="AH71" s="133"/>
      <c r="AI71" s="133"/>
      <c r="AJ71" s="143"/>
      <c r="AN71" s="240"/>
      <c r="AO71" s="240"/>
    </row>
    <row r="72" spans="1:43" ht="14.65" customHeight="1">
      <c r="A72" s="48" t="s">
        <v>199</v>
      </c>
      <c r="B72" s="49">
        <v>0</v>
      </c>
      <c r="C72" s="90"/>
      <c r="D72" s="685">
        <f>96*(35.78*1.02)*12*1.5</f>
        <v>63064.39680000001</v>
      </c>
      <c r="F72" s="49">
        <v>0</v>
      </c>
      <c r="G72" s="89"/>
      <c r="H72" s="79">
        <v>0</v>
      </c>
      <c r="I72" s="26"/>
      <c r="W72" s="240"/>
      <c r="X72" s="240"/>
      <c r="Y72" s="261">
        <f t="shared" si="58"/>
        <v>860260.64024811646</v>
      </c>
      <c r="Z72" s="250"/>
      <c r="AA72" s="250"/>
      <c r="AB72" s="159"/>
      <c r="AC72" s="20" t="s">
        <v>93</v>
      </c>
      <c r="AD72" s="128" t="s">
        <v>94</v>
      </c>
      <c r="AE72" s="138">
        <f t="shared" si="59"/>
        <v>0.49894449546655822</v>
      </c>
      <c r="AF72" s="143">
        <v>640463.77</v>
      </c>
      <c r="AG72" s="133"/>
      <c r="AH72" s="133"/>
      <c r="AI72" s="133"/>
      <c r="AJ72" s="143"/>
      <c r="AN72" s="240"/>
      <c r="AO72" s="240"/>
    </row>
    <row r="73" spans="1:43" ht="14.65" customHeight="1">
      <c r="A73" s="48" t="s">
        <v>200</v>
      </c>
      <c r="B73" s="170">
        <v>0</v>
      </c>
      <c r="C73" s="177"/>
      <c r="D73" s="178">
        <v>0</v>
      </c>
      <c r="E73" s="163"/>
      <c r="F73" s="170">
        <v>0</v>
      </c>
      <c r="G73" s="177"/>
      <c r="H73" s="194">
        <v>0</v>
      </c>
      <c r="I73" s="26"/>
      <c r="W73" s="240"/>
      <c r="X73" s="240"/>
      <c r="Y73" s="261">
        <f t="shared" si="58"/>
        <v>393466.13370174629</v>
      </c>
      <c r="Z73" s="250"/>
      <c r="AA73" s="250"/>
      <c r="AB73" s="159"/>
      <c r="AC73" s="20" t="s">
        <v>95</v>
      </c>
      <c r="AD73" s="128" t="s">
        <v>96</v>
      </c>
      <c r="AE73" s="138">
        <f t="shared" si="59"/>
        <v>0.22820730413328355</v>
      </c>
      <c r="AF73" s="143">
        <v>292935.40999999997</v>
      </c>
      <c r="AG73" s="133"/>
      <c r="AH73" s="133"/>
      <c r="AI73" s="133"/>
      <c r="AJ73" s="143"/>
      <c r="AN73" s="240"/>
      <c r="AO73" s="240"/>
    </row>
    <row r="74" spans="1:43" ht="14.65" customHeight="1">
      <c r="A74" s="176" t="s">
        <v>161</v>
      </c>
      <c r="B74" s="49">
        <f>SUM(B68:B73)</f>
        <v>108108</v>
      </c>
      <c r="C74" s="80">
        <f>D74/B74</f>
        <v>31.081346253746261</v>
      </c>
      <c r="D74" s="167">
        <f>SUM(D68:D73)</f>
        <v>3360142.1808000007</v>
      </c>
      <c r="E74" s="163"/>
      <c r="F74" s="49">
        <f>SUM(F68:F73)</f>
        <v>36691.200000000004</v>
      </c>
      <c r="G74" s="80">
        <f>H74/F74</f>
        <v>32.863671428571429</v>
      </c>
      <c r="H74" s="91">
        <f>SUM(H68:H73)</f>
        <v>1205807.5411200002</v>
      </c>
      <c r="I74" s="26"/>
      <c r="W74" s="269"/>
      <c r="X74" s="269"/>
      <c r="Y74" s="262">
        <f t="shared" si="58"/>
        <v>31797.139323225183</v>
      </c>
      <c r="Z74" s="250"/>
      <c r="AA74" s="250"/>
      <c r="AB74" s="159"/>
      <c r="AC74" s="20" t="s">
        <v>97</v>
      </c>
      <c r="AD74" s="128" t="s">
        <v>98</v>
      </c>
      <c r="AE74" s="258">
        <f t="shared" si="59"/>
        <v>1.8442094052252188E-2</v>
      </c>
      <c r="AF74" s="161">
        <v>23672.959999999999</v>
      </c>
      <c r="AG74" s="133"/>
      <c r="AH74" s="133"/>
      <c r="AI74" s="133"/>
      <c r="AJ74" s="161"/>
      <c r="AN74" s="240"/>
      <c r="AO74" s="240"/>
    </row>
    <row r="75" spans="1:43" ht="14.65" customHeight="1">
      <c r="A75" s="176" t="s">
        <v>217</v>
      </c>
      <c r="B75" s="170">
        <f>-H84</f>
        <v>-8760</v>
      </c>
      <c r="C75" s="209">
        <f>D75/B75</f>
        <v>29.172031963470321</v>
      </c>
      <c r="D75" s="179">
        <f>ROUND(B75*B63,0)</f>
        <v>-255547</v>
      </c>
      <c r="E75" s="163"/>
      <c r="F75" s="170">
        <v>0</v>
      </c>
      <c r="G75" s="210"/>
      <c r="H75" s="195">
        <v>0</v>
      </c>
      <c r="I75" s="163"/>
      <c r="W75" s="235"/>
      <c r="X75" s="235"/>
      <c r="Y75" s="24">
        <f>SUM(Y69:Y74)</f>
        <v>1724161</v>
      </c>
      <c r="Z75" s="268"/>
      <c r="AA75" s="268"/>
      <c r="AB75" s="256" t="s">
        <v>19</v>
      </c>
      <c r="AC75" s="130" t="s">
        <v>24</v>
      </c>
      <c r="AD75" s="257" t="s">
        <v>107</v>
      </c>
      <c r="AE75" s="138">
        <f>SUM(AE69:AE74)</f>
        <v>0.99999999999999989</v>
      </c>
      <c r="AF75" s="259">
        <f>SUM(AF69:AF74)</f>
        <v>1283637.31</v>
      </c>
      <c r="AG75"/>
      <c r="AH75"/>
      <c r="AI75"/>
      <c r="AJ75" s="160"/>
      <c r="AN75" s="241"/>
      <c r="AO75" s="241"/>
    </row>
    <row r="76" spans="1:43" ht="14.65" customHeight="1">
      <c r="A76" s="176" t="s">
        <v>162</v>
      </c>
      <c r="B76" s="165">
        <f>SUM(B74:B75)</f>
        <v>99348</v>
      </c>
      <c r="C76" s="166">
        <f>D76/B76</f>
        <v>31.249699851028716</v>
      </c>
      <c r="D76" s="169">
        <f>SUM(D74:D75)</f>
        <v>3104595.1808000007</v>
      </c>
      <c r="E76" s="163"/>
      <c r="F76" s="165">
        <f>SUM(F74:F75)</f>
        <v>36691.200000000004</v>
      </c>
      <c r="G76" s="196">
        <f>H76/F76</f>
        <v>32.863671428571429</v>
      </c>
      <c r="H76" s="164">
        <f>SUM(H74:H75)</f>
        <v>1205807.5411200002</v>
      </c>
    </row>
    <row r="77" spans="1:43" ht="14.65" customHeight="1">
      <c r="A77" s="141" t="s">
        <v>163</v>
      </c>
      <c r="B77" s="165">
        <f>H85</f>
        <v>1564.0625</v>
      </c>
      <c r="C77" s="166"/>
      <c r="D77" s="169">
        <f>B77*C76</f>
        <v>48876.483673249597</v>
      </c>
      <c r="E77" s="163"/>
      <c r="F77" s="165">
        <v>0</v>
      </c>
      <c r="G77" s="40"/>
      <c r="H77" s="164">
        <f>F77*G76</f>
        <v>0</v>
      </c>
    </row>
    <row r="78" spans="1:43" ht="14.65" customHeight="1">
      <c r="A78" s="141" t="s">
        <v>164</v>
      </c>
      <c r="B78" s="165">
        <f>B76-B77</f>
        <v>97783.9375</v>
      </c>
      <c r="C78" s="166"/>
      <c r="D78" s="169">
        <f>B78*C76</f>
        <v>3055718.6971267513</v>
      </c>
      <c r="E78" s="163"/>
      <c r="F78" s="165">
        <f>F76-F77</f>
        <v>36691.200000000004</v>
      </c>
      <c r="G78" s="196"/>
      <c r="H78" s="197">
        <f>F78*G76</f>
        <v>1205807.5411200002</v>
      </c>
    </row>
    <row r="79" spans="1:43" ht="14.65" customHeight="1" thickBot="1">
      <c r="A79" s="48"/>
      <c r="B79" s="59"/>
      <c r="H79" s="45"/>
    </row>
    <row r="80" spans="1:43" ht="14.65" customHeight="1">
      <c r="A80" s="48" t="str">
        <f>CONCATENATE("Indirect Payroll Cost (IPC) at ",$D$153*100,"% (NIRO)")</f>
        <v>Indirect Payroll Cost (IPC) at 40% (NIRO)</v>
      </c>
      <c r="B80" s="49">
        <f>B68+B70+B72</f>
        <v>60060</v>
      </c>
      <c r="C80" s="80">
        <f>D80/B80</f>
        <v>18.642223993606397</v>
      </c>
      <c r="D80" s="204">
        <f>((D68+D70+D72)*$D$153)+((H68+H70+H72)*$D$153)</f>
        <v>1119651.9730560002</v>
      </c>
      <c r="E80" s="1019" t="s">
        <v>300</v>
      </c>
      <c r="F80" s="1019"/>
      <c r="G80" s="1019"/>
      <c r="H80" s="357">
        <f>B63*(1+D153)*H83</f>
        <v>421642.97175000003</v>
      </c>
      <c r="AF80" s="1014" t="s">
        <v>255</v>
      </c>
      <c r="AG80" s="1015"/>
      <c r="AH80" s="1015"/>
      <c r="AI80" s="1015"/>
      <c r="AJ80" s="1015"/>
      <c r="AK80" s="1015"/>
      <c r="AL80" s="1015"/>
      <c r="AM80" s="1015"/>
      <c r="AN80" s="1015"/>
      <c r="AO80" s="1015"/>
      <c r="AP80" s="1016"/>
    </row>
    <row r="81" spans="1:42" ht="14.65" customHeight="1">
      <c r="A81" s="48" t="str">
        <f>CONCATENATE("Indirect Payroll Cost (IPC) at ",$D$153*100,"% (KS)")</f>
        <v>Indirect Payroll Cost (IPC) at 40% (KS)</v>
      </c>
      <c r="B81" s="170">
        <f>B69+B71+B73</f>
        <v>48048</v>
      </c>
      <c r="C81" s="209">
        <f>D81/B81</f>
        <v>14.708789454545457</v>
      </c>
      <c r="D81" s="179">
        <f>((D69+D71+D73)*$D$153)+((H69+H71+H73)*$D$153)</f>
        <v>706727.9157120001</v>
      </c>
      <c r="E81" s="1019" t="s">
        <v>301</v>
      </c>
      <c r="F81" s="1022"/>
      <c r="G81" s="356">
        <v>0.2</v>
      </c>
      <c r="H81" s="292">
        <f>B25*G81*1000</f>
        <v>20020000</v>
      </c>
      <c r="AF81" s="274"/>
      <c r="AG81" s="261"/>
      <c r="AH81" s="261"/>
      <c r="AI81" s="261" t="s">
        <v>159</v>
      </c>
      <c r="AJ81" s="278">
        <f>($B$68+$B$70+$B$72+$B$75-$B$77)/$B$25*$B$24</f>
        <v>24892.811875624378</v>
      </c>
      <c r="AK81" s="278">
        <f>($B$68+$B$70+$B$72+$B$75-$B$77)/$B$25*($E$24+$H$24)</f>
        <v>24843.125624375625</v>
      </c>
      <c r="AL81" s="278"/>
      <c r="AM81" s="278">
        <f>SUM(AJ81:AK81)</f>
        <v>49735.9375</v>
      </c>
      <c r="AN81" s="25"/>
      <c r="AO81" s="24"/>
      <c r="AP81" s="270"/>
    </row>
    <row r="82" spans="1:42" ht="14.65" customHeight="1">
      <c r="A82" s="176" t="str">
        <f>CONCATENATE("Total IPC at ",$D$153*100,"% (KS)")</f>
        <v>Total IPC at 40% (KS)</v>
      </c>
      <c r="B82" s="49">
        <f>SUM(B80:B81)</f>
        <v>108108</v>
      </c>
      <c r="C82" s="80">
        <f>D82/B82</f>
        <v>16.894030865134869</v>
      </c>
      <c r="D82" s="207">
        <f>SUM(D80:D81)</f>
        <v>1826379.8887680003</v>
      </c>
      <c r="E82" s="293" t="s">
        <v>158</v>
      </c>
      <c r="F82" s="294" t="s">
        <v>50</v>
      </c>
      <c r="G82" s="294" t="s">
        <v>52</v>
      </c>
      <c r="H82" s="295" t="s">
        <v>53</v>
      </c>
      <c r="AF82" s="274"/>
      <c r="AG82" s="261"/>
      <c r="AH82" s="261"/>
      <c r="AI82" s="261" t="s">
        <v>109</v>
      </c>
      <c r="AJ82" s="279">
        <v>0</v>
      </c>
      <c r="AK82" s="279">
        <f>($B$69+$B$71+$B$73)/($E$24+$H$24)*($E$24+$H$24)</f>
        <v>48048</v>
      </c>
      <c r="AL82" s="279"/>
      <c r="AM82" s="279">
        <f>SUM(AJ82:AK82)</f>
        <v>48048</v>
      </c>
      <c r="AN82" s="25"/>
      <c r="AO82" s="24"/>
      <c r="AP82" s="270"/>
    </row>
    <row r="83" spans="1:42" ht="14.65" customHeight="1" thickBot="1">
      <c r="A83" s="176" t="s">
        <v>201</v>
      </c>
      <c r="B83" s="147">
        <f>B75</f>
        <v>-8760</v>
      </c>
      <c r="C83" s="208">
        <f>D83/B83</f>
        <v>11.668835616438356</v>
      </c>
      <c r="D83" s="168">
        <f>ROUND(B83*$B$63*D153,0)</f>
        <v>-102219</v>
      </c>
      <c r="E83" s="298" t="s">
        <v>151</v>
      </c>
      <c r="F83" s="296">
        <f>SUM(F84:F85)</f>
        <v>304423.20367324958</v>
      </c>
      <c r="G83" s="296">
        <f>SUM(G84:G85)</f>
        <v>129362.62033974213</v>
      </c>
      <c r="H83" s="297">
        <f>SUM(H84:H85)</f>
        <v>10324.0625</v>
      </c>
      <c r="AF83" s="271">
        <f>$AN$83*AO83*$B$24</f>
        <v>432008.82400663494</v>
      </c>
      <c r="AG83" s="272">
        <f>$AN$83*AP83*($E$24+$H$24)</f>
        <v>1265008.1324216234</v>
      </c>
      <c r="AH83" s="272"/>
      <c r="AI83" s="273">
        <f>SUM(AF83:AG83)</f>
        <v>1697016.9564282584</v>
      </c>
      <c r="AJ83" s="280">
        <f>SUM(AJ81:AJ82)</f>
        <v>24892.811875624378</v>
      </c>
      <c r="AK83" s="280">
        <f>SUM(AK81:AK82)</f>
        <v>72891.125624375622</v>
      </c>
      <c r="AL83" s="280"/>
      <c r="AM83" s="280">
        <f>SUM(AM81:AM82)</f>
        <v>97783.9375</v>
      </c>
      <c r="AN83" s="277">
        <f>$AN$16</f>
        <v>17.354761935499461</v>
      </c>
      <c r="AO83" s="275">
        <f>AJ83/$B$24</f>
        <v>0.49686251248751256</v>
      </c>
      <c r="AP83" s="276">
        <f>AK83/($E$24+$H$24)</f>
        <v>1.4578225124875124</v>
      </c>
    </row>
    <row r="84" spans="1:42" ht="14.65" customHeight="1">
      <c r="A84" s="176" t="s">
        <v>165</v>
      </c>
      <c r="B84" s="165">
        <f>SUM(B82:B83)</f>
        <v>99348</v>
      </c>
      <c r="C84" s="166">
        <f>D84/B84</f>
        <v>17.354761935499461</v>
      </c>
      <c r="D84" s="169">
        <f>SUM(D82:D83)</f>
        <v>1724160.8887680003</v>
      </c>
      <c r="E84" s="298" t="s">
        <v>54</v>
      </c>
      <c r="F84" s="296">
        <f>$H84*$B$63</f>
        <v>255546.72</v>
      </c>
      <c r="G84" s="296">
        <f>$H84*$B$63*$D$153</f>
        <v>102218.68800000001</v>
      </c>
      <c r="H84" s="297">
        <f>1*365*24</f>
        <v>8760</v>
      </c>
    </row>
    <row r="85" spans="1:42" ht="14.65" customHeight="1">
      <c r="A85" s="141" t="s">
        <v>166</v>
      </c>
      <c r="B85" s="165">
        <f>H85</f>
        <v>1564.0625</v>
      </c>
      <c r="C85" s="166"/>
      <c r="D85" s="169">
        <f>B85*C84</f>
        <v>27143.932339742125</v>
      </c>
      <c r="E85" s="298" t="s">
        <v>55</v>
      </c>
      <c r="F85" s="296">
        <f>$H85*$C$76</f>
        <v>48876.483673249597</v>
      </c>
      <c r="G85" s="296">
        <f>$H85*$C$84</f>
        <v>27143.932339742125</v>
      </c>
      <c r="H85" s="297">
        <f>H81/12800</f>
        <v>1564.0625</v>
      </c>
    </row>
    <row r="86" spans="1:42" ht="14.65" customHeight="1">
      <c r="A86" s="141" t="s">
        <v>167</v>
      </c>
      <c r="B86" s="165">
        <f>B84-B85</f>
        <v>97783.9375</v>
      </c>
      <c r="C86" s="196"/>
      <c r="D86" s="169">
        <f>B86*C84</f>
        <v>1697016.9564282582</v>
      </c>
      <c r="E86" s="26"/>
      <c r="F86" s="26"/>
      <c r="G86" s="26"/>
      <c r="H86" s="77"/>
    </row>
    <row r="87" spans="1:42" ht="14.65" customHeight="1">
      <c r="A87" s="48"/>
      <c r="B87" s="26"/>
      <c r="C87" s="26"/>
      <c r="D87" s="299"/>
      <c r="E87" s="1009" t="s">
        <v>473</v>
      </c>
      <c r="F87" s="1009"/>
      <c r="G87" s="1009" t="s">
        <v>474</v>
      </c>
      <c r="H87" s="1010"/>
    </row>
    <row r="88" spans="1:42" ht="14.65" customHeight="1">
      <c r="A88" s="48"/>
      <c r="B88" s="26"/>
      <c r="C88" s="26"/>
      <c r="D88" s="299"/>
      <c r="E88" s="199" t="s">
        <v>53</v>
      </c>
      <c r="F88" s="199" t="s">
        <v>273</v>
      </c>
      <c r="G88" s="199" t="s">
        <v>53</v>
      </c>
      <c r="H88" s="305" t="s">
        <v>273</v>
      </c>
    </row>
    <row r="89" spans="1:42" ht="14.65" customHeight="1">
      <c r="A89" s="48" t="s">
        <v>274</v>
      </c>
      <c r="B89" s="26"/>
      <c r="C89" s="26"/>
      <c r="D89" s="299"/>
      <c r="E89" s="49">
        <f>IF(AND($B$132&lt;&gt;0,$C$132&lt;&gt;0),$B$78/$D$132*$B$132,IF(AND($B$132&lt;&gt;0,$C$132=0),$B$78,0))</f>
        <v>48940.811875624371</v>
      </c>
      <c r="F89" s="102">
        <f>E89*$C$76</f>
        <v>1529385.6815789232</v>
      </c>
      <c r="G89" s="49">
        <f>IF(AND($B$132&lt;&gt;0,$C$132&lt;&gt;0),$B$78/$D$132*$C$132,IF(AND($B$132=0,$C$132&lt;&gt;0),$B$78,0))</f>
        <v>48843.125624375622</v>
      </c>
      <c r="H89" s="303">
        <f>G89*$C$76</f>
        <v>1526333.0155478278</v>
      </c>
    </row>
    <row r="90" spans="1:42" ht="14.65" customHeight="1">
      <c r="A90" s="48" t="s">
        <v>275</v>
      </c>
      <c r="B90" s="26"/>
      <c r="C90" s="26"/>
      <c r="D90" s="299"/>
      <c r="E90" s="49">
        <f>IF(AND($B$132&lt;&gt;0,$C$132&lt;&gt;0),$F$78/$D$132*$B$132,IF(AND($B$132&lt;&gt;0,$C$132=0),$F$78,0))</f>
        <v>18363.927272727273</v>
      </c>
      <c r="F90" s="102">
        <f>E90*$G$76</f>
        <v>603506.07202909095</v>
      </c>
      <c r="G90" s="49">
        <f>IF(AND($B$132&lt;&gt;0,$C$132&lt;&gt;0),$F$78/$D$132*$C$132,IF(AND($B$132=0,$C$132&lt;&gt;0),$F$78,0))</f>
        <v>18327.272727272728</v>
      </c>
      <c r="H90" s="303">
        <f>G90*$G$76</f>
        <v>602301.46909090912</v>
      </c>
    </row>
    <row r="91" spans="1:42" ht="14.65" customHeight="1">
      <c r="A91" s="112" t="s">
        <v>276</v>
      </c>
      <c r="B91" s="113"/>
      <c r="C91" s="113"/>
      <c r="D91" s="300"/>
      <c r="E91" s="170">
        <f>(E89+E90)/($B$78+$F$78)*$B$86</f>
        <v>48940.811875624371</v>
      </c>
      <c r="F91" s="302">
        <f>E91*$C$84</f>
        <v>849356.13903152582</v>
      </c>
      <c r="G91" s="170">
        <f>(G89+G90)/($B$78+$F$78)*$B$86</f>
        <v>48843.125624375629</v>
      </c>
      <c r="H91" s="304">
        <f>G91*$C$84</f>
        <v>847660.81739673251</v>
      </c>
    </row>
    <row r="92" spans="1:42" ht="14.65" customHeight="1">
      <c r="D92" s="92"/>
      <c r="H92" s="92"/>
    </row>
    <row r="93" spans="1:42" ht="14.65" customHeight="1"/>
    <row r="94" spans="1:42" ht="14.65" customHeight="1">
      <c r="A94" s="82" t="s">
        <v>56</v>
      </c>
      <c r="B94" s="93"/>
      <c r="C94" s="93"/>
      <c r="D94" s="94"/>
      <c r="E94" s="94"/>
      <c r="F94" s="93"/>
      <c r="G94" s="93"/>
      <c r="H94" s="95"/>
    </row>
    <row r="95" spans="1:42" ht="15">
      <c r="A95" s="48"/>
      <c r="B95" s="147" t="s">
        <v>8</v>
      </c>
      <c r="C95" s="213" t="s">
        <v>207</v>
      </c>
      <c r="D95" s="213" t="s">
        <v>213</v>
      </c>
      <c r="F95" s="147" t="s">
        <v>5</v>
      </c>
      <c r="G95" s="213" t="s">
        <v>6</v>
      </c>
      <c r="H95" s="214" t="s">
        <v>214</v>
      </c>
    </row>
    <row r="96" spans="1:42" ht="15">
      <c r="A96" s="48"/>
      <c r="B96" s="49" t="s">
        <v>202</v>
      </c>
      <c r="C96" s="49">
        <f>IF(($B$109*$B$24+$F$109*$E$24+$F$109*$H$24)*1000&lt;=240000,($B$109*$B$24+$F$109*$E$24+$F$109*$H$24)*1000,240000)</f>
        <v>240000</v>
      </c>
      <c r="D96" s="347">
        <v>5.23</v>
      </c>
      <c r="F96" s="49" t="s">
        <v>159</v>
      </c>
      <c r="G96" s="49">
        <f>(B102*$B$24+F102*$E$24+F102*$H$24)*1000</f>
        <v>7408400.0000000009</v>
      </c>
      <c r="H96" s="349">
        <v>0.1</v>
      </c>
    </row>
    <row r="97" spans="1:41" ht="16.5">
      <c r="A97" s="48"/>
      <c r="B97" s="49" t="s">
        <v>203</v>
      </c>
      <c r="C97" s="147">
        <f>IF(C96&gt;=240000,(((B106+B107+B108)*$B$24*1000)+((F106+F107+F108)*($E$24+$H$24)*1000))-240000,0)</f>
        <v>135480</v>
      </c>
      <c r="D97" s="347">
        <v>3.06</v>
      </c>
      <c r="F97" s="49" t="s">
        <v>109</v>
      </c>
      <c r="G97" s="147">
        <f>(B103*$B$24+F103*$E$24+F103*$H$24)*1000</f>
        <v>33450000</v>
      </c>
      <c r="H97" s="349">
        <v>6.5000000000000002E-2</v>
      </c>
    </row>
    <row r="98" spans="1:41">
      <c r="A98" s="48"/>
      <c r="B98" s="49"/>
      <c r="C98" s="49">
        <f>SUM(C96:C97)</f>
        <v>375480</v>
      </c>
      <c r="D98" s="80">
        <f>(C96*D96+C97*D97)/C98</f>
        <v>4.4470246085011187</v>
      </c>
      <c r="F98" s="49"/>
      <c r="G98" s="49">
        <f>SUM(G96:G97)</f>
        <v>40858400</v>
      </c>
      <c r="H98" s="173">
        <f>(G96*H96+G97*H97)/G98</f>
        <v>7.1346161376852735E-2</v>
      </c>
    </row>
    <row r="99" spans="1:41">
      <c r="A99" s="43"/>
      <c r="C99" s="359"/>
      <c r="G99" s="359"/>
      <c r="H99" s="96"/>
    </row>
    <row r="100" spans="1:41">
      <c r="A100" s="48"/>
      <c r="B100" s="1023" t="s">
        <v>194</v>
      </c>
      <c r="C100" s="1023"/>
      <c r="D100" s="1023"/>
      <c r="F100" s="1023" t="s">
        <v>285</v>
      </c>
      <c r="G100" s="1023"/>
      <c r="H100" s="1024"/>
    </row>
    <row r="101" spans="1:41" ht="26.25">
      <c r="A101" s="48"/>
      <c r="B101" s="97" t="s">
        <v>152</v>
      </c>
      <c r="C101" s="13" t="s">
        <v>215</v>
      </c>
      <c r="D101" s="97" t="s">
        <v>153</v>
      </c>
      <c r="F101" s="97" t="s">
        <v>152</v>
      </c>
      <c r="G101" s="13" t="s">
        <v>215</v>
      </c>
      <c r="H101" s="101" t="s">
        <v>153</v>
      </c>
      <c r="AD101"/>
      <c r="AE101"/>
      <c r="AF101"/>
      <c r="AG101"/>
      <c r="AH101"/>
      <c r="AI101"/>
      <c r="AJ101" s="136"/>
    </row>
    <row r="102" spans="1:41" ht="15">
      <c r="A102" s="48" t="s">
        <v>204</v>
      </c>
      <c r="B102" s="350">
        <v>8.4000000000000005E-2</v>
      </c>
      <c r="C102" s="172">
        <f>$H$98</f>
        <v>7.1346161376852735E-2</v>
      </c>
      <c r="D102" s="174">
        <f>B102*C102</f>
        <v>5.9930775556556303E-3</v>
      </c>
      <c r="F102" s="350">
        <f>0.064</f>
        <v>6.4000000000000001E-2</v>
      </c>
      <c r="G102" s="172">
        <f>$H$98</f>
        <v>7.1346161376852735E-2</v>
      </c>
      <c r="H102" s="175">
        <f>F102*G102</f>
        <v>4.5661543281185751E-3</v>
      </c>
      <c r="AB102" s="97"/>
      <c r="AD102"/>
      <c r="AE102"/>
      <c r="AF102"/>
      <c r="AG102"/>
      <c r="AH102"/>
      <c r="AI102"/>
      <c r="AJ102" s="136"/>
    </row>
    <row r="103" spans="1:41" ht="15">
      <c r="A103" s="48" t="s">
        <v>205</v>
      </c>
      <c r="B103" s="350">
        <v>0</v>
      </c>
      <c r="C103" s="172">
        <f>$H$98</f>
        <v>7.1346161376852735E-2</v>
      </c>
      <c r="D103" s="174">
        <f>B103*C103</f>
        <v>0</v>
      </c>
      <c r="F103" s="350">
        <f>0.669</f>
        <v>0.66900000000000004</v>
      </c>
      <c r="G103" s="172">
        <f>$H$98</f>
        <v>7.1346161376852735E-2</v>
      </c>
      <c r="H103" s="175">
        <f>F103*G103</f>
        <v>4.7730581961114481E-2</v>
      </c>
      <c r="AB103" s="266"/>
      <c r="AD103"/>
      <c r="AE103"/>
      <c r="AF103"/>
      <c r="AG103"/>
      <c r="AH103"/>
      <c r="AI103"/>
      <c r="AJ103" s="136"/>
      <c r="AO103" s="158"/>
    </row>
    <row r="104" spans="1:41" ht="15">
      <c r="A104" s="176" t="s">
        <v>210</v>
      </c>
      <c r="B104" s="222">
        <f>SUM(B102:B103)</f>
        <v>8.4000000000000005E-2</v>
      </c>
      <c r="C104" s="223">
        <f>D104/B104</f>
        <v>7.1346161376852735E-2</v>
      </c>
      <c r="D104" s="224">
        <f>SUM(D102:D103)</f>
        <v>5.9930775556556303E-3</v>
      </c>
      <c r="F104" s="222">
        <f>SUM(F102:F103)</f>
        <v>0.7330000000000001</v>
      </c>
      <c r="G104" s="223">
        <f>H104/F104</f>
        <v>7.1346161376852735E-2</v>
      </c>
      <c r="H104" s="225">
        <f>SUM(H102:H103)</f>
        <v>5.2296736289233058E-2</v>
      </c>
      <c r="AB104" s="266"/>
      <c r="AD104"/>
      <c r="AE104"/>
      <c r="AF104"/>
      <c r="AG104"/>
      <c r="AH104"/>
      <c r="AI104"/>
      <c r="AJ104" s="136"/>
      <c r="AO104" s="158"/>
    </row>
    <row r="105" spans="1:41" ht="15">
      <c r="A105" s="176"/>
      <c r="B105" s="217"/>
      <c r="C105" s="221"/>
      <c r="D105" s="174"/>
      <c r="F105" s="217"/>
      <c r="G105" s="221"/>
      <c r="H105" s="175"/>
      <c r="AB105" s="266"/>
      <c r="AD105"/>
      <c r="AE105"/>
      <c r="AF105"/>
      <c r="AG105"/>
      <c r="AH105"/>
      <c r="AI105"/>
      <c r="AJ105" s="136"/>
    </row>
    <row r="106" spans="1:41" ht="15">
      <c r="A106" s="48" t="s">
        <v>208</v>
      </c>
      <c r="B106" s="350">
        <v>2.3999999999999998E-3</v>
      </c>
      <c r="C106" s="212">
        <f>$D$98</f>
        <v>4.4470246085011187</v>
      </c>
      <c r="D106" s="174">
        <f>B106*C106</f>
        <v>1.0672859060402684E-2</v>
      </c>
      <c r="F106" s="350">
        <v>2.3999999999999998E-3</v>
      </c>
      <c r="G106" s="212">
        <f>$D$98</f>
        <v>4.4470246085011187</v>
      </c>
      <c r="H106" s="175">
        <f>F106*G106</f>
        <v>1.0672859060402684E-2</v>
      </c>
      <c r="AB106" s="266"/>
      <c r="AD106"/>
      <c r="AE106"/>
      <c r="AF106"/>
      <c r="AG106"/>
      <c r="AH106"/>
      <c r="AI106"/>
      <c r="AJ106" s="136"/>
    </row>
    <row r="107" spans="1:41" ht="15">
      <c r="A107" s="48" t="s">
        <v>206</v>
      </c>
      <c r="B107" s="350">
        <v>2.3999999999999998E-3</v>
      </c>
      <c r="C107" s="212">
        <f>$D$98</f>
        <v>4.4470246085011187</v>
      </c>
      <c r="D107" s="174">
        <f>B107*C107</f>
        <v>1.0672859060402684E-2</v>
      </c>
      <c r="F107" s="350">
        <v>0</v>
      </c>
      <c r="G107" s="212">
        <f>$D$98</f>
        <v>4.4470246085011187</v>
      </c>
      <c r="H107" s="175">
        <f>F107*G107</f>
        <v>0</v>
      </c>
      <c r="AD107"/>
      <c r="AE107"/>
      <c r="AF107"/>
      <c r="AG107"/>
      <c r="AH107"/>
      <c r="AI107"/>
      <c r="AJ107" s="136"/>
    </row>
    <row r="108" spans="1:41" ht="15">
      <c r="A108" s="48" t="s">
        <v>209</v>
      </c>
      <c r="B108" s="350">
        <v>0</v>
      </c>
      <c r="C108" s="212">
        <f>$D$98</f>
        <v>4.4470246085011187</v>
      </c>
      <c r="D108" s="219">
        <f>B108*C108</f>
        <v>0</v>
      </c>
      <c r="F108" s="350">
        <v>2.9999999999999997E-4</v>
      </c>
      <c r="G108" s="212">
        <f>$D$98</f>
        <v>4.4470246085011187</v>
      </c>
      <c r="H108" s="220">
        <f>F108*G108</f>
        <v>1.3341073825503356E-3</v>
      </c>
      <c r="AD108"/>
      <c r="AE108"/>
      <c r="AF108"/>
      <c r="AG108"/>
      <c r="AH108"/>
      <c r="AI108"/>
      <c r="AJ108" s="136"/>
    </row>
    <row r="109" spans="1:41" ht="15">
      <c r="A109" s="176" t="s">
        <v>211</v>
      </c>
      <c r="B109" s="228">
        <f>SUM(B106:B108)</f>
        <v>4.7999999999999996E-3</v>
      </c>
      <c r="C109" s="229">
        <f>D109/B109</f>
        <v>4.4470246085011187</v>
      </c>
      <c r="D109" s="226">
        <f>SUM(D106:D108)</f>
        <v>2.1345718120805369E-2</v>
      </c>
      <c r="F109" s="222">
        <f>SUM(F106:F108)</f>
        <v>2.6999999999999997E-3</v>
      </c>
      <c r="G109" s="229">
        <f>H109/F109</f>
        <v>4.4470246085011196</v>
      </c>
      <c r="H109" s="227">
        <f>SUM(H106:H108)</f>
        <v>1.2006966442953021E-2</v>
      </c>
      <c r="AD109"/>
      <c r="AE109"/>
      <c r="AF109"/>
      <c r="AG109"/>
      <c r="AH109"/>
      <c r="AI109"/>
      <c r="AJ109" s="136"/>
    </row>
    <row r="110" spans="1:41" ht="15">
      <c r="A110" s="176"/>
      <c r="B110" s="124"/>
      <c r="C110" s="212"/>
      <c r="D110" s="230"/>
      <c r="F110" s="217"/>
      <c r="G110" s="212"/>
      <c r="H110" s="231"/>
      <c r="AD110"/>
      <c r="AE110"/>
      <c r="AF110"/>
      <c r="AG110"/>
      <c r="AH110"/>
      <c r="AI110"/>
      <c r="AJ110" s="136"/>
    </row>
    <row r="111" spans="1:41" ht="15.75" thickBot="1">
      <c r="A111" s="141" t="s">
        <v>212</v>
      </c>
      <c r="B111" s="218"/>
      <c r="C111" s="13"/>
      <c r="D111" s="232">
        <f>D104+D109</f>
        <v>2.7338795676460997E-2</v>
      </c>
      <c r="F111" s="218"/>
      <c r="G111" s="13"/>
      <c r="H111" s="233">
        <f>H104+H109</f>
        <v>6.430370273218608E-2</v>
      </c>
      <c r="AD111"/>
      <c r="AE111"/>
      <c r="AF111"/>
      <c r="AG111"/>
      <c r="AH111"/>
      <c r="AI111"/>
      <c r="AJ111" s="136"/>
    </row>
    <row r="112" spans="1:41" ht="15">
      <c r="A112" s="99"/>
      <c r="B112" s="72"/>
      <c r="C112" s="72"/>
      <c r="D112" s="72"/>
      <c r="E112" s="72"/>
      <c r="F112" s="72"/>
      <c r="G112" s="72"/>
      <c r="H112" s="75"/>
      <c r="AD112"/>
      <c r="AE112"/>
      <c r="AF112"/>
      <c r="AG112"/>
      <c r="AH112"/>
      <c r="AI112"/>
      <c r="AJ112" s="136"/>
    </row>
    <row r="113" spans="1:41" ht="15">
      <c r="AD113"/>
      <c r="AE113"/>
      <c r="AF113"/>
      <c r="AG113"/>
      <c r="AH113"/>
      <c r="AI113"/>
      <c r="AJ113" s="136"/>
    </row>
    <row r="114" spans="1:41" ht="15">
      <c r="G114" s="100"/>
      <c r="AD114"/>
      <c r="AE114"/>
      <c r="AF114"/>
      <c r="AG114"/>
      <c r="AH114"/>
      <c r="AI114"/>
      <c r="AJ114" s="136"/>
    </row>
    <row r="115" spans="1:41" ht="15">
      <c r="A115" s="82" t="s">
        <v>218</v>
      </c>
      <c r="B115" s="93"/>
      <c r="C115" s="93"/>
      <c r="D115" s="93"/>
      <c r="E115" s="93"/>
      <c r="F115" s="93"/>
      <c r="G115" s="93"/>
      <c r="H115" s="148"/>
      <c r="AD115"/>
      <c r="AE115"/>
      <c r="AF115"/>
      <c r="AG115"/>
      <c r="AH115"/>
      <c r="AI115"/>
      <c r="AJ115" s="136"/>
    </row>
    <row r="116" spans="1:41" ht="16.5">
      <c r="A116" s="48"/>
      <c r="B116" s="147" t="s">
        <v>107</v>
      </c>
      <c r="C116" s="147" t="s">
        <v>220</v>
      </c>
      <c r="D116" s="147" t="s">
        <v>219</v>
      </c>
      <c r="E116" s="26"/>
      <c r="F116" s="26"/>
      <c r="G116" s="26"/>
      <c r="H116" s="77"/>
      <c r="AD116"/>
      <c r="AE116"/>
      <c r="AF116"/>
      <c r="AG116"/>
      <c r="AH116"/>
      <c r="AI116"/>
      <c r="AJ116" s="136"/>
    </row>
    <row r="117" spans="1:41" ht="30">
      <c r="A117" s="48" t="s">
        <v>57</v>
      </c>
      <c r="B117" s="87">
        <f>SUM(C117:D117)</f>
        <v>104400000</v>
      </c>
      <c r="C117" s="87">
        <f>37300000+20000000</f>
        <v>57300000</v>
      </c>
      <c r="D117" s="87">
        <f>47100000</f>
        <v>47100000</v>
      </c>
      <c r="E117" s="1009" t="s">
        <v>277</v>
      </c>
      <c r="F117" s="1009"/>
      <c r="G117" s="199" t="s">
        <v>3</v>
      </c>
      <c r="H117" s="308" t="s">
        <v>69</v>
      </c>
      <c r="AD117"/>
      <c r="AE117"/>
      <c r="AF117"/>
      <c r="AG117"/>
      <c r="AH117"/>
      <c r="AI117"/>
      <c r="AJ117" s="136"/>
    </row>
    <row r="118" spans="1:41" ht="16.5">
      <c r="A118" s="48" t="s">
        <v>58</v>
      </c>
      <c r="B118" s="343">
        <v>3.4482760000000001E-2</v>
      </c>
      <c r="E118" s="306" t="s">
        <v>186</v>
      </c>
      <c r="F118" s="306" t="s">
        <v>259</v>
      </c>
      <c r="H118" s="45"/>
      <c r="AD118"/>
      <c r="AE118"/>
      <c r="AF118" s="260" t="s">
        <v>398</v>
      </c>
      <c r="AI118"/>
      <c r="AJ118" s="234"/>
    </row>
    <row r="119" spans="1:41" ht="16.5">
      <c r="A119" s="48" t="s">
        <v>59</v>
      </c>
      <c r="B119" s="26"/>
      <c r="C119" s="26"/>
      <c r="D119" s="26"/>
      <c r="E119" s="102">
        <f>($C$117/$B$25*$B$24)*$B$118</f>
        <v>988918.01812987006</v>
      </c>
      <c r="F119" s="102">
        <f>($C$117/$B$25*($E$24+$H$24)+D117)*$B$118</f>
        <v>2611082.1258701296</v>
      </c>
      <c r="G119" s="358">
        <f>SUM(E119:F119)</f>
        <v>3600000.1439999994</v>
      </c>
      <c r="H119" s="103">
        <f>G119/(B$25*1000)</f>
        <v>3.5964037402597397E-2</v>
      </c>
      <c r="W119" s="240"/>
      <c r="X119" s="240"/>
      <c r="Y119" s="261">
        <f t="shared" ref="Y119:Y127" si="60">ROUND($Y$11*$AE119,0)</f>
        <v>34478</v>
      </c>
      <c r="AB119" s="265"/>
      <c r="AC119" s="20" t="s">
        <v>235</v>
      </c>
      <c r="AD119" s="128">
        <v>631040</v>
      </c>
      <c r="AE119" s="138">
        <f t="shared" ref="AE119:AE127" si="61">AF119/$AF$128</f>
        <v>2.8732014048368993E-2</v>
      </c>
      <c r="AF119" s="143">
        <v>30387.07</v>
      </c>
      <c r="AG119" s="136"/>
      <c r="AH119" s="136"/>
      <c r="AN119" s="236"/>
      <c r="AO119" s="236"/>
    </row>
    <row r="120" spans="1:41" ht="15">
      <c r="A120" s="48"/>
      <c r="B120" s="26"/>
      <c r="C120" s="26"/>
      <c r="D120" s="26"/>
      <c r="E120" s="307">
        <f>E119/B24/1000</f>
        <v>1.9738882597402595E-2</v>
      </c>
      <c r="F120" s="307">
        <f>F119/($E$24+$H$24)/1000</f>
        <v>5.2221642517402592E-2</v>
      </c>
      <c r="G120" s="11"/>
      <c r="H120" s="77"/>
      <c r="W120" s="240"/>
      <c r="X120" s="240"/>
      <c r="Y120" s="261">
        <f t="shared" si="60"/>
        <v>36941</v>
      </c>
      <c r="AB120" s="265"/>
      <c r="AC120" s="20" t="s">
        <v>236</v>
      </c>
      <c r="AD120" s="128">
        <v>631060</v>
      </c>
      <c r="AE120" s="138">
        <f t="shared" si="61"/>
        <v>3.0784541877331692E-2</v>
      </c>
      <c r="AF120" s="143">
        <v>32557.83</v>
      </c>
      <c r="AG120" s="136"/>
      <c r="AH120" s="136"/>
      <c r="AN120" s="235"/>
      <c r="AO120" s="235"/>
    </row>
    <row r="121" spans="1:41" ht="15">
      <c r="A121" s="48" t="s">
        <v>172</v>
      </c>
      <c r="B121" s="26"/>
      <c r="C121" s="26"/>
      <c r="D121" s="26"/>
      <c r="E121" s="26"/>
      <c r="F121" s="104"/>
      <c r="G121" s="26"/>
      <c r="H121" s="77"/>
      <c r="W121" s="240"/>
      <c r="X121" s="240"/>
      <c r="Y121" s="261">
        <f t="shared" si="60"/>
        <v>0</v>
      </c>
      <c r="AB121" s="265"/>
      <c r="AC121" s="20" t="s">
        <v>237</v>
      </c>
      <c r="AD121" s="128">
        <v>631900</v>
      </c>
      <c r="AE121" s="138">
        <f t="shared" si="61"/>
        <v>0</v>
      </c>
      <c r="AF121" s="143">
        <v>0</v>
      </c>
      <c r="AG121" s="136"/>
      <c r="AH121" s="136"/>
      <c r="AN121" s="235"/>
      <c r="AO121" s="235"/>
    </row>
    <row r="122" spans="1:41" ht="15">
      <c r="A122" s="48" t="s">
        <v>60</v>
      </c>
      <c r="B122" s="26"/>
      <c r="C122" s="26"/>
      <c r="D122" s="26"/>
      <c r="E122" s="26"/>
      <c r="F122" s="26"/>
      <c r="G122" s="26"/>
      <c r="H122" s="77"/>
      <c r="W122" s="240"/>
      <c r="X122" s="240"/>
      <c r="Y122" s="261">
        <f t="shared" si="60"/>
        <v>109923</v>
      </c>
      <c r="AB122" s="265"/>
      <c r="AC122" s="20" t="s">
        <v>238</v>
      </c>
      <c r="AD122" s="128">
        <v>630020</v>
      </c>
      <c r="AE122" s="138">
        <f t="shared" si="61"/>
        <v>9.1602521626258315E-2</v>
      </c>
      <c r="AF122" s="143">
        <v>96879.12</v>
      </c>
      <c r="AG122" s="136"/>
      <c r="AH122" s="136"/>
      <c r="AN122" s="235"/>
      <c r="AO122" s="235"/>
    </row>
    <row r="123" spans="1:41" ht="16.5">
      <c r="A123" s="48" t="s">
        <v>61</v>
      </c>
      <c r="B123" s="26"/>
      <c r="C123" s="26"/>
      <c r="D123" s="26"/>
      <c r="E123" s="26"/>
      <c r="F123" s="26"/>
      <c r="G123" s="348">
        <f>40000*12</f>
        <v>480000</v>
      </c>
      <c r="H123" s="103">
        <f>G123/(B$25*1000)</f>
        <v>4.7952047952047952E-3</v>
      </c>
      <c r="W123" s="240"/>
      <c r="X123" s="240"/>
      <c r="Y123" s="261">
        <f t="shared" si="60"/>
        <v>0</v>
      </c>
      <c r="AB123" s="265"/>
      <c r="AC123" s="20" t="s">
        <v>239</v>
      </c>
      <c r="AD123" s="128">
        <v>630030</v>
      </c>
      <c r="AE123" s="138">
        <f t="shared" si="61"/>
        <v>0</v>
      </c>
      <c r="AF123" s="143">
        <v>0</v>
      </c>
      <c r="AG123" s="136"/>
      <c r="AH123" s="136"/>
      <c r="AN123" s="235"/>
      <c r="AO123" s="235"/>
    </row>
    <row r="124" spans="1:41" ht="15">
      <c r="A124" s="48"/>
      <c r="B124" s="26"/>
      <c r="C124" s="26"/>
      <c r="D124" s="26"/>
      <c r="E124" s="26"/>
      <c r="F124" s="26"/>
      <c r="G124" s="26"/>
      <c r="H124" s="77"/>
      <c r="W124" s="240"/>
      <c r="X124" s="240"/>
      <c r="Y124" s="261">
        <f t="shared" si="60"/>
        <v>150148</v>
      </c>
      <c r="AB124" s="265"/>
      <c r="AC124" s="20" t="s">
        <v>240</v>
      </c>
      <c r="AD124" s="128">
        <v>630070</v>
      </c>
      <c r="AE124" s="138">
        <f t="shared" si="61"/>
        <v>0.12512342057966541</v>
      </c>
      <c r="AF124" s="143">
        <v>132330.93</v>
      </c>
      <c r="AG124" s="136"/>
      <c r="AH124" s="136"/>
      <c r="AN124" s="235"/>
      <c r="AO124" s="235"/>
    </row>
    <row r="125" spans="1:41" ht="15">
      <c r="A125" s="48" t="s">
        <v>62</v>
      </c>
      <c r="B125" s="26"/>
      <c r="C125" s="26"/>
      <c r="D125" s="26"/>
      <c r="E125" s="26"/>
      <c r="F125" s="26"/>
      <c r="G125" s="26"/>
      <c r="H125" s="77"/>
      <c r="W125" s="240"/>
      <c r="X125" s="240"/>
      <c r="Y125" s="261">
        <f t="shared" si="60"/>
        <v>734509</v>
      </c>
      <c r="AB125" s="265"/>
      <c r="AC125" s="20" t="s">
        <v>241</v>
      </c>
      <c r="AD125" s="128">
        <v>630080</v>
      </c>
      <c r="AE125" s="138">
        <f t="shared" si="61"/>
        <v>0.61209054586824252</v>
      </c>
      <c r="AF125" s="143">
        <v>647348.92000000004</v>
      </c>
      <c r="AG125" s="136"/>
      <c r="AH125" s="136"/>
      <c r="AN125" s="235"/>
      <c r="AO125" s="235"/>
    </row>
    <row r="126" spans="1:41" ht="16.5">
      <c r="A126" s="48" t="s">
        <v>63</v>
      </c>
      <c r="B126" s="26"/>
      <c r="C126" s="26"/>
      <c r="D126" s="26"/>
      <c r="E126" s="26"/>
      <c r="F126" s="26"/>
      <c r="G126" s="348">
        <f>100000*12</f>
        <v>1200000</v>
      </c>
      <c r="H126" s="103">
        <f>G126/(B$25*1000)</f>
        <v>1.1988011988011988E-2</v>
      </c>
      <c r="W126" s="240"/>
      <c r="X126" s="240"/>
      <c r="Y126" s="261">
        <f t="shared" si="60"/>
        <v>134000</v>
      </c>
      <c r="AB126" s="265"/>
      <c r="AC126" s="20" t="s">
        <v>242</v>
      </c>
      <c r="AD126" s="128">
        <v>633000</v>
      </c>
      <c r="AE126" s="138">
        <f t="shared" si="61"/>
        <v>0.11166695600013314</v>
      </c>
      <c r="AF126" s="143">
        <v>118099.33</v>
      </c>
      <c r="AG126" s="136"/>
      <c r="AH126" s="136"/>
      <c r="AN126" s="235"/>
      <c r="AO126" s="235"/>
    </row>
    <row r="127" spans="1:41" ht="17.25">
      <c r="A127" s="99"/>
      <c r="B127" s="72"/>
      <c r="C127" s="105"/>
      <c r="D127" s="72"/>
      <c r="E127" s="72"/>
      <c r="F127" s="72"/>
      <c r="G127" s="72"/>
      <c r="H127" s="75"/>
      <c r="W127" s="240"/>
      <c r="X127" s="240"/>
      <c r="Y127" s="262">
        <f t="shared" si="60"/>
        <v>0</v>
      </c>
      <c r="AB127" s="265"/>
      <c r="AC127" s="20" t="s">
        <v>243</v>
      </c>
      <c r="AD127" s="128">
        <v>660000</v>
      </c>
      <c r="AE127" s="258">
        <f t="shared" si="61"/>
        <v>0</v>
      </c>
      <c r="AF127" s="161">
        <v>0</v>
      </c>
      <c r="AG127" s="136"/>
      <c r="AH127" s="136"/>
      <c r="AN127" s="235"/>
      <c r="AO127" s="235"/>
    </row>
    <row r="128" spans="1:41" ht="15">
      <c r="W128" s="160"/>
      <c r="X128" s="160"/>
      <c r="Y128" s="264">
        <f>SUM(Y119:Y127)</f>
        <v>1199999</v>
      </c>
      <c r="AB128" s="256" t="s">
        <v>12</v>
      </c>
      <c r="AC128" s="130" t="s">
        <v>17</v>
      </c>
      <c r="AD128" s="257" t="s">
        <v>107</v>
      </c>
      <c r="AE128" s="138">
        <f>SUM(AE119:AE127)</f>
        <v>1</v>
      </c>
      <c r="AF128" s="259">
        <f>SUM(AF119:AF127)</f>
        <v>1057603.2</v>
      </c>
      <c r="AJ128" s="137"/>
    </row>
    <row r="130" spans="1:41">
      <c r="A130" s="82" t="s">
        <v>64</v>
      </c>
      <c r="B130" s="1012" t="s">
        <v>65</v>
      </c>
      <c r="C130" s="1012"/>
      <c r="D130" s="1012"/>
      <c r="E130" s="1012"/>
      <c r="F130" s="1012"/>
      <c r="G130" s="1012"/>
      <c r="H130" s="1013"/>
    </row>
    <row r="131" spans="1:41" ht="14.65" customHeight="1">
      <c r="A131" s="48"/>
      <c r="B131" s="199" t="s">
        <v>159</v>
      </c>
      <c r="C131" s="199" t="s">
        <v>109</v>
      </c>
      <c r="D131" s="199" t="s">
        <v>107</v>
      </c>
      <c r="E131" s="26"/>
      <c r="F131" s="26"/>
      <c r="G131" s="26"/>
      <c r="H131" s="77"/>
      <c r="AF131" s="1007" t="s">
        <v>398</v>
      </c>
      <c r="AG131" s="1007"/>
    </row>
    <row r="132" spans="1:41" ht="14.65" customHeight="1">
      <c r="A132" s="48" t="s">
        <v>262</v>
      </c>
      <c r="B132" s="207">
        <f>B30+B31</f>
        <v>50100</v>
      </c>
      <c r="C132" s="207">
        <f>B32+B33</f>
        <v>50000</v>
      </c>
      <c r="D132" s="207">
        <f>SUM(B132:C132)</f>
        <v>100100</v>
      </c>
      <c r="E132" s="26"/>
      <c r="F132" s="1008" t="s">
        <v>66</v>
      </c>
      <c r="G132" s="1008"/>
      <c r="H132" s="106">
        <f>D132/D133</f>
        <v>0.38500000000000001</v>
      </c>
      <c r="W132" s="240"/>
      <c r="X132" s="240"/>
      <c r="Y132" s="261">
        <f>$Y$18*$AE132</f>
        <v>200000</v>
      </c>
      <c r="AB132" s="265"/>
      <c r="AC132" s="20" t="s">
        <v>244</v>
      </c>
      <c r="AD132" s="128" t="s">
        <v>100</v>
      </c>
      <c r="AE132" s="138">
        <v>0.5</v>
      </c>
      <c r="AF132" s="143">
        <v>120244.49</v>
      </c>
      <c r="AG132" s="144">
        <f>AF132/$AF$134</f>
        <v>0.50750815162970342</v>
      </c>
      <c r="AH132" s="136"/>
      <c r="AI132"/>
    </row>
    <row r="133" spans="1:41" ht="14.65" customHeight="1">
      <c r="A133" s="48" t="s">
        <v>263</v>
      </c>
      <c r="B133" s="207"/>
      <c r="C133" s="207"/>
      <c r="D133" s="207">
        <v>260000</v>
      </c>
      <c r="E133" s="26"/>
      <c r="F133" s="26"/>
      <c r="G133" s="26"/>
      <c r="H133" s="107"/>
      <c r="W133" s="240"/>
      <c r="X133" s="240"/>
      <c r="Y133" s="262">
        <f>$Y$18*$AE133</f>
        <v>200000</v>
      </c>
      <c r="AB133" s="265"/>
      <c r="AC133" s="20" t="s">
        <v>245</v>
      </c>
      <c r="AD133" s="128">
        <v>630040</v>
      </c>
      <c r="AE133" s="138">
        <v>0.5</v>
      </c>
      <c r="AF133" s="161">
        <v>116686.66</v>
      </c>
      <c r="AG133" s="378">
        <f>AF133/$AF$134</f>
        <v>0.49249184837029658</v>
      </c>
      <c r="AH133" s="136"/>
      <c r="AI133"/>
    </row>
    <row r="134" spans="1:41" ht="14.65" customHeight="1">
      <c r="A134" s="43"/>
      <c r="D134" s="108"/>
      <c r="F134" s="1009" t="s">
        <v>290</v>
      </c>
      <c r="G134" s="1009"/>
      <c r="H134" s="1010"/>
      <c r="W134" s="160"/>
      <c r="X134" s="160"/>
      <c r="Y134" s="264">
        <f>SUM(Y132:Y133)</f>
        <v>400000</v>
      </c>
      <c r="AB134" s="256" t="s">
        <v>12</v>
      </c>
      <c r="AC134" s="130" t="s">
        <v>28</v>
      </c>
      <c r="AD134" s="257" t="s">
        <v>107</v>
      </c>
      <c r="AE134" s="138">
        <f>SUM(AE132:AE133)</f>
        <v>1</v>
      </c>
      <c r="AF134" s="259">
        <f>SUM(AF132:AF133)</f>
        <v>236931.15000000002</v>
      </c>
      <c r="AG134" s="144">
        <f>SUM(AG132:AG133)</f>
        <v>1</v>
      </c>
    </row>
    <row r="135" spans="1:41" ht="28.15" customHeight="1">
      <c r="A135" s="48"/>
      <c r="B135" s="97" t="s">
        <v>67</v>
      </c>
      <c r="C135" s="97" t="s">
        <v>68</v>
      </c>
      <c r="D135" s="97" t="s">
        <v>257</v>
      </c>
      <c r="E135" s="97" t="s">
        <v>258</v>
      </c>
      <c r="F135" s="49"/>
      <c r="G135" s="286" t="s">
        <v>260</v>
      </c>
      <c r="H135" s="287" t="s">
        <v>261</v>
      </c>
    </row>
    <row r="136" spans="1:41" ht="15">
      <c r="A136" s="48" t="s">
        <v>25</v>
      </c>
      <c r="B136" s="104">
        <f>C136/12</f>
        <v>31583.333333333332</v>
      </c>
      <c r="C136" s="351">
        <f>ROUNDUP(92892*4*(1+$F$150),0)</f>
        <v>379000</v>
      </c>
      <c r="D136" s="64">
        <f>$C136/$D$132/1000</f>
        <v>3.786213786213786E-3</v>
      </c>
      <c r="E136" s="64">
        <f>$C136/$D$132/1000</f>
        <v>3.786213786213786E-3</v>
      </c>
      <c r="F136" s="156" t="s">
        <v>270</v>
      </c>
      <c r="G136" s="348">
        <v>1220000</v>
      </c>
      <c r="H136" s="238">
        <f>G136/$D$132/1000</f>
        <v>1.2187812187812189E-2</v>
      </c>
      <c r="I136" s="253"/>
      <c r="AC136" s="139"/>
      <c r="AD136"/>
      <c r="AE136"/>
      <c r="AF136" s="260" t="s">
        <v>398</v>
      </c>
      <c r="AG136"/>
      <c r="AH136"/>
      <c r="AI136"/>
    </row>
    <row r="137" spans="1:41" ht="14.65" customHeight="1">
      <c r="A137" s="48" t="s">
        <v>27</v>
      </c>
      <c r="B137" s="26">
        <f>C137/12</f>
        <v>33333.333333333336</v>
      </c>
      <c r="C137" s="346">
        <v>400000</v>
      </c>
      <c r="D137" s="109">
        <f>$C137/$D$132/1000</f>
        <v>3.996003996003996E-3</v>
      </c>
      <c r="E137" s="109">
        <f>$C137/$D$132/1000</f>
        <v>3.996003996003996E-3</v>
      </c>
      <c r="F137" s="156" t="s">
        <v>271</v>
      </c>
      <c r="G137" s="348">
        <f>30000</f>
        <v>30000</v>
      </c>
      <c r="H137" s="238">
        <f>IF($B$132&lt;&gt;0,G137/$B$132/1000,G137/D132/1000)</f>
        <v>5.9880239520958083E-4</v>
      </c>
      <c r="I137" s="253"/>
      <c r="W137" s="240"/>
      <c r="X137" s="240"/>
      <c r="Y137" s="261">
        <f t="shared" ref="Y137:Y144" si="62">ROUND($Y$19*$AE137,0)</f>
        <v>140708</v>
      </c>
      <c r="AB137" s="265"/>
      <c r="AC137" s="20" t="s">
        <v>399</v>
      </c>
      <c r="AD137" s="128" t="s">
        <v>400</v>
      </c>
      <c r="AE137" s="138">
        <f t="shared" ref="AE137:AE144" si="63">AF137/$AF$145</f>
        <v>3.1020278092671626E-2</v>
      </c>
      <c r="AF137" s="143">
        <v>140030.43</v>
      </c>
      <c r="AG137" s="136"/>
      <c r="AH137" s="136"/>
      <c r="AI137"/>
    </row>
    <row r="138" spans="1:41" ht="14.65" customHeight="1">
      <c r="A138" s="48" t="s">
        <v>29</v>
      </c>
      <c r="B138" s="26">
        <f>C138/12</f>
        <v>378000</v>
      </c>
      <c r="C138" s="78">
        <f>G139</f>
        <v>4536000</v>
      </c>
      <c r="D138" s="110">
        <f>H142</f>
        <v>1.278661458302177E-2</v>
      </c>
      <c r="E138" s="110">
        <f>H143</f>
        <v>7.7907812187812189E-2</v>
      </c>
      <c r="F138" s="156" t="s">
        <v>272</v>
      </c>
      <c r="G138" s="352">
        <f>3550000-264000</f>
        <v>3286000</v>
      </c>
      <c r="H138" s="238">
        <f>IF(C132&lt;&gt;0,G138/$C$132/1000,G138/D132/1000)</f>
        <v>6.5720000000000001E-2</v>
      </c>
      <c r="I138" s="253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W138" s="240"/>
      <c r="X138" s="240"/>
      <c r="Y138" s="261">
        <f t="shared" si="62"/>
        <v>6990</v>
      </c>
      <c r="AB138" s="265"/>
      <c r="AC138" s="20" t="s">
        <v>246</v>
      </c>
      <c r="AD138" s="128" t="s">
        <v>101</v>
      </c>
      <c r="AE138" s="138">
        <f t="shared" si="63"/>
        <v>1.5409319575424053E-3</v>
      </c>
      <c r="AF138" s="143">
        <v>6956.01</v>
      </c>
      <c r="AG138" s="136"/>
      <c r="AH138" s="136"/>
      <c r="AI138"/>
      <c r="AN138" s="235"/>
      <c r="AO138" s="235"/>
    </row>
    <row r="139" spans="1:41" ht="14.65" customHeight="1">
      <c r="A139" s="48" t="s">
        <v>70</v>
      </c>
      <c r="D139" s="64">
        <f>SUM(D136:D138)</f>
        <v>2.0568832365239553E-2</v>
      </c>
      <c r="E139" s="64">
        <f>SUM(E136:E138)</f>
        <v>8.5690029970029974E-2</v>
      </c>
      <c r="F139" s="301" t="s">
        <v>268</v>
      </c>
      <c r="G139" s="285">
        <f>SUM(G136:G138)</f>
        <v>4536000</v>
      </c>
      <c r="H139" s="238">
        <f>G139/D132/1000</f>
        <v>4.5314685314685313E-2</v>
      </c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W139" s="240"/>
      <c r="X139" s="240"/>
      <c r="Y139" s="261">
        <f t="shared" si="62"/>
        <v>358567</v>
      </c>
      <c r="AB139" s="265"/>
      <c r="AC139" s="20" t="s">
        <v>247</v>
      </c>
      <c r="AD139" s="128">
        <v>640010</v>
      </c>
      <c r="AE139" s="138">
        <f t="shared" si="63"/>
        <v>7.9049062217207061E-2</v>
      </c>
      <c r="AF139" s="143">
        <v>356839.94</v>
      </c>
      <c r="AG139" s="136"/>
      <c r="AH139" s="136"/>
      <c r="AI139"/>
      <c r="AN139" s="235"/>
      <c r="AO139" s="235"/>
    </row>
    <row r="140" spans="1:41" ht="14.65" customHeight="1">
      <c r="A140" s="48"/>
      <c r="B140" s="26"/>
      <c r="C140" s="26"/>
      <c r="D140" s="64"/>
      <c r="E140" s="64"/>
      <c r="F140" s="26"/>
      <c r="G140" s="204"/>
      <c r="H140" s="238"/>
      <c r="W140" s="240"/>
      <c r="X140" s="240"/>
      <c r="Y140" s="261">
        <f t="shared" si="62"/>
        <v>3761262</v>
      </c>
      <c r="AB140" s="265"/>
      <c r="AC140" s="20" t="s">
        <v>248</v>
      </c>
      <c r="AD140" s="128">
        <v>640020</v>
      </c>
      <c r="AE140" s="138">
        <f t="shared" si="63"/>
        <v>0.82920233056363746</v>
      </c>
      <c r="AF140" s="143">
        <v>3743150.16</v>
      </c>
      <c r="AG140" s="136"/>
      <c r="AH140" s="136"/>
      <c r="AI140"/>
    </row>
    <row r="141" spans="1:41" ht="14.65" customHeight="1">
      <c r="A141" s="48"/>
      <c r="B141" s="26"/>
      <c r="C141" s="26"/>
      <c r="D141" s="288" t="s">
        <v>266</v>
      </c>
      <c r="E141" s="288" t="s">
        <v>267</v>
      </c>
      <c r="F141" s="26"/>
      <c r="G141" s="204"/>
      <c r="H141" s="238"/>
      <c r="W141" s="240"/>
      <c r="X141" s="240"/>
      <c r="Y141" s="261">
        <f t="shared" si="62"/>
        <v>249462</v>
      </c>
      <c r="AB141" s="265"/>
      <c r="AC141" s="20" t="s">
        <v>401</v>
      </c>
      <c r="AD141" s="128" t="s">
        <v>402</v>
      </c>
      <c r="AE141" s="138">
        <f t="shared" si="63"/>
        <v>5.4995959722533301E-2</v>
      </c>
      <c r="AF141" s="143">
        <v>248260.44</v>
      </c>
      <c r="AG141" s="136"/>
      <c r="AH141" s="136"/>
      <c r="AI141"/>
      <c r="AN141" s="235"/>
      <c r="AO141" s="235"/>
    </row>
    <row r="142" spans="1:41" ht="14.65" customHeight="1">
      <c r="A142" s="48"/>
      <c r="B142" s="26"/>
      <c r="C142" s="26"/>
      <c r="D142" s="290">
        <f>G142/$G$144</f>
        <v>0.14122781979924839</v>
      </c>
      <c r="E142" s="207">
        <f>ROUND(G142/$H$139,0)</f>
        <v>14136905</v>
      </c>
      <c r="F142" s="156" t="s">
        <v>186</v>
      </c>
      <c r="G142" s="204">
        <f>$H142*$B$132*1000</f>
        <v>640609.39060939068</v>
      </c>
      <c r="H142" s="238">
        <f>IF(AND($B$132&lt;&gt;0,$C$132&lt;&gt;0),H136+H137,$H$139)</f>
        <v>1.278661458302177E-2</v>
      </c>
      <c r="W142" s="240"/>
      <c r="X142" s="240"/>
      <c r="Y142" s="261">
        <f t="shared" si="62"/>
        <v>6864</v>
      </c>
      <c r="AB142" s="265"/>
      <c r="AC142" s="20" t="s">
        <v>249</v>
      </c>
      <c r="AD142" s="128">
        <v>640040</v>
      </c>
      <c r="AE142" s="138">
        <f t="shared" si="63"/>
        <v>1.5133299095422179E-3</v>
      </c>
      <c r="AF142" s="143">
        <v>6831.41</v>
      </c>
      <c r="AG142" s="136"/>
      <c r="AH142" s="136"/>
      <c r="AI142"/>
      <c r="AN142" s="235"/>
      <c r="AO142" s="235"/>
    </row>
    <row r="143" spans="1:41" ht="14.65" customHeight="1">
      <c r="A143" s="48"/>
      <c r="B143" s="26"/>
      <c r="C143" s="26"/>
      <c r="D143" s="290">
        <f>G143/$G$144</f>
        <v>0.85877218020075163</v>
      </c>
      <c r="E143" s="168">
        <f>ROUND(G143/$H$139,0)</f>
        <v>85963095</v>
      </c>
      <c r="F143" s="156" t="s">
        <v>286</v>
      </c>
      <c r="G143" s="239">
        <f>$H143*$C$132*1000</f>
        <v>3895390.6093906094</v>
      </c>
      <c r="H143" s="238">
        <f>IF(AND($B$132&lt;&gt;0,$C$132&lt;&gt;0),H136+H138,$H$139)</f>
        <v>7.7907812187812189E-2</v>
      </c>
      <c r="W143" s="160"/>
      <c r="X143" s="160"/>
      <c r="Y143" s="261">
        <f t="shared" si="62"/>
        <v>1050</v>
      </c>
      <c r="AB143" s="265"/>
      <c r="AC143" s="20" t="s">
        <v>250</v>
      </c>
      <c r="AD143" s="128">
        <v>640070</v>
      </c>
      <c r="AE143" s="138">
        <f t="shared" si="63"/>
        <v>2.3147396449338557E-4</v>
      </c>
      <c r="AF143" s="143">
        <v>1044.9100000000001</v>
      </c>
      <c r="AG143"/>
      <c r="AH143"/>
      <c r="AI143"/>
      <c r="AN143" s="235"/>
      <c r="AO143" s="235"/>
    </row>
    <row r="144" spans="1:41" ht="14.65" customHeight="1">
      <c r="A144" s="48"/>
      <c r="B144" s="26"/>
      <c r="C144" s="26"/>
      <c r="D144" s="290">
        <f>G144/$G$144</f>
        <v>1</v>
      </c>
      <c r="E144" s="289">
        <f>SUM(E142:E143)</f>
        <v>100100000</v>
      </c>
      <c r="F144" s="156" t="s">
        <v>107</v>
      </c>
      <c r="G144" s="285">
        <f>SUM(G142:G143)</f>
        <v>4536000</v>
      </c>
      <c r="H144" s="238"/>
      <c r="Y144" s="262">
        <f t="shared" si="62"/>
        <v>11098</v>
      </c>
      <c r="AB144" s="265"/>
      <c r="AC144" s="20" t="s">
        <v>251</v>
      </c>
      <c r="AD144" s="128">
        <v>640080</v>
      </c>
      <c r="AE144" s="138">
        <f t="shared" si="63"/>
        <v>2.4466335723723111E-3</v>
      </c>
      <c r="AF144" s="161">
        <v>11044.49</v>
      </c>
      <c r="AN144" s="235"/>
      <c r="AO144" s="235"/>
    </row>
    <row r="145" spans="1:41" ht="14.65" customHeight="1">
      <c r="A145" s="112"/>
      <c r="B145" s="113"/>
      <c r="C145" s="113"/>
      <c r="D145" s="113"/>
      <c r="E145" s="113"/>
      <c r="F145" s="113"/>
      <c r="G145" s="113"/>
      <c r="H145" s="284"/>
      <c r="Y145" s="264">
        <f>SUM(Y137:Y144)</f>
        <v>4536001</v>
      </c>
      <c r="AB145" s="256" t="s">
        <v>12</v>
      </c>
      <c r="AC145" s="130" t="s">
        <v>30</v>
      </c>
      <c r="AD145" s="257" t="s">
        <v>107</v>
      </c>
      <c r="AE145" s="138">
        <f>SUM(AE137:AE144)</f>
        <v>0.99999999999999989</v>
      </c>
      <c r="AF145" s="259">
        <f>SUM(AF137:AF144)</f>
        <v>4514157.790000001</v>
      </c>
      <c r="AN145" s="235"/>
      <c r="AO145" s="235"/>
    </row>
    <row r="146" spans="1:41">
      <c r="AN146" s="235"/>
      <c r="AO146" s="235"/>
    </row>
    <row r="147" spans="1:41">
      <c r="A147" s="72"/>
      <c r="B147" s="72"/>
      <c r="C147" s="72"/>
      <c r="D147" s="72"/>
      <c r="E147" s="72"/>
      <c r="F147" s="72"/>
      <c r="G147" s="72"/>
      <c r="H147" s="72"/>
    </row>
    <row r="148" spans="1:41">
      <c r="A148" s="82" t="s">
        <v>71</v>
      </c>
      <c r="B148" s="93"/>
      <c r="C148" s="93"/>
      <c r="D148" s="93"/>
      <c r="E148" s="93"/>
      <c r="F148" s="93"/>
      <c r="G148" s="93"/>
      <c r="H148" s="148"/>
    </row>
    <row r="149" spans="1:41" ht="15">
      <c r="A149" s="82"/>
      <c r="B149" s="1011" t="s">
        <v>189</v>
      </c>
      <c r="C149" s="1011"/>
      <c r="D149" s="1011"/>
      <c r="E149" s="202"/>
      <c r="F149" s="93"/>
      <c r="G149" s="93"/>
      <c r="H149" s="148"/>
    </row>
    <row r="150" spans="1:41" ht="15">
      <c r="A150" s="48"/>
      <c r="B150" s="1004" t="s">
        <v>72</v>
      </c>
      <c r="C150" s="1004"/>
      <c r="D150" s="342">
        <v>52</v>
      </c>
      <c r="E150" s="49" t="s">
        <v>354</v>
      </c>
      <c r="F150" s="456">
        <f>'17 Std'!T5</f>
        <v>0.02</v>
      </c>
      <c r="G150" s="26"/>
      <c r="H150" s="77"/>
    </row>
    <row r="151" spans="1:41" ht="15">
      <c r="A151" s="48"/>
      <c r="B151" s="1004" t="s">
        <v>479</v>
      </c>
      <c r="C151" s="1004"/>
      <c r="D151" s="353">
        <v>42</v>
      </c>
      <c r="E151" s="200"/>
      <c r="F151" s="26"/>
      <c r="G151" s="26"/>
      <c r="H151" s="77"/>
    </row>
    <row r="152" spans="1:41" ht="15">
      <c r="A152" s="48"/>
      <c r="B152" s="1004" t="s">
        <v>74</v>
      </c>
      <c r="C152" s="1004"/>
      <c r="D152" s="353">
        <v>1.5</v>
      </c>
      <c r="E152" s="201"/>
      <c r="F152" s="26"/>
      <c r="G152" s="26"/>
      <c r="H152" s="111"/>
    </row>
    <row r="153" spans="1:41" ht="15">
      <c r="A153" s="112"/>
      <c r="B153" s="1005" t="s">
        <v>160</v>
      </c>
      <c r="C153" s="1005"/>
      <c r="D153" s="354">
        <v>0.4</v>
      </c>
      <c r="E153" s="180"/>
      <c r="F153" s="113"/>
      <c r="G153" s="113"/>
      <c r="H153" s="181"/>
    </row>
    <row r="154" spans="1:41">
      <c r="A154" s="82"/>
      <c r="B154" s="93"/>
      <c r="C154" s="93"/>
      <c r="D154" s="182"/>
      <c r="E154" s="93"/>
      <c r="F154" s="93"/>
      <c r="G154" s="93"/>
      <c r="H154" s="191"/>
    </row>
    <row r="156" spans="1:41">
      <c r="B156" s="1006"/>
      <c r="C156" s="1006"/>
      <c r="D156" s="1006"/>
      <c r="F156" s="1006"/>
      <c r="G156" s="1006"/>
      <c r="H156" s="1006"/>
    </row>
    <row r="157" spans="1:41">
      <c r="B157" s="114"/>
      <c r="C157" s="114"/>
      <c r="D157" s="115"/>
      <c r="E157" s="6"/>
      <c r="F157" s="114"/>
      <c r="G157" s="114"/>
      <c r="H157" s="115"/>
    </row>
    <row r="158" spans="1:41">
      <c r="C158" s="116"/>
      <c r="D158" s="117"/>
      <c r="G158" s="116"/>
      <c r="H158" s="117"/>
    </row>
    <row r="159" spans="1:41">
      <c r="C159" s="116"/>
      <c r="D159" s="108"/>
      <c r="G159" s="116"/>
      <c r="H159" s="108"/>
    </row>
    <row r="160" spans="1:41">
      <c r="C160" s="118"/>
      <c r="D160" s="108"/>
      <c r="G160" s="118"/>
      <c r="H160" s="108"/>
    </row>
    <row r="161" spans="3:8">
      <c r="C161" s="119"/>
      <c r="D161" s="108"/>
      <c r="G161" s="119"/>
      <c r="H161" s="108"/>
    </row>
    <row r="162" spans="3:8">
      <c r="C162" s="120"/>
      <c r="D162" s="108"/>
      <c r="G162" s="120"/>
      <c r="H162" s="108"/>
    </row>
    <row r="163" spans="3:8">
      <c r="C163" s="118"/>
      <c r="D163" s="108"/>
      <c r="G163" s="118"/>
      <c r="H163" s="108"/>
    </row>
    <row r="164" spans="3:8" ht="15">
      <c r="C164" s="121"/>
      <c r="D164" s="122"/>
      <c r="G164" s="121"/>
      <c r="H164" s="122"/>
    </row>
    <row r="165" spans="3:8" ht="15">
      <c r="D165" s="123"/>
      <c r="H165" s="123"/>
    </row>
  </sheetData>
  <mergeCells count="46">
    <mergeCell ref="B152:C152"/>
    <mergeCell ref="B153:C153"/>
    <mergeCell ref="B156:D156"/>
    <mergeCell ref="F156:H156"/>
    <mergeCell ref="K3:M3"/>
    <mergeCell ref="F134:H134"/>
    <mergeCell ref="B149:D149"/>
    <mergeCell ref="B150:C150"/>
    <mergeCell ref="B151:C151"/>
    <mergeCell ref="B100:D100"/>
    <mergeCell ref="C36:D36"/>
    <mergeCell ref="E36:F36"/>
    <mergeCell ref="G36:H36"/>
    <mergeCell ref="B60:D60"/>
    <mergeCell ref="F60:H60"/>
    <mergeCell ref="B27:H27"/>
    <mergeCell ref="I36:J36"/>
    <mergeCell ref="K36:L36"/>
    <mergeCell ref="AF131:AG131"/>
    <mergeCell ref="F132:G132"/>
    <mergeCell ref="E87:F87"/>
    <mergeCell ref="G87:H87"/>
    <mergeCell ref="F100:H100"/>
    <mergeCell ref="E117:F117"/>
    <mergeCell ref="B130:H130"/>
    <mergeCell ref="AF64:AP64"/>
    <mergeCell ref="B66:D66"/>
    <mergeCell ref="F66:H66"/>
    <mergeCell ref="E80:G80"/>
    <mergeCell ref="AF80:AP80"/>
    <mergeCell ref="E81:F81"/>
    <mergeCell ref="AF60:AP60"/>
    <mergeCell ref="AO3:AQ3"/>
    <mergeCell ref="AD22:AE22"/>
    <mergeCell ref="AD23:AE23"/>
    <mergeCell ref="AD24:AE24"/>
    <mergeCell ref="S28:U28"/>
    <mergeCell ref="A1:J1"/>
    <mergeCell ref="W1:AA1"/>
    <mergeCell ref="AF1:AN1"/>
    <mergeCell ref="A2:J2"/>
    <mergeCell ref="B3:D3"/>
    <mergeCell ref="E3:G3"/>
    <mergeCell ref="H3:J3"/>
    <mergeCell ref="R3:U3"/>
    <mergeCell ref="N3:P3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9" max="9" man="1"/>
    <brk id="91" max="9" man="1"/>
    <brk id="113" max="9" man="1"/>
    <brk id="128" max="9" man="1"/>
  </row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S64"/>
  <sheetViews>
    <sheetView zoomScale="90" zoomScaleNormal="90" workbookViewId="0">
      <pane xSplit="4" ySplit="2" topLeftCell="E3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9.28515625" defaultRowHeight="15" outlineLevelRow="1" outlineLevelCol="1"/>
  <cols>
    <col min="1" max="1" width="33.5703125" bestFit="1" customWidth="1"/>
    <col min="2" max="2" width="13.28515625" style="143" hidden="1" customWidth="1" outlineLevel="1"/>
    <col min="3" max="3" width="13.5703125" style="259" hidden="1" customWidth="1" outlineLevel="1"/>
    <col min="4" max="4" width="7.5703125" bestFit="1" customWidth="1" collapsed="1"/>
    <col min="5" max="5" width="12.28515625" customWidth="1"/>
    <col min="6" max="6" width="13.28515625" customWidth="1"/>
    <col min="7" max="8" width="8.28515625" style="522" bestFit="1" customWidth="1"/>
    <col min="9" max="9" width="8.5703125" customWidth="1"/>
    <col min="10" max="10" width="12.28515625" hidden="1" customWidth="1" outlineLevel="1"/>
    <col min="11" max="11" width="13.28515625" hidden="1" customWidth="1" outlineLevel="1"/>
    <col min="12" max="14" width="8.28515625" hidden="1" customWidth="1" outlineLevel="1"/>
    <col min="15" max="15" width="13.28515625" hidden="1" customWidth="1" outlineLevel="1"/>
    <col min="16" max="16" width="8.28515625" hidden="1" customWidth="1" outlineLevel="1"/>
    <col min="17" max="17" width="12.5703125" hidden="1" customWidth="1" outlineLevel="1"/>
    <col min="18" max="19" width="11.5703125" style="522" hidden="1" customWidth="1" outlineLevel="1"/>
    <col min="20" max="20" width="11.28515625" style="522" hidden="1" customWidth="1" outlineLevel="1"/>
    <col min="21" max="21" width="12.28515625" customWidth="1" collapsed="1"/>
    <col min="22" max="22" width="12.28515625" customWidth="1"/>
    <col min="23" max="23" width="8.28515625" style="522" bestFit="1" customWidth="1"/>
    <col min="24" max="24" width="10.5703125" style="522" bestFit="1" customWidth="1"/>
    <col min="25" max="25" width="8.5703125" customWidth="1"/>
    <col min="26" max="27" width="12.28515625" hidden="1" customWidth="1" outlineLevel="1"/>
    <col min="28" max="30" width="8.28515625" hidden="1" customWidth="1" outlineLevel="1"/>
    <col min="31" max="31" width="12.28515625" hidden="1" customWidth="1" outlineLevel="1"/>
    <col min="32" max="32" width="11" hidden="1" customWidth="1" outlineLevel="1"/>
    <col min="33" max="33" width="11.5703125" hidden="1" customWidth="1" outlineLevel="1"/>
    <col min="34" max="36" width="10.5703125" style="522" hidden="1" customWidth="1" outlineLevel="1"/>
    <col min="37" max="37" width="13.28515625" bestFit="1" customWidth="1" collapsed="1"/>
    <col min="38" max="38" width="13.28515625" bestFit="1" customWidth="1"/>
    <col min="39" max="39" width="9.5703125" bestFit="1" customWidth="1"/>
    <col min="40" max="40" width="8.28515625" style="522" bestFit="1" customWidth="1"/>
    <col min="41" max="41" width="8.5703125" bestFit="1" customWidth="1"/>
    <col min="42" max="43" width="13.28515625" hidden="1" customWidth="1" outlineLevel="1"/>
    <col min="44" max="46" width="8.28515625" hidden="1" customWidth="1" outlineLevel="1"/>
    <col min="47" max="47" width="13.28515625" hidden="1" customWidth="1" outlineLevel="1"/>
    <col min="48" max="48" width="8.28515625" hidden="1" customWidth="1" outlineLevel="1"/>
    <col min="49" max="49" width="12.28515625" hidden="1" customWidth="1" outlineLevel="1"/>
    <col min="50" max="52" width="12.28515625" style="522" hidden="1" customWidth="1" outlineLevel="1"/>
    <col min="53" max="53" width="11.28515625" bestFit="1" customWidth="1" collapsed="1"/>
    <col min="54" max="54" width="10.5703125" customWidth="1"/>
    <col min="55" max="55" width="9.5703125" bestFit="1" customWidth="1"/>
    <col min="56" max="56" width="8.28515625" style="522" bestFit="1" customWidth="1"/>
    <col min="57" max="57" width="8.5703125" bestFit="1" customWidth="1"/>
    <col min="58" max="58" width="11.28515625" hidden="1" customWidth="1" outlineLevel="1"/>
    <col min="59" max="59" width="10.5703125" hidden="1" customWidth="1" outlineLevel="1"/>
    <col min="60" max="62" width="8.28515625" hidden="1" customWidth="1" outlineLevel="1"/>
    <col min="63" max="63" width="10.5703125" hidden="1" customWidth="1" outlineLevel="1"/>
    <col min="64" max="64" width="8.28515625" hidden="1" customWidth="1" outlineLevel="1"/>
    <col min="65" max="65" width="9.42578125" hidden="1" customWidth="1" outlineLevel="1"/>
    <col min="66" max="67" width="10.5703125" style="522" hidden="1" customWidth="1" outlineLevel="1"/>
    <col min="68" max="68" width="9.42578125" style="522" hidden="1" customWidth="1" outlineLevel="1"/>
    <col min="69" max="69" width="11.28515625" bestFit="1" customWidth="1" collapsed="1"/>
    <col min="70" max="70" width="10.5703125" bestFit="1" customWidth="1"/>
    <col min="71" max="72" width="8.28515625" style="522" bestFit="1" customWidth="1"/>
    <col min="73" max="73" width="8.5703125" bestFit="1" customWidth="1"/>
    <col min="74" max="74" width="11.28515625" hidden="1" customWidth="1" outlineLevel="1"/>
    <col min="75" max="75" width="10.5703125" hidden="1" customWidth="1" outlineLevel="1"/>
    <col min="76" max="78" width="8.28515625" hidden="1" customWidth="1" outlineLevel="1"/>
    <col min="79" max="79" width="10.5703125" hidden="1" customWidth="1" outlineLevel="1"/>
    <col min="80" max="80" width="8.28515625" hidden="1" customWidth="1" outlineLevel="1"/>
    <col min="81" max="81" width="10.28515625" hidden="1" customWidth="1" outlineLevel="1"/>
    <col min="82" max="83" width="10.5703125" style="522" hidden="1" customWidth="1" outlineLevel="1"/>
    <col min="84" max="84" width="9.42578125" style="522" hidden="1" customWidth="1" outlineLevel="1"/>
    <col min="85" max="85" width="9.42578125" customWidth="1" collapsed="1"/>
    <col min="86" max="86" width="9.42578125" customWidth="1"/>
    <col min="87" max="88" width="8.28515625" style="522" bestFit="1" customWidth="1"/>
    <col min="89" max="89" width="8.5703125" customWidth="1"/>
    <col min="90" max="91" width="9.42578125" hidden="1" customWidth="1" outlineLevel="1"/>
    <col min="92" max="94" width="8.28515625" hidden="1" customWidth="1" outlineLevel="1"/>
    <col min="95" max="95" width="9.42578125" hidden="1" customWidth="1" outlineLevel="1"/>
    <col min="96" max="96" width="8.28515625" hidden="1" customWidth="1" outlineLevel="1"/>
    <col min="97" max="97" width="7.7109375" hidden="1" customWidth="1" outlineLevel="1"/>
    <col min="98" max="98" width="8.7109375" style="522" hidden="1" customWidth="1" outlineLevel="1"/>
    <col min="99" max="99" width="8.28515625" style="522" hidden="1" customWidth="1" outlineLevel="1"/>
    <col min="100" max="100" width="9.28515625" style="522" hidden="1" customWidth="1" outlineLevel="1"/>
    <col min="101" max="101" width="13.28515625" customWidth="1" collapsed="1"/>
    <col min="102" max="102" width="13.28515625" customWidth="1"/>
    <col min="103" max="103" width="8.28515625" bestFit="1" customWidth="1"/>
    <col min="104" max="104" width="8.28515625" style="522" bestFit="1" customWidth="1"/>
    <col min="105" max="105" width="8.5703125" customWidth="1"/>
    <col min="106" max="107" width="13.28515625" hidden="1" customWidth="1" outlineLevel="1"/>
    <col min="108" max="110" width="8.28515625" hidden="1" customWidth="1" outlineLevel="1"/>
    <col min="111" max="111" width="13.28515625" hidden="1" customWidth="1" outlineLevel="1"/>
    <col min="112" max="112" width="8.28515625" hidden="1" customWidth="1" outlineLevel="1"/>
    <col min="113" max="113" width="12.5703125" hidden="1" customWidth="1" outlineLevel="1"/>
    <col min="114" max="116" width="12.28515625" style="522" hidden="1" customWidth="1" outlineLevel="1"/>
    <col min="117" max="117" width="9.28515625" collapsed="1"/>
    <col min="118" max="118" width="2.5703125" customWidth="1"/>
    <col min="119" max="120" width="13.28515625" bestFit="1" customWidth="1"/>
    <col min="121" max="121" width="9.5703125" bestFit="1" customWidth="1"/>
    <col min="122" max="122" width="8.28515625" bestFit="1" customWidth="1"/>
    <col min="123" max="123" width="8.5703125" bestFit="1" customWidth="1"/>
  </cols>
  <sheetData>
    <row r="1" spans="1:123" ht="14.65" customHeight="1">
      <c r="A1" s="1049" t="s">
        <v>468</v>
      </c>
      <c r="B1" s="1051" t="s">
        <v>462</v>
      </c>
      <c r="C1" s="1051"/>
      <c r="D1" s="1052" t="s">
        <v>414</v>
      </c>
      <c r="E1" s="1046" t="s">
        <v>461</v>
      </c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  <c r="Q1" s="1047"/>
      <c r="R1" s="1047"/>
      <c r="S1" s="1047"/>
      <c r="T1" s="1048"/>
      <c r="U1" s="1046" t="s">
        <v>177</v>
      </c>
      <c r="V1" s="1047"/>
      <c r="W1" s="1047"/>
      <c r="X1" s="1047"/>
      <c r="Y1" s="1047"/>
      <c r="Z1" s="1047"/>
      <c r="AA1" s="1047"/>
      <c r="AB1" s="1047"/>
      <c r="AC1" s="1047"/>
      <c r="AD1" s="1047"/>
      <c r="AE1" s="1047"/>
      <c r="AF1" s="1047"/>
      <c r="AG1" s="1047"/>
      <c r="AH1" s="1047"/>
      <c r="AI1" s="1047"/>
      <c r="AJ1" s="1048"/>
      <c r="AK1" s="1046" t="s">
        <v>460</v>
      </c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7"/>
      <c r="AW1" s="1047"/>
      <c r="AX1" s="1047"/>
      <c r="AY1" s="1047"/>
      <c r="AZ1" s="1048"/>
      <c r="BA1" s="1046" t="s">
        <v>463</v>
      </c>
      <c r="BB1" s="1047"/>
      <c r="BC1" s="1047"/>
      <c r="BD1" s="1047"/>
      <c r="BE1" s="1047"/>
      <c r="BF1" s="1047"/>
      <c r="BG1" s="1047"/>
      <c r="BH1" s="1047"/>
      <c r="BI1" s="1047"/>
      <c r="BJ1" s="1047"/>
      <c r="BK1" s="1047"/>
      <c r="BL1" s="1047"/>
      <c r="BM1" s="1047"/>
      <c r="BN1" s="1047"/>
      <c r="BO1" s="1047"/>
      <c r="BP1" s="1048"/>
      <c r="BQ1" s="1046" t="s">
        <v>459</v>
      </c>
      <c r="BR1" s="1047"/>
      <c r="BS1" s="1047"/>
      <c r="BT1" s="1047"/>
      <c r="BU1" s="1047"/>
      <c r="BV1" s="1047"/>
      <c r="BW1" s="1047"/>
      <c r="BX1" s="1047"/>
      <c r="BY1" s="1047"/>
      <c r="BZ1" s="1047"/>
      <c r="CA1" s="1047"/>
      <c r="CB1" s="1047"/>
      <c r="CC1" s="1047"/>
      <c r="CD1" s="1047"/>
      <c r="CE1" s="1047"/>
      <c r="CF1" s="1048"/>
      <c r="CG1" s="1046" t="s">
        <v>458</v>
      </c>
      <c r="CH1" s="1047"/>
      <c r="CI1" s="1047"/>
      <c r="CJ1" s="1047"/>
      <c r="CK1" s="1047"/>
      <c r="CL1" s="1047"/>
      <c r="CM1" s="1047"/>
      <c r="CN1" s="1047"/>
      <c r="CO1" s="1047"/>
      <c r="CP1" s="1047"/>
      <c r="CQ1" s="1047"/>
      <c r="CR1" s="1047"/>
      <c r="CS1" s="1047"/>
      <c r="CT1" s="1047"/>
      <c r="CU1" s="1047"/>
      <c r="CV1" s="1048"/>
      <c r="CW1" s="1054" t="s">
        <v>419</v>
      </c>
      <c r="CX1" s="1055"/>
      <c r="CY1" s="1055"/>
      <c r="CZ1" s="1055"/>
      <c r="DA1" s="1055"/>
      <c r="DB1" s="1055"/>
      <c r="DC1" s="1055"/>
      <c r="DD1" s="1055"/>
      <c r="DE1" s="1055"/>
      <c r="DF1" s="1055"/>
      <c r="DG1" s="1055"/>
      <c r="DH1" s="1055"/>
      <c r="DI1" s="1055"/>
      <c r="DJ1" s="1055"/>
      <c r="DK1" s="1055"/>
      <c r="DL1" s="1056"/>
      <c r="DM1" s="556"/>
      <c r="DO1" s="1054" t="s">
        <v>159</v>
      </c>
      <c r="DP1" s="1055"/>
      <c r="DQ1" s="1055"/>
      <c r="DR1" s="1055"/>
      <c r="DS1" s="1056"/>
    </row>
    <row r="2" spans="1:123" s="373" customFormat="1" ht="33.75" customHeight="1">
      <c r="A2" s="1050"/>
      <c r="B2" s="655" t="s">
        <v>457</v>
      </c>
      <c r="C2" s="654" t="s">
        <v>273</v>
      </c>
      <c r="D2" s="1053"/>
      <c r="E2" s="653" t="s">
        <v>456</v>
      </c>
      <c r="F2" s="652" t="s">
        <v>455</v>
      </c>
      <c r="G2" s="651" t="s">
        <v>454</v>
      </c>
      <c r="H2" s="651" t="s">
        <v>453</v>
      </c>
      <c r="I2" s="651" t="s">
        <v>452</v>
      </c>
      <c r="J2" s="650" t="s">
        <v>451</v>
      </c>
      <c r="K2" s="649" t="s">
        <v>450</v>
      </c>
      <c r="L2" s="649" t="s">
        <v>449</v>
      </c>
      <c r="M2" s="649" t="s">
        <v>448</v>
      </c>
      <c r="N2" s="649" t="s">
        <v>447</v>
      </c>
      <c r="O2" s="648" t="s">
        <v>446</v>
      </c>
      <c r="P2" s="648" t="s">
        <v>445</v>
      </c>
      <c r="Q2" s="647" t="s">
        <v>444</v>
      </c>
      <c r="R2" s="647" t="s">
        <v>443</v>
      </c>
      <c r="S2" s="647" t="s">
        <v>442</v>
      </c>
      <c r="T2" s="646" t="s">
        <v>441</v>
      </c>
      <c r="U2" s="653" t="s">
        <v>456</v>
      </c>
      <c r="V2" s="652" t="s">
        <v>455</v>
      </c>
      <c r="W2" s="651" t="s">
        <v>454</v>
      </c>
      <c r="X2" s="651" t="s">
        <v>453</v>
      </c>
      <c r="Y2" s="651" t="s">
        <v>452</v>
      </c>
      <c r="Z2" s="650" t="s">
        <v>451</v>
      </c>
      <c r="AA2" s="649" t="s">
        <v>450</v>
      </c>
      <c r="AB2" s="649" t="s">
        <v>449</v>
      </c>
      <c r="AC2" s="649" t="s">
        <v>448</v>
      </c>
      <c r="AD2" s="649" t="s">
        <v>447</v>
      </c>
      <c r="AE2" s="648" t="s">
        <v>446</v>
      </c>
      <c r="AF2" s="648" t="s">
        <v>445</v>
      </c>
      <c r="AG2" s="647" t="s">
        <v>444</v>
      </c>
      <c r="AH2" s="647" t="s">
        <v>443</v>
      </c>
      <c r="AI2" s="647" t="s">
        <v>442</v>
      </c>
      <c r="AJ2" s="646" t="s">
        <v>441</v>
      </c>
      <c r="AK2" s="653" t="s">
        <v>456</v>
      </c>
      <c r="AL2" s="652" t="s">
        <v>455</v>
      </c>
      <c r="AM2" s="651" t="s">
        <v>454</v>
      </c>
      <c r="AN2" s="651" t="s">
        <v>453</v>
      </c>
      <c r="AO2" s="651" t="s">
        <v>452</v>
      </c>
      <c r="AP2" s="650" t="s">
        <v>451</v>
      </c>
      <c r="AQ2" s="649" t="s">
        <v>450</v>
      </c>
      <c r="AR2" s="649" t="s">
        <v>449</v>
      </c>
      <c r="AS2" s="649" t="s">
        <v>448</v>
      </c>
      <c r="AT2" s="649" t="s">
        <v>447</v>
      </c>
      <c r="AU2" s="648" t="s">
        <v>446</v>
      </c>
      <c r="AV2" s="648" t="s">
        <v>445</v>
      </c>
      <c r="AW2" s="647" t="s">
        <v>444</v>
      </c>
      <c r="AX2" s="647" t="s">
        <v>443</v>
      </c>
      <c r="AY2" s="647" t="s">
        <v>442</v>
      </c>
      <c r="AZ2" s="646" t="s">
        <v>441</v>
      </c>
      <c r="BA2" s="653" t="s">
        <v>456</v>
      </c>
      <c r="BB2" s="652" t="s">
        <v>455</v>
      </c>
      <c r="BC2" s="651" t="s">
        <v>454</v>
      </c>
      <c r="BD2" s="651" t="s">
        <v>453</v>
      </c>
      <c r="BE2" s="651" t="s">
        <v>452</v>
      </c>
      <c r="BF2" s="650" t="s">
        <v>451</v>
      </c>
      <c r="BG2" s="649" t="s">
        <v>450</v>
      </c>
      <c r="BH2" s="649" t="s">
        <v>449</v>
      </c>
      <c r="BI2" s="649" t="s">
        <v>448</v>
      </c>
      <c r="BJ2" s="649" t="s">
        <v>447</v>
      </c>
      <c r="BK2" s="648" t="s">
        <v>446</v>
      </c>
      <c r="BL2" s="648" t="s">
        <v>445</v>
      </c>
      <c r="BM2" s="647" t="s">
        <v>444</v>
      </c>
      <c r="BN2" s="647" t="s">
        <v>443</v>
      </c>
      <c r="BO2" s="647" t="s">
        <v>442</v>
      </c>
      <c r="BP2" s="646" t="s">
        <v>441</v>
      </c>
      <c r="BQ2" s="653" t="s">
        <v>456</v>
      </c>
      <c r="BR2" s="652" t="s">
        <v>455</v>
      </c>
      <c r="BS2" s="651" t="s">
        <v>454</v>
      </c>
      <c r="BT2" s="651" t="s">
        <v>453</v>
      </c>
      <c r="BU2" s="651" t="s">
        <v>452</v>
      </c>
      <c r="BV2" s="650" t="s">
        <v>451</v>
      </c>
      <c r="BW2" s="649" t="s">
        <v>450</v>
      </c>
      <c r="BX2" s="649" t="s">
        <v>449</v>
      </c>
      <c r="BY2" s="649" t="s">
        <v>448</v>
      </c>
      <c r="BZ2" s="649" t="s">
        <v>447</v>
      </c>
      <c r="CA2" s="648" t="s">
        <v>446</v>
      </c>
      <c r="CB2" s="648" t="s">
        <v>445</v>
      </c>
      <c r="CC2" s="647" t="s">
        <v>444</v>
      </c>
      <c r="CD2" s="647" t="s">
        <v>443</v>
      </c>
      <c r="CE2" s="647" t="s">
        <v>442</v>
      </c>
      <c r="CF2" s="646" t="s">
        <v>441</v>
      </c>
      <c r="CG2" s="653" t="s">
        <v>456</v>
      </c>
      <c r="CH2" s="652" t="s">
        <v>455</v>
      </c>
      <c r="CI2" s="651" t="s">
        <v>454</v>
      </c>
      <c r="CJ2" s="651" t="s">
        <v>453</v>
      </c>
      <c r="CK2" s="651" t="s">
        <v>452</v>
      </c>
      <c r="CL2" s="650" t="s">
        <v>451</v>
      </c>
      <c r="CM2" s="649" t="s">
        <v>450</v>
      </c>
      <c r="CN2" s="649" t="s">
        <v>449</v>
      </c>
      <c r="CO2" s="649" t="s">
        <v>448</v>
      </c>
      <c r="CP2" s="649" t="s">
        <v>447</v>
      </c>
      <c r="CQ2" s="648" t="s">
        <v>446</v>
      </c>
      <c r="CR2" s="648" t="s">
        <v>445</v>
      </c>
      <c r="CS2" s="647" t="s">
        <v>444</v>
      </c>
      <c r="CT2" s="647" t="s">
        <v>443</v>
      </c>
      <c r="CU2" s="647" t="s">
        <v>442</v>
      </c>
      <c r="CV2" s="646" t="s">
        <v>441</v>
      </c>
      <c r="CW2" s="653" t="s">
        <v>456</v>
      </c>
      <c r="CX2" s="652" t="s">
        <v>455</v>
      </c>
      <c r="CY2" s="651" t="s">
        <v>454</v>
      </c>
      <c r="CZ2" s="651" t="s">
        <v>453</v>
      </c>
      <c r="DA2" s="651" t="s">
        <v>452</v>
      </c>
      <c r="DB2" s="650" t="s">
        <v>451</v>
      </c>
      <c r="DC2" s="649" t="s">
        <v>450</v>
      </c>
      <c r="DD2" s="649" t="s">
        <v>449</v>
      </c>
      <c r="DE2" s="649" t="s">
        <v>448</v>
      </c>
      <c r="DF2" s="649" t="s">
        <v>447</v>
      </c>
      <c r="DG2" s="648" t="s">
        <v>446</v>
      </c>
      <c r="DH2" s="648" t="s">
        <v>445</v>
      </c>
      <c r="DI2" s="647" t="s">
        <v>444</v>
      </c>
      <c r="DJ2" s="647" t="s">
        <v>443</v>
      </c>
      <c r="DK2" s="647" t="s">
        <v>442</v>
      </c>
      <c r="DL2" s="646" t="s">
        <v>441</v>
      </c>
      <c r="DM2" s="645"/>
      <c r="DO2" s="653" t="s">
        <v>456</v>
      </c>
      <c r="DP2" s="652" t="s">
        <v>455</v>
      </c>
      <c r="DQ2" s="651" t="s">
        <v>454</v>
      </c>
      <c r="DR2" s="651" t="s">
        <v>453</v>
      </c>
      <c r="DS2" s="656" t="s">
        <v>452</v>
      </c>
    </row>
    <row r="3" spans="1:123" outlineLevel="1">
      <c r="A3" s="556" t="s">
        <v>440</v>
      </c>
      <c r="B3" s="632"/>
      <c r="C3" s="631"/>
      <c r="D3" s="609" t="s">
        <v>12</v>
      </c>
      <c r="E3" s="568">
        <v>0</v>
      </c>
      <c r="F3" s="259">
        <v>0</v>
      </c>
      <c r="G3" s="643">
        <f t="shared" ref="G3:G15" si="0">IF(E3&lt;&gt;0,F3/E3,0)</f>
        <v>0</v>
      </c>
      <c r="H3" s="605">
        <f t="shared" ref="H3:H15" si="1">IF(E$32&lt;&gt;0,E3/E$32,0)</f>
        <v>0</v>
      </c>
      <c r="I3" s="494">
        <f t="shared" ref="I3:I15" si="2">IF($E$32&lt;&gt;0,F3/$E$32,0)</f>
        <v>0</v>
      </c>
      <c r="J3" s="633">
        <f t="shared" ref="J3:J15" si="3">E$32*M3</f>
        <v>0</v>
      </c>
      <c r="K3" s="642">
        <f t="shared" ref="K3:K15" si="4">J3*L3</f>
        <v>0</v>
      </c>
      <c r="L3" s="644">
        <v>1.043E-2</v>
      </c>
      <c r="M3" s="624">
        <v>0</v>
      </c>
      <c r="N3" s="637">
        <f t="shared" ref="N3:N15" si="5">IF($E$32&lt;&gt;0,K3/$E$32,L3*M3)</f>
        <v>0</v>
      </c>
      <c r="O3" s="641">
        <f t="shared" ref="O3:O15" si="6">E3*L3</f>
        <v>0</v>
      </c>
      <c r="P3" s="640">
        <f t="shared" ref="P3:P15" si="7">IF($E$32&lt;&gt;0,O3/$E$32,0)</f>
        <v>0</v>
      </c>
      <c r="Q3" s="598">
        <f t="shared" ref="Q3:Q15" si="8">E3-J3</f>
        <v>0</v>
      </c>
      <c r="R3" s="639">
        <f t="shared" ref="R3:R15" si="9">F3-K3</f>
        <v>0</v>
      </c>
      <c r="S3" s="639">
        <f t="shared" ref="S3:S15" si="10">Q3*L3</f>
        <v>0</v>
      </c>
      <c r="T3" s="638">
        <f t="shared" ref="T3:T15" si="11">F3-O3</f>
        <v>0</v>
      </c>
      <c r="U3" s="568">
        <v>20196553.763999999</v>
      </c>
      <c r="V3" s="259">
        <v>285953.28000000003</v>
      </c>
      <c r="W3" s="643">
        <f t="shared" ref="W3:W15" si="12">IF(U3&lt;&gt;0,V3/U3,0)</f>
        <v>1.4158518494858599E-2</v>
      </c>
      <c r="X3" s="605">
        <f t="shared" ref="X3:X15" si="13">IF(U$32&lt;&gt;0,U3/U$32,0)</f>
        <v>2.4102521654202023</v>
      </c>
      <c r="Y3" s="494">
        <f t="shared" ref="Y3:Y8" si="14">IF($U$32&lt;&gt;0,V3/$U$32,0)</f>
        <v>3.4125599861374922E-2</v>
      </c>
      <c r="Z3" s="633">
        <f t="shared" ref="Z3:Z15" si="15">U$32*AC3</f>
        <v>25138308</v>
      </c>
      <c r="AA3" s="642">
        <f t="shared" ref="AA3:AA15" si="16">Z3*AB3</f>
        <v>262192.55244</v>
      </c>
      <c r="AB3" s="644">
        <v>1.043E-2</v>
      </c>
      <c r="AC3" s="624">
        <v>3</v>
      </c>
      <c r="AD3" s="637">
        <f t="shared" ref="AD3:AD15" si="17">IF($U$32&lt;&gt;0,AA3/$U$32,AB3*AC3)</f>
        <v>3.1289999999999998E-2</v>
      </c>
      <c r="AE3" s="641">
        <f t="shared" ref="AE3:AE15" si="18">U3*AB3</f>
        <v>210650.05575851997</v>
      </c>
      <c r="AF3" s="640">
        <f t="shared" ref="AF3:AF15" si="19">IF($U$32&lt;&gt;0,AE3/$U$32,0)</f>
        <v>2.513893008533271E-2</v>
      </c>
      <c r="AG3" s="598">
        <f t="shared" ref="AG3:AG15" si="20">U3-Z3</f>
        <v>-4941754.2360000014</v>
      </c>
      <c r="AH3" s="639">
        <f t="shared" ref="AH3:AH15" si="21">V3-AA3</f>
        <v>23760.727560000028</v>
      </c>
      <c r="AI3" s="639">
        <f t="shared" ref="AI3:AI15" si="22">AG3*AB3</f>
        <v>-51542.496681480014</v>
      </c>
      <c r="AJ3" s="638">
        <f t="shared" ref="AJ3:AJ15" si="23">V3-AE3</f>
        <v>75303.224241480057</v>
      </c>
      <c r="AK3" s="568">
        <v>266112218.00400004</v>
      </c>
      <c r="AL3" s="259">
        <v>3738887.2800000003</v>
      </c>
      <c r="AM3" s="643">
        <f t="shared" ref="AM3:AM15" si="24">IF(AK3&lt;&gt;0,AL3/AK3,0)</f>
        <v>1.4050039896867116E-2</v>
      </c>
      <c r="AN3" s="605">
        <f t="shared" ref="AN3:AN15" si="25">IF(AK$32&lt;&gt;0,AK3/AK$32,0)</f>
        <v>2.1972328275292297</v>
      </c>
      <c r="AO3" s="494">
        <f t="shared" ref="AO3:AO15" si="26">IF($AK$32&lt;&gt;0,AL3/$AK$32,0)</f>
        <v>3.0871208889491821E-2</v>
      </c>
      <c r="AP3" s="633">
        <f t="shared" ref="AP3:AP15" si="27">AK$32*AS3</f>
        <v>219213507.34999999</v>
      </c>
      <c r="AQ3" s="642">
        <f t="shared" ref="AQ3:AQ15" si="28">AP3*AR3</f>
        <v>2286396.8816605001</v>
      </c>
      <c r="AR3" s="644">
        <v>1.043E-2</v>
      </c>
      <c r="AS3" s="624">
        <v>1.81</v>
      </c>
      <c r="AT3" s="637">
        <f t="shared" ref="AT3:AT15" si="29">IF($AK$32&lt;&gt;0,AQ3/$AK$32,AR3*AS3)</f>
        <v>1.8878300000000001E-2</v>
      </c>
      <c r="AU3" s="641">
        <f t="shared" ref="AU3:AU15" si="30">AK3*AR3</f>
        <v>2775550.4337817202</v>
      </c>
      <c r="AV3" s="640">
        <f t="shared" ref="AV3:AV15" si="31">IF($AK$32&lt;&gt;0,AU3/$AK$32,0)</f>
        <v>2.2917138391129865E-2</v>
      </c>
      <c r="AW3" s="598">
        <f t="shared" ref="AW3:AW15" si="32">AK3-AP3</f>
        <v>46898710.654000044</v>
      </c>
      <c r="AX3" s="639">
        <f t="shared" ref="AX3:AX15" si="33">AL3-AQ3</f>
        <v>1452490.3983395002</v>
      </c>
      <c r="AY3" s="639">
        <f t="shared" ref="AY3:AY15" si="34">AW3*AR3</f>
        <v>489153.55212122045</v>
      </c>
      <c r="AZ3" s="638">
        <f t="shared" ref="AZ3:AZ15" si="35">+AL3-AU3</f>
        <v>963336.84621828003</v>
      </c>
      <c r="BA3" s="568">
        <v>1658015.6770000001</v>
      </c>
      <c r="BB3" s="259">
        <v>23825.5</v>
      </c>
      <c r="BC3" s="643">
        <f t="shared" ref="BC3:BC15" si="36">IF(BA3&lt;&gt;0,BB3/BA3,0)</f>
        <v>1.4369888252872049E-2</v>
      </c>
      <c r="BD3" s="605">
        <f t="shared" ref="BD3:BD15" si="37">IF(BA$32&lt;&gt;0,BA3/BA$32,0)</f>
        <v>2.6302428700151976</v>
      </c>
      <c r="BE3" s="494">
        <f t="shared" ref="BE3:BE15" si="38">IF($BA$32&lt;&gt;0,BB3/$BA$32,0)</f>
        <v>3.7796296120031853E-2</v>
      </c>
      <c r="BF3" s="633">
        <f t="shared" ref="BF3:BF15" si="39">BA$32*BI3</f>
        <v>1140962.46</v>
      </c>
      <c r="BG3" s="642">
        <f t="shared" ref="BG3:BG15" si="40">BF3*BH3</f>
        <v>11900.2384578</v>
      </c>
      <c r="BH3" s="644">
        <v>1.043E-2</v>
      </c>
      <c r="BI3" s="624">
        <v>1.81</v>
      </c>
      <c r="BJ3" s="637">
        <f t="shared" ref="BJ3:BJ15" si="41">IF($BA$32&lt;&gt;0,BG3/$BA$32,BH3*BI3)</f>
        <v>1.8878300000000001E-2</v>
      </c>
      <c r="BK3" s="641">
        <f t="shared" ref="BK3:BK15" si="42">BA3*BH3</f>
        <v>17293.103511110003</v>
      </c>
      <c r="BL3" s="640">
        <f t="shared" ref="BL3:BL15" si="43">IF($BA$32&lt;&gt;0,BK3/$BA$32,0)</f>
        <v>2.7433433134258514E-2</v>
      </c>
      <c r="BM3" s="598">
        <f t="shared" ref="BM3:BM15" si="44">BA3-BF3</f>
        <v>517053.21700000018</v>
      </c>
      <c r="BN3" s="639">
        <f t="shared" ref="BN3:BN15" si="45">BB3-BG3</f>
        <v>11925.2615422</v>
      </c>
      <c r="BO3" s="639">
        <f t="shared" ref="BO3:BO15" si="46">BM3*BH3</f>
        <v>5392.8650533100017</v>
      </c>
      <c r="BP3" s="638">
        <f t="shared" ref="BP3:BP15" si="47">+BB3-BK3</f>
        <v>6532.3964888899973</v>
      </c>
      <c r="BQ3" s="568">
        <v>1601750</v>
      </c>
      <c r="BR3" s="259">
        <v>20832.54</v>
      </c>
      <c r="BS3" s="643">
        <f t="shared" ref="BS3:BS15" si="48">IF(BQ3&lt;&gt;0,BR3/BQ3,0)</f>
        <v>1.3006112064928984E-2</v>
      </c>
      <c r="BT3" s="605">
        <f t="shared" ref="BT3:BT15" si="49">IF(BQ$32&lt;&gt;0,BQ3/BQ$32,0)</f>
        <v>1.4950065335075602</v>
      </c>
      <c r="BU3" s="494">
        <f t="shared" ref="BU3:BU15" si="50">IF($BQ$32&lt;&gt;0,BR3/$BQ$32,0)</f>
        <v>1.9444222512600338E-2</v>
      </c>
      <c r="BV3" s="633">
        <f t="shared" ref="BV3:BV15" si="51">BQ$32*BY3</f>
        <v>1939234</v>
      </c>
      <c r="BW3" s="642">
        <f t="shared" ref="BW3:BW15" si="52">BV3*BX3</f>
        <v>20226.210620000002</v>
      </c>
      <c r="BX3" s="644">
        <v>1.043E-2</v>
      </c>
      <c r="BY3" s="624">
        <v>1.81</v>
      </c>
      <c r="BZ3" s="637">
        <f t="shared" ref="BZ3:BZ15" si="53">IF($BQ$32&lt;&gt;0,BW3/$BQ$32,BX3*BY3)</f>
        <v>1.8878300000000001E-2</v>
      </c>
      <c r="CA3" s="641">
        <f t="shared" ref="CA3:CA15" si="54">BQ3*BX3</f>
        <v>16706.252499999999</v>
      </c>
      <c r="CB3" s="640">
        <f t="shared" ref="CB3:CB15" si="55">IF($BQ$32&lt;&gt;0,CA3/$BQ$32,0)</f>
        <v>1.5592918144483851E-2</v>
      </c>
      <c r="CC3" s="598">
        <f t="shared" ref="CC3:CC15" si="56">BQ3-BV3</f>
        <v>-337484</v>
      </c>
      <c r="CD3" s="639">
        <f t="shared" ref="CD3:CD15" si="57">BR3-BW3</f>
        <v>606.32937999999922</v>
      </c>
      <c r="CE3" s="639">
        <f t="shared" ref="CE3:CE15" si="58">CC3*BX3</f>
        <v>-3519.9581200000002</v>
      </c>
      <c r="CF3" s="638">
        <f t="shared" ref="CF3:CF15" si="59">BR3-CA3</f>
        <v>4126.2875000000022</v>
      </c>
      <c r="CG3" s="568">
        <v>811439.95499999996</v>
      </c>
      <c r="CH3" s="259">
        <v>11702.33</v>
      </c>
      <c r="CI3" s="643">
        <f t="shared" ref="CI3:CI15" si="60">IF(CG3&lt;&gt;0,CH3/CG3,0)</f>
        <v>1.4421683240875168E-2</v>
      </c>
      <c r="CJ3" s="605">
        <f t="shared" ref="CJ3:CJ15" si="61">IF(CG$32&lt;&gt;0,CG3/CG$32,0)</f>
        <v>1.0015057083261336</v>
      </c>
      <c r="CK3" s="494">
        <f t="shared" ref="CK3:CK15" si="62">IF($CG$32&lt;&gt;0,CH3/$CG$32,0)</f>
        <v>1.4443398089407816E-2</v>
      </c>
      <c r="CL3" s="633">
        <f t="shared" ref="CL3:CL15" si="63">CG$32*CO3</f>
        <v>810220</v>
      </c>
      <c r="CM3" s="642">
        <f t="shared" ref="CM3:CM15" si="64">CL3*CN3</f>
        <v>8450.5946000000004</v>
      </c>
      <c r="CN3" s="644">
        <v>1.043E-2</v>
      </c>
      <c r="CO3" s="624">
        <v>1</v>
      </c>
      <c r="CP3" s="637">
        <f t="shared" ref="CP3:CP15" si="65">IF($CG$32&lt;&gt;0,CM3/$CG$32,CN3*CO3)</f>
        <v>1.043E-2</v>
      </c>
      <c r="CQ3" s="641">
        <f t="shared" ref="CQ3:CQ15" si="66">CG3*CN3</f>
        <v>8463.3187306500004</v>
      </c>
      <c r="CR3" s="640">
        <f t="shared" ref="CR3:CR15" si="67">IF($CG$32&lt;&gt;0,CQ3/$CG$32,0)</f>
        <v>1.0445704537841575E-2</v>
      </c>
      <c r="CS3" s="598">
        <f t="shared" ref="CS3:CS15" si="68">CG3-CL3</f>
        <v>1219.9549999999581</v>
      </c>
      <c r="CT3" s="639">
        <f t="shared" ref="CT3:CT15" si="69">CH3-CM3</f>
        <v>3251.7353999999996</v>
      </c>
      <c r="CU3" s="639">
        <f t="shared" ref="CU3:CU15" si="70">CS3*CN3</f>
        <v>12.724130649999562</v>
      </c>
      <c r="CV3" s="638">
        <f t="shared" ref="CV3:CV15" si="71">CH3-CQ3</f>
        <v>3239.0112693499996</v>
      </c>
      <c r="CW3" s="568">
        <f t="shared" ref="CW3:CW15" si="72">E3+U3+AK3+BA3+BQ3+CG3</f>
        <v>290379977.39999998</v>
      </c>
      <c r="CX3" s="259">
        <f t="shared" ref="CX3:CX15" si="73">F3+V3+AL3+BB3+BR3+CH3</f>
        <v>4081200.9300000006</v>
      </c>
      <c r="CY3" s="643">
        <f t="shared" ref="CY3:CY15" si="74">IF(CW3&lt;&gt;0,CX3/CW3,0)</f>
        <v>1.4054691258475182E-2</v>
      </c>
      <c r="CZ3" s="605">
        <f t="shared" ref="CZ3:CZ15" si="75">IF(CW$32&lt;&gt;0,CW3/CW$32,0)</f>
        <v>1.9692805195287666</v>
      </c>
      <c r="DA3" s="494">
        <f t="shared" ref="DA3:DA15" si="76">IF($CW$32&lt;&gt;0,CX3/$CW$32,0)</f>
        <v>2.7677629703306419E-2</v>
      </c>
      <c r="DB3" s="633">
        <f t="shared" ref="DB3:DB15" si="77">J3+Z3+AP3+BF3+BV3+CL3</f>
        <v>248242231.81</v>
      </c>
      <c r="DC3" s="642">
        <f t="shared" ref="DC3:DC15" si="78">K3+AA3+AQ3+BG3+BW3+CM3</f>
        <v>2589166.4777783002</v>
      </c>
      <c r="DD3" s="637">
        <v>1.417E-2</v>
      </c>
      <c r="DE3" s="588">
        <f t="shared" ref="DE3:DE15" si="79">IF(CW$32&lt;&gt;0,DB3/CW$32,0)</f>
        <v>1.6835134281809381</v>
      </c>
      <c r="DF3" s="637">
        <f t="shared" ref="DF3:DF15" si="80">IF($CW$32&lt;&gt;0,DC3/$CW$32,0)</f>
        <v>1.7559045055927185E-2</v>
      </c>
      <c r="DG3" s="641">
        <f t="shared" ref="DG3:DG15" si="81">O3+AE3+AU3+BK3+CA3+CQ3</f>
        <v>3028663.1642820002</v>
      </c>
      <c r="DH3" s="640">
        <f t="shared" ref="DH3:DH15" si="82">IF($CW$32&lt;&gt;0,DG3/$CW$32,0)</f>
        <v>2.0539595818685037E-2</v>
      </c>
      <c r="DI3" s="598">
        <f t="shared" ref="DI3:DI15" si="83">Q3+AG3+AW3+BM3+CC3+CS3</f>
        <v>42137745.590000041</v>
      </c>
      <c r="DJ3" s="639">
        <f t="shared" ref="DJ3:DJ15" si="84">R3+AH3+AX3+BN3+CD3+CT3</f>
        <v>1492034.4522217002</v>
      </c>
      <c r="DK3" s="639">
        <f t="shared" ref="DK3:DK15" si="85">S3+AI3+AY3+BO3+CE3+CU3</f>
        <v>439496.68650370039</v>
      </c>
      <c r="DL3" s="638">
        <f t="shared" ref="DL3:DL15" si="86">T3+AJ3+AZ3+BP3+CF3+CV3</f>
        <v>1052537.7657180002</v>
      </c>
      <c r="DM3" s="556"/>
      <c r="DO3" s="568">
        <f>AK3+BA3+BQ3</f>
        <v>269371983.68099999</v>
      </c>
      <c r="DP3" s="259">
        <f t="shared" ref="DP3:DP15" si="87">AL3+BB3+BR3</f>
        <v>3783545.3200000003</v>
      </c>
      <c r="DQ3" s="643">
        <f t="shared" ref="DQ3:DQ15" si="88">IF(DO3&lt;&gt;0,DP3/DO3,0)</f>
        <v>1.4045801156814478E-2</v>
      </c>
      <c r="DR3" s="605">
        <f t="shared" ref="DR3:DR15" si="89">IF(DO$32&lt;&gt;0,DO3/DO$32,0)</f>
        <v>2.1933292851125579</v>
      </c>
      <c r="DS3" s="657">
        <f>IF($DO$32&lt;&gt;0,DP3/$DO$32,0)</f>
        <v>3.0807067010109036E-2</v>
      </c>
    </row>
    <row r="4" spans="1:123" outlineLevel="1">
      <c r="A4" s="556" t="s">
        <v>439</v>
      </c>
      <c r="B4" s="632"/>
      <c r="C4" s="631"/>
      <c r="D4" s="609" t="s">
        <v>12</v>
      </c>
      <c r="E4" s="568">
        <v>0</v>
      </c>
      <c r="F4" s="634">
        <v>0</v>
      </c>
      <c r="G4" s="608">
        <f t="shared" si="0"/>
        <v>0</v>
      </c>
      <c r="H4" s="605">
        <f t="shared" si="1"/>
        <v>0</v>
      </c>
      <c r="I4" s="592">
        <f t="shared" si="2"/>
        <v>0</v>
      </c>
      <c r="J4" s="633">
        <f t="shared" si="3"/>
        <v>0</v>
      </c>
      <c r="K4" s="633">
        <f t="shared" si="4"/>
        <v>0</v>
      </c>
      <c r="L4" s="625">
        <v>4.4679999999999997E-2</v>
      </c>
      <c r="M4" s="624">
        <f>0</f>
        <v>0</v>
      </c>
      <c r="N4" s="625">
        <f t="shared" si="5"/>
        <v>0</v>
      </c>
      <c r="O4" s="636">
        <f t="shared" si="6"/>
        <v>0</v>
      </c>
      <c r="P4" s="635">
        <f t="shared" si="7"/>
        <v>0</v>
      </c>
      <c r="Q4" s="598">
        <f t="shared" si="8"/>
        <v>0</v>
      </c>
      <c r="R4" s="598">
        <f t="shared" si="9"/>
        <v>0</v>
      </c>
      <c r="S4" s="598">
        <f t="shared" si="10"/>
        <v>0</v>
      </c>
      <c r="T4" s="611">
        <f t="shared" si="11"/>
        <v>0</v>
      </c>
      <c r="U4" s="568">
        <v>0</v>
      </c>
      <c r="V4" s="634">
        <v>0</v>
      </c>
      <c r="W4" s="608">
        <f t="shared" si="12"/>
        <v>0</v>
      </c>
      <c r="X4" s="605">
        <f t="shared" si="13"/>
        <v>0</v>
      </c>
      <c r="Y4" s="592">
        <f t="shared" si="14"/>
        <v>0</v>
      </c>
      <c r="Z4" s="633">
        <f t="shared" si="15"/>
        <v>0</v>
      </c>
      <c r="AA4" s="633">
        <f t="shared" si="16"/>
        <v>0</v>
      </c>
      <c r="AB4" s="625">
        <v>4.4679999999999997E-2</v>
      </c>
      <c r="AC4" s="624">
        <f>0</f>
        <v>0</v>
      </c>
      <c r="AD4" s="625">
        <f t="shared" si="17"/>
        <v>0</v>
      </c>
      <c r="AE4" s="636">
        <f t="shared" si="18"/>
        <v>0</v>
      </c>
      <c r="AF4" s="635">
        <f t="shared" si="19"/>
        <v>0</v>
      </c>
      <c r="AG4" s="598">
        <f t="shared" si="20"/>
        <v>0</v>
      </c>
      <c r="AH4" s="598">
        <f t="shared" si="21"/>
        <v>0</v>
      </c>
      <c r="AI4" s="598">
        <f t="shared" si="22"/>
        <v>0</v>
      </c>
      <c r="AJ4" s="611">
        <f t="shared" si="23"/>
        <v>0</v>
      </c>
      <c r="AK4" s="568">
        <v>0</v>
      </c>
      <c r="AL4" s="634">
        <v>0</v>
      </c>
      <c r="AM4" s="608">
        <f t="shared" si="24"/>
        <v>0</v>
      </c>
      <c r="AN4" s="605">
        <f t="shared" si="25"/>
        <v>0</v>
      </c>
      <c r="AO4" s="592">
        <f t="shared" si="26"/>
        <v>0</v>
      </c>
      <c r="AP4" s="633">
        <f t="shared" si="27"/>
        <v>0</v>
      </c>
      <c r="AQ4" s="633">
        <f t="shared" si="28"/>
        <v>0</v>
      </c>
      <c r="AR4" s="625">
        <v>4.4679999999999997E-2</v>
      </c>
      <c r="AS4" s="624">
        <f>0</f>
        <v>0</v>
      </c>
      <c r="AT4" s="625">
        <f t="shared" si="29"/>
        <v>0</v>
      </c>
      <c r="AU4" s="636">
        <f t="shared" si="30"/>
        <v>0</v>
      </c>
      <c r="AV4" s="635">
        <f t="shared" si="31"/>
        <v>0</v>
      </c>
      <c r="AW4" s="598">
        <f t="shared" si="32"/>
        <v>0</v>
      </c>
      <c r="AX4" s="598">
        <f t="shared" si="33"/>
        <v>0</v>
      </c>
      <c r="AY4" s="598">
        <f t="shared" si="34"/>
        <v>0</v>
      </c>
      <c r="AZ4" s="611">
        <f t="shared" si="35"/>
        <v>0</v>
      </c>
      <c r="BA4" s="568">
        <v>0</v>
      </c>
      <c r="BB4" s="634">
        <v>0</v>
      </c>
      <c r="BC4" s="608">
        <f t="shared" si="36"/>
        <v>0</v>
      </c>
      <c r="BD4" s="605">
        <f t="shared" si="37"/>
        <v>0</v>
      </c>
      <c r="BE4" s="592">
        <f t="shared" si="38"/>
        <v>0</v>
      </c>
      <c r="BF4" s="633">
        <f t="shared" si="39"/>
        <v>0</v>
      </c>
      <c r="BG4" s="633">
        <f t="shared" si="40"/>
        <v>0</v>
      </c>
      <c r="BH4" s="625">
        <v>4.4679999999999997E-2</v>
      </c>
      <c r="BI4" s="624">
        <f>0</f>
        <v>0</v>
      </c>
      <c r="BJ4" s="625">
        <f t="shared" si="41"/>
        <v>0</v>
      </c>
      <c r="BK4" s="636">
        <f t="shared" si="42"/>
        <v>0</v>
      </c>
      <c r="BL4" s="635">
        <f t="shared" si="43"/>
        <v>0</v>
      </c>
      <c r="BM4" s="598">
        <f t="shared" si="44"/>
        <v>0</v>
      </c>
      <c r="BN4" s="598">
        <f t="shared" si="45"/>
        <v>0</v>
      </c>
      <c r="BO4" s="598">
        <f t="shared" si="46"/>
        <v>0</v>
      </c>
      <c r="BP4" s="611">
        <f t="shared" si="47"/>
        <v>0</v>
      </c>
      <c r="BQ4" s="568">
        <v>0</v>
      </c>
      <c r="BR4" s="634">
        <v>0</v>
      </c>
      <c r="BS4" s="608">
        <f t="shared" si="48"/>
        <v>0</v>
      </c>
      <c r="BT4" s="605">
        <f t="shared" si="49"/>
        <v>0</v>
      </c>
      <c r="BU4" s="592">
        <f t="shared" si="50"/>
        <v>0</v>
      </c>
      <c r="BV4" s="633">
        <f t="shared" si="51"/>
        <v>0</v>
      </c>
      <c r="BW4" s="633">
        <f t="shared" si="52"/>
        <v>0</v>
      </c>
      <c r="BX4" s="625">
        <v>4.4679999999999997E-2</v>
      </c>
      <c r="BY4" s="624">
        <f>0</f>
        <v>0</v>
      </c>
      <c r="BZ4" s="625">
        <f t="shared" si="53"/>
        <v>0</v>
      </c>
      <c r="CA4" s="636">
        <f t="shared" si="54"/>
        <v>0</v>
      </c>
      <c r="CB4" s="635">
        <f t="shared" si="55"/>
        <v>0</v>
      </c>
      <c r="CC4" s="598">
        <f t="shared" si="56"/>
        <v>0</v>
      </c>
      <c r="CD4" s="598">
        <f t="shared" si="57"/>
        <v>0</v>
      </c>
      <c r="CE4" s="598">
        <f t="shared" si="58"/>
        <v>0</v>
      </c>
      <c r="CF4" s="611">
        <f t="shared" si="59"/>
        <v>0</v>
      </c>
      <c r="CG4" s="568">
        <v>0</v>
      </c>
      <c r="CH4" s="634">
        <v>0</v>
      </c>
      <c r="CI4" s="608">
        <f t="shared" si="60"/>
        <v>0</v>
      </c>
      <c r="CJ4" s="605">
        <f t="shared" si="61"/>
        <v>0</v>
      </c>
      <c r="CK4" s="592">
        <f t="shared" si="62"/>
        <v>0</v>
      </c>
      <c r="CL4" s="633">
        <f t="shared" si="63"/>
        <v>0</v>
      </c>
      <c r="CM4" s="633">
        <f t="shared" si="64"/>
        <v>0</v>
      </c>
      <c r="CN4" s="625">
        <v>4.4679999999999997E-2</v>
      </c>
      <c r="CO4" s="624">
        <f>0</f>
        <v>0</v>
      </c>
      <c r="CP4" s="625">
        <f t="shared" si="65"/>
        <v>0</v>
      </c>
      <c r="CQ4" s="636">
        <f t="shared" si="66"/>
        <v>0</v>
      </c>
      <c r="CR4" s="635">
        <f t="shared" si="67"/>
        <v>0</v>
      </c>
      <c r="CS4" s="598">
        <f t="shared" si="68"/>
        <v>0</v>
      </c>
      <c r="CT4" s="598">
        <f t="shared" si="69"/>
        <v>0</v>
      </c>
      <c r="CU4" s="598">
        <f t="shared" si="70"/>
        <v>0</v>
      </c>
      <c r="CV4" s="611">
        <f t="shared" si="71"/>
        <v>0</v>
      </c>
      <c r="CW4" s="568">
        <f t="shared" si="72"/>
        <v>0</v>
      </c>
      <c r="CX4" s="634">
        <f t="shared" si="73"/>
        <v>0</v>
      </c>
      <c r="CY4" s="608">
        <f t="shared" si="74"/>
        <v>0</v>
      </c>
      <c r="CZ4" s="605">
        <f t="shared" si="75"/>
        <v>0</v>
      </c>
      <c r="DA4" s="592">
        <f t="shared" si="76"/>
        <v>0</v>
      </c>
      <c r="DB4" s="633">
        <f t="shared" si="77"/>
        <v>0</v>
      </c>
      <c r="DC4" s="633">
        <f t="shared" si="78"/>
        <v>0</v>
      </c>
      <c r="DD4" s="625">
        <v>5.3190000000000001E-2</v>
      </c>
      <c r="DE4" s="624">
        <f t="shared" si="79"/>
        <v>0</v>
      </c>
      <c r="DF4" s="625">
        <f t="shared" si="80"/>
        <v>0</v>
      </c>
      <c r="DG4" s="636">
        <f t="shared" si="81"/>
        <v>0</v>
      </c>
      <c r="DH4" s="635">
        <f t="shared" si="82"/>
        <v>0</v>
      </c>
      <c r="DI4" s="598">
        <f t="shared" si="83"/>
        <v>0</v>
      </c>
      <c r="DJ4" s="598">
        <f t="shared" si="84"/>
        <v>0</v>
      </c>
      <c r="DK4" s="598">
        <f t="shared" si="85"/>
        <v>0</v>
      </c>
      <c r="DL4" s="611">
        <f t="shared" si="86"/>
        <v>0</v>
      </c>
      <c r="DM4" s="556"/>
      <c r="DO4" s="568">
        <f t="shared" ref="DO4:DO15" si="90">AK4+BA4+BQ4</f>
        <v>0</v>
      </c>
      <c r="DP4" s="634">
        <f t="shared" si="87"/>
        <v>0</v>
      </c>
      <c r="DQ4" s="608">
        <f t="shared" si="88"/>
        <v>0</v>
      </c>
      <c r="DR4" s="605">
        <f t="shared" si="89"/>
        <v>0</v>
      </c>
      <c r="DS4" s="658">
        <f t="shared" ref="DS4:DS15" si="91">IF($DO$32&lt;&gt;0,DP4/$DO$32,0)</f>
        <v>0</v>
      </c>
    </row>
    <row r="5" spans="1:123" outlineLevel="1">
      <c r="A5" s="556" t="s">
        <v>438</v>
      </c>
      <c r="B5" s="632"/>
      <c r="C5" s="631"/>
      <c r="D5" s="609" t="s">
        <v>12</v>
      </c>
      <c r="E5" s="568">
        <v>0</v>
      </c>
      <c r="F5" s="634">
        <v>0</v>
      </c>
      <c r="G5" s="608">
        <f t="shared" si="0"/>
        <v>0</v>
      </c>
      <c r="H5" s="605">
        <f t="shared" si="1"/>
        <v>0</v>
      </c>
      <c r="I5" s="592">
        <f t="shared" si="2"/>
        <v>0</v>
      </c>
      <c r="J5" s="633">
        <f t="shared" si="3"/>
        <v>0</v>
      </c>
      <c r="K5" s="633">
        <f t="shared" si="4"/>
        <v>0</v>
      </c>
      <c r="L5" s="625">
        <v>0.1525</v>
      </c>
      <c r="M5" s="624">
        <v>0</v>
      </c>
      <c r="N5" s="625">
        <f t="shared" si="5"/>
        <v>0</v>
      </c>
      <c r="O5" s="636">
        <f t="shared" si="6"/>
        <v>0</v>
      </c>
      <c r="P5" s="635">
        <f t="shared" si="7"/>
        <v>0</v>
      </c>
      <c r="Q5" s="598">
        <f t="shared" si="8"/>
        <v>0</v>
      </c>
      <c r="R5" s="598">
        <f t="shared" si="9"/>
        <v>0</v>
      </c>
      <c r="S5" s="598">
        <f t="shared" si="10"/>
        <v>0</v>
      </c>
      <c r="T5" s="611">
        <f t="shared" si="11"/>
        <v>0</v>
      </c>
      <c r="U5" s="568">
        <v>0</v>
      </c>
      <c r="V5" s="634">
        <v>0</v>
      </c>
      <c r="W5" s="608">
        <f t="shared" si="12"/>
        <v>0</v>
      </c>
      <c r="X5" s="605">
        <f t="shared" si="13"/>
        <v>0</v>
      </c>
      <c r="Y5" s="592">
        <f t="shared" si="14"/>
        <v>0</v>
      </c>
      <c r="Z5" s="633">
        <f t="shared" si="15"/>
        <v>0</v>
      </c>
      <c r="AA5" s="633">
        <f t="shared" si="16"/>
        <v>0</v>
      </c>
      <c r="AB5" s="625">
        <v>0.1525</v>
      </c>
      <c r="AC5" s="624">
        <v>0</v>
      </c>
      <c r="AD5" s="625">
        <f t="shared" si="17"/>
        <v>0</v>
      </c>
      <c r="AE5" s="636">
        <f t="shared" si="18"/>
        <v>0</v>
      </c>
      <c r="AF5" s="635">
        <f t="shared" si="19"/>
        <v>0</v>
      </c>
      <c r="AG5" s="598">
        <f t="shared" si="20"/>
        <v>0</v>
      </c>
      <c r="AH5" s="598">
        <f t="shared" si="21"/>
        <v>0</v>
      </c>
      <c r="AI5" s="598">
        <f t="shared" si="22"/>
        <v>0</v>
      </c>
      <c r="AJ5" s="611">
        <f t="shared" si="23"/>
        <v>0</v>
      </c>
      <c r="AK5" s="568">
        <v>0</v>
      </c>
      <c r="AL5" s="634">
        <v>0</v>
      </c>
      <c r="AM5" s="608">
        <f t="shared" si="24"/>
        <v>0</v>
      </c>
      <c r="AN5" s="605">
        <f t="shared" si="25"/>
        <v>0</v>
      </c>
      <c r="AO5" s="592">
        <f t="shared" si="26"/>
        <v>0</v>
      </c>
      <c r="AP5" s="633">
        <f t="shared" si="27"/>
        <v>0</v>
      </c>
      <c r="AQ5" s="633">
        <f t="shared" si="28"/>
        <v>0</v>
      </c>
      <c r="AR5" s="625">
        <v>0.1525</v>
      </c>
      <c r="AS5" s="624">
        <v>0</v>
      </c>
      <c r="AT5" s="625">
        <f t="shared" si="29"/>
        <v>0</v>
      </c>
      <c r="AU5" s="636">
        <f t="shared" si="30"/>
        <v>0</v>
      </c>
      <c r="AV5" s="635">
        <f t="shared" si="31"/>
        <v>0</v>
      </c>
      <c r="AW5" s="598">
        <f t="shared" si="32"/>
        <v>0</v>
      </c>
      <c r="AX5" s="598">
        <f t="shared" si="33"/>
        <v>0</v>
      </c>
      <c r="AY5" s="598">
        <f t="shared" si="34"/>
        <v>0</v>
      </c>
      <c r="AZ5" s="611">
        <f t="shared" si="35"/>
        <v>0</v>
      </c>
      <c r="BA5" s="568">
        <v>0</v>
      </c>
      <c r="BB5" s="634">
        <v>0</v>
      </c>
      <c r="BC5" s="608">
        <f t="shared" si="36"/>
        <v>0</v>
      </c>
      <c r="BD5" s="605">
        <f t="shared" si="37"/>
        <v>0</v>
      </c>
      <c r="BE5" s="592">
        <f t="shared" si="38"/>
        <v>0</v>
      </c>
      <c r="BF5" s="633">
        <f t="shared" si="39"/>
        <v>0</v>
      </c>
      <c r="BG5" s="633">
        <f t="shared" si="40"/>
        <v>0</v>
      </c>
      <c r="BH5" s="625">
        <v>0.1525</v>
      </c>
      <c r="BI5" s="624">
        <v>0</v>
      </c>
      <c r="BJ5" s="625">
        <f t="shared" si="41"/>
        <v>0</v>
      </c>
      <c r="BK5" s="636">
        <f t="shared" si="42"/>
        <v>0</v>
      </c>
      <c r="BL5" s="635">
        <f t="shared" si="43"/>
        <v>0</v>
      </c>
      <c r="BM5" s="598">
        <f t="shared" si="44"/>
        <v>0</v>
      </c>
      <c r="BN5" s="598">
        <f t="shared" si="45"/>
        <v>0</v>
      </c>
      <c r="BO5" s="598">
        <f t="shared" si="46"/>
        <v>0</v>
      </c>
      <c r="BP5" s="611">
        <f t="shared" si="47"/>
        <v>0</v>
      </c>
      <c r="BQ5" s="568">
        <v>0</v>
      </c>
      <c r="BR5" s="634">
        <v>0</v>
      </c>
      <c r="BS5" s="608">
        <f t="shared" si="48"/>
        <v>0</v>
      </c>
      <c r="BT5" s="605">
        <f t="shared" si="49"/>
        <v>0</v>
      </c>
      <c r="BU5" s="592">
        <f t="shared" si="50"/>
        <v>0</v>
      </c>
      <c r="BV5" s="633">
        <f t="shared" si="51"/>
        <v>0</v>
      </c>
      <c r="BW5" s="633">
        <f t="shared" si="52"/>
        <v>0</v>
      </c>
      <c r="BX5" s="625">
        <v>0.1525</v>
      </c>
      <c r="BY5" s="624">
        <v>0</v>
      </c>
      <c r="BZ5" s="625">
        <f t="shared" si="53"/>
        <v>0</v>
      </c>
      <c r="CA5" s="636">
        <f t="shared" si="54"/>
        <v>0</v>
      </c>
      <c r="CB5" s="635">
        <f t="shared" si="55"/>
        <v>0</v>
      </c>
      <c r="CC5" s="598">
        <f t="shared" si="56"/>
        <v>0</v>
      </c>
      <c r="CD5" s="598">
        <f t="shared" si="57"/>
        <v>0</v>
      </c>
      <c r="CE5" s="598">
        <f t="shared" si="58"/>
        <v>0</v>
      </c>
      <c r="CF5" s="611">
        <f t="shared" si="59"/>
        <v>0</v>
      </c>
      <c r="CG5" s="568">
        <v>0</v>
      </c>
      <c r="CH5" s="634">
        <v>0</v>
      </c>
      <c r="CI5" s="608">
        <f t="shared" si="60"/>
        <v>0</v>
      </c>
      <c r="CJ5" s="605">
        <f t="shared" si="61"/>
        <v>0</v>
      </c>
      <c r="CK5" s="592">
        <f t="shared" si="62"/>
        <v>0</v>
      </c>
      <c r="CL5" s="633">
        <f t="shared" si="63"/>
        <v>0</v>
      </c>
      <c r="CM5" s="633">
        <f t="shared" si="64"/>
        <v>0</v>
      </c>
      <c r="CN5" s="625">
        <v>0.1525</v>
      </c>
      <c r="CO5" s="624">
        <v>0</v>
      </c>
      <c r="CP5" s="625">
        <f t="shared" si="65"/>
        <v>0</v>
      </c>
      <c r="CQ5" s="636">
        <f t="shared" si="66"/>
        <v>0</v>
      </c>
      <c r="CR5" s="635">
        <f t="shared" si="67"/>
        <v>0</v>
      </c>
      <c r="CS5" s="598">
        <f t="shared" si="68"/>
        <v>0</v>
      </c>
      <c r="CT5" s="598">
        <f t="shared" si="69"/>
        <v>0</v>
      </c>
      <c r="CU5" s="598">
        <f t="shared" si="70"/>
        <v>0</v>
      </c>
      <c r="CV5" s="611">
        <f t="shared" si="71"/>
        <v>0</v>
      </c>
      <c r="CW5" s="568">
        <f t="shared" si="72"/>
        <v>0</v>
      </c>
      <c r="CX5" s="634">
        <f t="shared" si="73"/>
        <v>0</v>
      </c>
      <c r="CY5" s="608">
        <f t="shared" si="74"/>
        <v>0</v>
      </c>
      <c r="CZ5" s="605">
        <f t="shared" si="75"/>
        <v>0</v>
      </c>
      <c r="DA5" s="592">
        <f t="shared" si="76"/>
        <v>0</v>
      </c>
      <c r="DB5" s="633">
        <f t="shared" si="77"/>
        <v>0</v>
      </c>
      <c r="DC5" s="633">
        <f t="shared" si="78"/>
        <v>0</v>
      </c>
      <c r="DD5" s="637">
        <v>0.155</v>
      </c>
      <c r="DE5" s="624">
        <f t="shared" si="79"/>
        <v>0</v>
      </c>
      <c r="DF5" s="625">
        <f t="shared" si="80"/>
        <v>0</v>
      </c>
      <c r="DG5" s="636">
        <f t="shared" si="81"/>
        <v>0</v>
      </c>
      <c r="DH5" s="635">
        <f t="shared" si="82"/>
        <v>0</v>
      </c>
      <c r="DI5" s="598">
        <f t="shared" si="83"/>
        <v>0</v>
      </c>
      <c r="DJ5" s="598">
        <f t="shared" si="84"/>
        <v>0</v>
      </c>
      <c r="DK5" s="598">
        <f t="shared" si="85"/>
        <v>0</v>
      </c>
      <c r="DL5" s="611">
        <f t="shared" si="86"/>
        <v>0</v>
      </c>
      <c r="DM5" s="556"/>
      <c r="DO5" s="568">
        <f t="shared" si="90"/>
        <v>0</v>
      </c>
      <c r="DP5" s="634">
        <f t="shared" si="87"/>
        <v>0</v>
      </c>
      <c r="DQ5" s="608">
        <f t="shared" si="88"/>
        <v>0</v>
      </c>
      <c r="DR5" s="605">
        <f t="shared" si="89"/>
        <v>0</v>
      </c>
      <c r="DS5" s="658">
        <f t="shared" si="91"/>
        <v>0</v>
      </c>
    </row>
    <row r="6" spans="1:123" outlineLevel="1">
      <c r="A6" s="556" t="s">
        <v>437</v>
      </c>
      <c r="B6" s="632"/>
      <c r="C6" s="631"/>
      <c r="D6" s="609" t="s">
        <v>12</v>
      </c>
      <c r="E6" s="568">
        <v>0</v>
      </c>
      <c r="F6" s="634">
        <v>0</v>
      </c>
      <c r="G6" s="608">
        <f t="shared" si="0"/>
        <v>0</v>
      </c>
      <c r="H6" s="605">
        <f t="shared" si="1"/>
        <v>0</v>
      </c>
      <c r="I6" s="592">
        <f t="shared" si="2"/>
        <v>0</v>
      </c>
      <c r="J6" s="633">
        <f t="shared" si="3"/>
        <v>43262800</v>
      </c>
      <c r="K6" s="633">
        <f t="shared" si="4"/>
        <v>6597577</v>
      </c>
      <c r="L6" s="625">
        <v>0.1525</v>
      </c>
      <c r="M6" s="624">
        <v>2.8</v>
      </c>
      <c r="N6" s="625">
        <f t="shared" si="5"/>
        <v>0.42699999999999999</v>
      </c>
      <c r="O6" s="636">
        <f t="shared" si="6"/>
        <v>0</v>
      </c>
      <c r="P6" s="635">
        <f t="shared" si="7"/>
        <v>0</v>
      </c>
      <c r="Q6" s="598">
        <f t="shared" si="8"/>
        <v>-43262800</v>
      </c>
      <c r="R6" s="598">
        <f t="shared" si="9"/>
        <v>-6597577</v>
      </c>
      <c r="S6" s="598">
        <f t="shared" si="10"/>
        <v>-6597577</v>
      </c>
      <c r="T6" s="611">
        <f t="shared" si="11"/>
        <v>0</v>
      </c>
      <c r="U6" s="568">
        <v>0</v>
      </c>
      <c r="V6" s="634">
        <v>0</v>
      </c>
      <c r="W6" s="608">
        <f t="shared" si="12"/>
        <v>0</v>
      </c>
      <c r="X6" s="605">
        <f t="shared" si="13"/>
        <v>0</v>
      </c>
      <c r="Y6" s="592">
        <f t="shared" si="14"/>
        <v>0</v>
      </c>
      <c r="Z6" s="633">
        <f t="shared" si="15"/>
        <v>0</v>
      </c>
      <c r="AA6" s="633">
        <f t="shared" si="16"/>
        <v>0</v>
      </c>
      <c r="AB6" s="625">
        <v>0.1525</v>
      </c>
      <c r="AC6" s="624">
        <f>0</f>
        <v>0</v>
      </c>
      <c r="AD6" s="625">
        <f t="shared" si="17"/>
        <v>0</v>
      </c>
      <c r="AE6" s="636">
        <f t="shared" si="18"/>
        <v>0</v>
      </c>
      <c r="AF6" s="635">
        <f t="shared" si="19"/>
        <v>0</v>
      </c>
      <c r="AG6" s="598">
        <f t="shared" si="20"/>
        <v>0</v>
      </c>
      <c r="AH6" s="598">
        <f t="shared" si="21"/>
        <v>0</v>
      </c>
      <c r="AI6" s="598">
        <f t="shared" si="22"/>
        <v>0</v>
      </c>
      <c r="AJ6" s="611">
        <f t="shared" si="23"/>
        <v>0</v>
      </c>
      <c r="AK6" s="568">
        <v>0</v>
      </c>
      <c r="AL6" s="634">
        <v>0</v>
      </c>
      <c r="AM6" s="608">
        <f t="shared" si="24"/>
        <v>0</v>
      </c>
      <c r="AN6" s="605">
        <f t="shared" si="25"/>
        <v>0</v>
      </c>
      <c r="AO6" s="592">
        <f t="shared" si="26"/>
        <v>0</v>
      </c>
      <c r="AP6" s="633">
        <f t="shared" si="27"/>
        <v>0</v>
      </c>
      <c r="AQ6" s="633">
        <f t="shared" si="28"/>
        <v>0</v>
      </c>
      <c r="AR6" s="625">
        <v>0.1525</v>
      </c>
      <c r="AS6" s="624">
        <f>0</f>
        <v>0</v>
      </c>
      <c r="AT6" s="625">
        <f t="shared" si="29"/>
        <v>0</v>
      </c>
      <c r="AU6" s="636">
        <f t="shared" si="30"/>
        <v>0</v>
      </c>
      <c r="AV6" s="635">
        <f t="shared" si="31"/>
        <v>0</v>
      </c>
      <c r="AW6" s="598">
        <f t="shared" si="32"/>
        <v>0</v>
      </c>
      <c r="AX6" s="598">
        <f t="shared" si="33"/>
        <v>0</v>
      </c>
      <c r="AY6" s="598">
        <f t="shared" si="34"/>
        <v>0</v>
      </c>
      <c r="AZ6" s="611">
        <f t="shared" si="35"/>
        <v>0</v>
      </c>
      <c r="BA6" s="568">
        <v>0</v>
      </c>
      <c r="BB6" s="634">
        <v>0</v>
      </c>
      <c r="BC6" s="608">
        <f t="shared" si="36"/>
        <v>0</v>
      </c>
      <c r="BD6" s="605">
        <f t="shared" si="37"/>
        <v>0</v>
      </c>
      <c r="BE6" s="592">
        <f t="shared" si="38"/>
        <v>0</v>
      </c>
      <c r="BF6" s="633">
        <f t="shared" si="39"/>
        <v>0</v>
      </c>
      <c r="BG6" s="633">
        <f t="shared" si="40"/>
        <v>0</v>
      </c>
      <c r="BH6" s="625">
        <v>0.1525</v>
      </c>
      <c r="BI6" s="624">
        <f>0</f>
        <v>0</v>
      </c>
      <c r="BJ6" s="625">
        <f t="shared" si="41"/>
        <v>0</v>
      </c>
      <c r="BK6" s="636">
        <f t="shared" si="42"/>
        <v>0</v>
      </c>
      <c r="BL6" s="635">
        <f t="shared" si="43"/>
        <v>0</v>
      </c>
      <c r="BM6" s="598">
        <f t="shared" si="44"/>
        <v>0</v>
      </c>
      <c r="BN6" s="598">
        <f t="shared" si="45"/>
        <v>0</v>
      </c>
      <c r="BO6" s="598">
        <f t="shared" si="46"/>
        <v>0</v>
      </c>
      <c r="BP6" s="611">
        <f t="shared" si="47"/>
        <v>0</v>
      </c>
      <c r="BQ6" s="568">
        <v>0</v>
      </c>
      <c r="BR6" s="634">
        <v>0</v>
      </c>
      <c r="BS6" s="608">
        <f t="shared" si="48"/>
        <v>0</v>
      </c>
      <c r="BT6" s="605">
        <f t="shared" si="49"/>
        <v>0</v>
      </c>
      <c r="BU6" s="592">
        <f t="shared" si="50"/>
        <v>0</v>
      </c>
      <c r="BV6" s="633">
        <f t="shared" si="51"/>
        <v>0</v>
      </c>
      <c r="BW6" s="633">
        <f t="shared" si="52"/>
        <v>0</v>
      </c>
      <c r="BX6" s="625">
        <v>0.1525</v>
      </c>
      <c r="BY6" s="624">
        <f>0</f>
        <v>0</v>
      </c>
      <c r="BZ6" s="625">
        <f t="shared" si="53"/>
        <v>0</v>
      </c>
      <c r="CA6" s="636">
        <f t="shared" si="54"/>
        <v>0</v>
      </c>
      <c r="CB6" s="635">
        <f t="shared" si="55"/>
        <v>0</v>
      </c>
      <c r="CC6" s="598">
        <f t="shared" si="56"/>
        <v>0</v>
      </c>
      <c r="CD6" s="598">
        <f t="shared" si="57"/>
        <v>0</v>
      </c>
      <c r="CE6" s="598">
        <f t="shared" si="58"/>
        <v>0</v>
      </c>
      <c r="CF6" s="611">
        <f t="shared" si="59"/>
        <v>0</v>
      </c>
      <c r="CG6" s="568">
        <v>0</v>
      </c>
      <c r="CH6" s="634">
        <v>0</v>
      </c>
      <c r="CI6" s="608">
        <f t="shared" si="60"/>
        <v>0</v>
      </c>
      <c r="CJ6" s="605">
        <f t="shared" si="61"/>
        <v>0</v>
      </c>
      <c r="CK6" s="592">
        <f t="shared" si="62"/>
        <v>0</v>
      </c>
      <c r="CL6" s="633">
        <f t="shared" si="63"/>
        <v>0</v>
      </c>
      <c r="CM6" s="633">
        <f t="shared" si="64"/>
        <v>0</v>
      </c>
      <c r="CN6" s="625">
        <v>0.1525</v>
      </c>
      <c r="CO6" s="624">
        <f>0</f>
        <v>0</v>
      </c>
      <c r="CP6" s="625">
        <f t="shared" si="65"/>
        <v>0</v>
      </c>
      <c r="CQ6" s="636">
        <f t="shared" si="66"/>
        <v>0</v>
      </c>
      <c r="CR6" s="635">
        <f t="shared" si="67"/>
        <v>0</v>
      </c>
      <c r="CS6" s="598">
        <f t="shared" si="68"/>
        <v>0</v>
      </c>
      <c r="CT6" s="598">
        <f t="shared" si="69"/>
        <v>0</v>
      </c>
      <c r="CU6" s="598">
        <f t="shared" si="70"/>
        <v>0</v>
      </c>
      <c r="CV6" s="611">
        <f t="shared" si="71"/>
        <v>0</v>
      </c>
      <c r="CW6" s="568">
        <f t="shared" si="72"/>
        <v>0</v>
      </c>
      <c r="CX6" s="634">
        <f t="shared" si="73"/>
        <v>0</v>
      </c>
      <c r="CY6" s="608">
        <f t="shared" si="74"/>
        <v>0</v>
      </c>
      <c r="CZ6" s="605">
        <f t="shared" si="75"/>
        <v>0</v>
      </c>
      <c r="DA6" s="592">
        <f t="shared" si="76"/>
        <v>0</v>
      </c>
      <c r="DB6" s="633">
        <f t="shared" si="77"/>
        <v>43262800</v>
      </c>
      <c r="DC6" s="633">
        <f t="shared" si="78"/>
        <v>6597577</v>
      </c>
      <c r="DD6" s="637">
        <v>0.18326999999999999</v>
      </c>
      <c r="DE6" s="624">
        <f t="shared" si="79"/>
        <v>0.29339691401280871</v>
      </c>
      <c r="DF6" s="625">
        <f t="shared" si="80"/>
        <v>4.474302938695332E-2</v>
      </c>
      <c r="DG6" s="636">
        <f t="shared" si="81"/>
        <v>0</v>
      </c>
      <c r="DH6" s="635">
        <f t="shared" si="82"/>
        <v>0</v>
      </c>
      <c r="DI6" s="598">
        <f t="shared" si="83"/>
        <v>-43262800</v>
      </c>
      <c r="DJ6" s="598">
        <f t="shared" si="84"/>
        <v>-6597577</v>
      </c>
      <c r="DK6" s="598">
        <f t="shared" si="85"/>
        <v>-6597577</v>
      </c>
      <c r="DL6" s="611">
        <f t="shared" si="86"/>
        <v>0</v>
      </c>
      <c r="DM6" s="556"/>
      <c r="DO6" s="568">
        <f t="shared" si="90"/>
        <v>0</v>
      </c>
      <c r="DP6" s="634">
        <f t="shared" si="87"/>
        <v>0</v>
      </c>
      <c r="DQ6" s="608">
        <f t="shared" si="88"/>
        <v>0</v>
      </c>
      <c r="DR6" s="605">
        <f t="shared" si="89"/>
        <v>0</v>
      </c>
      <c r="DS6" s="658">
        <f t="shared" si="91"/>
        <v>0</v>
      </c>
    </row>
    <row r="7" spans="1:123" outlineLevel="1">
      <c r="A7" s="556" t="s">
        <v>436</v>
      </c>
      <c r="B7" s="632"/>
      <c r="C7" s="631"/>
      <c r="D7" s="609" t="s">
        <v>12</v>
      </c>
      <c r="E7" s="568">
        <v>54040795</v>
      </c>
      <c r="F7" s="634">
        <v>7345191.7800000003</v>
      </c>
      <c r="G7" s="608">
        <f t="shared" si="0"/>
        <v>0.13591938793646541</v>
      </c>
      <c r="H7" s="605">
        <f t="shared" si="1"/>
        <v>3.497559704873471</v>
      </c>
      <c r="I7" s="592">
        <f t="shared" si="2"/>
        <v>0.4753861743576468</v>
      </c>
      <c r="J7" s="633">
        <f t="shared" si="3"/>
        <v>0</v>
      </c>
      <c r="K7" s="633">
        <f t="shared" si="4"/>
        <v>0</v>
      </c>
      <c r="L7" s="625">
        <v>0.126</v>
      </c>
      <c r="M7" s="624">
        <f>0</f>
        <v>0</v>
      </c>
      <c r="N7" s="625">
        <f t="shared" si="5"/>
        <v>0</v>
      </c>
      <c r="O7" s="636">
        <f t="shared" si="6"/>
        <v>6809140.1699999999</v>
      </c>
      <c r="P7" s="635">
        <f t="shared" si="7"/>
        <v>0.44069252281405735</v>
      </c>
      <c r="Q7" s="598">
        <f t="shared" si="8"/>
        <v>54040795</v>
      </c>
      <c r="R7" s="598">
        <f t="shared" si="9"/>
        <v>7345191.7800000003</v>
      </c>
      <c r="S7" s="598">
        <f t="shared" si="10"/>
        <v>6809140.1699999999</v>
      </c>
      <c r="T7" s="611">
        <f t="shared" si="11"/>
        <v>536051.61000000034</v>
      </c>
      <c r="U7" s="568">
        <v>0</v>
      </c>
      <c r="V7" s="634">
        <v>0</v>
      </c>
      <c r="W7" s="608">
        <f t="shared" si="12"/>
        <v>0</v>
      </c>
      <c r="X7" s="605">
        <f t="shared" si="13"/>
        <v>0</v>
      </c>
      <c r="Y7" s="592">
        <f t="shared" si="14"/>
        <v>0</v>
      </c>
      <c r="Z7" s="633">
        <f t="shared" si="15"/>
        <v>0</v>
      </c>
      <c r="AA7" s="633">
        <f t="shared" si="16"/>
        <v>0</v>
      </c>
      <c r="AB7" s="625">
        <v>0.126</v>
      </c>
      <c r="AC7" s="624">
        <f>0</f>
        <v>0</v>
      </c>
      <c r="AD7" s="625">
        <f t="shared" si="17"/>
        <v>0</v>
      </c>
      <c r="AE7" s="636">
        <f t="shared" si="18"/>
        <v>0</v>
      </c>
      <c r="AF7" s="635">
        <f t="shared" si="19"/>
        <v>0</v>
      </c>
      <c r="AG7" s="598">
        <f t="shared" si="20"/>
        <v>0</v>
      </c>
      <c r="AH7" s="598">
        <f t="shared" si="21"/>
        <v>0</v>
      </c>
      <c r="AI7" s="598">
        <f t="shared" si="22"/>
        <v>0</v>
      </c>
      <c r="AJ7" s="611">
        <f t="shared" si="23"/>
        <v>0</v>
      </c>
      <c r="AK7" s="568">
        <v>0</v>
      </c>
      <c r="AL7" s="634">
        <v>0</v>
      </c>
      <c r="AM7" s="608">
        <f t="shared" si="24"/>
        <v>0</v>
      </c>
      <c r="AN7" s="605">
        <f t="shared" si="25"/>
        <v>0</v>
      </c>
      <c r="AO7" s="592">
        <f t="shared" si="26"/>
        <v>0</v>
      </c>
      <c r="AP7" s="633">
        <f t="shared" si="27"/>
        <v>0</v>
      </c>
      <c r="AQ7" s="633">
        <f t="shared" si="28"/>
        <v>0</v>
      </c>
      <c r="AR7" s="625">
        <v>0.126</v>
      </c>
      <c r="AS7" s="624">
        <f>0</f>
        <v>0</v>
      </c>
      <c r="AT7" s="625">
        <f t="shared" si="29"/>
        <v>0</v>
      </c>
      <c r="AU7" s="636">
        <f t="shared" si="30"/>
        <v>0</v>
      </c>
      <c r="AV7" s="635">
        <f t="shared" si="31"/>
        <v>0</v>
      </c>
      <c r="AW7" s="598">
        <f t="shared" si="32"/>
        <v>0</v>
      </c>
      <c r="AX7" s="598">
        <f t="shared" si="33"/>
        <v>0</v>
      </c>
      <c r="AY7" s="598">
        <f t="shared" si="34"/>
        <v>0</v>
      </c>
      <c r="AZ7" s="611">
        <f t="shared" si="35"/>
        <v>0</v>
      </c>
      <c r="BA7" s="568">
        <v>0</v>
      </c>
      <c r="BB7" s="634">
        <v>0</v>
      </c>
      <c r="BC7" s="608">
        <f t="shared" si="36"/>
        <v>0</v>
      </c>
      <c r="BD7" s="605">
        <f t="shared" si="37"/>
        <v>0</v>
      </c>
      <c r="BE7" s="592">
        <f t="shared" si="38"/>
        <v>0</v>
      </c>
      <c r="BF7" s="633">
        <f t="shared" si="39"/>
        <v>0</v>
      </c>
      <c r="BG7" s="633">
        <f t="shared" si="40"/>
        <v>0</v>
      </c>
      <c r="BH7" s="625">
        <v>0.126</v>
      </c>
      <c r="BI7" s="624">
        <f>0</f>
        <v>0</v>
      </c>
      <c r="BJ7" s="625">
        <f t="shared" si="41"/>
        <v>0</v>
      </c>
      <c r="BK7" s="636">
        <f t="shared" si="42"/>
        <v>0</v>
      </c>
      <c r="BL7" s="635">
        <f t="shared" si="43"/>
        <v>0</v>
      </c>
      <c r="BM7" s="598">
        <f t="shared" si="44"/>
        <v>0</v>
      </c>
      <c r="BN7" s="598">
        <f t="shared" si="45"/>
        <v>0</v>
      </c>
      <c r="BO7" s="598">
        <f t="shared" si="46"/>
        <v>0</v>
      </c>
      <c r="BP7" s="611">
        <f t="shared" si="47"/>
        <v>0</v>
      </c>
      <c r="BQ7" s="568">
        <v>0</v>
      </c>
      <c r="BR7" s="634">
        <v>0</v>
      </c>
      <c r="BS7" s="608">
        <f t="shared" si="48"/>
        <v>0</v>
      </c>
      <c r="BT7" s="605">
        <f t="shared" si="49"/>
        <v>0</v>
      </c>
      <c r="BU7" s="592">
        <f t="shared" si="50"/>
        <v>0</v>
      </c>
      <c r="BV7" s="633">
        <f t="shared" si="51"/>
        <v>0</v>
      </c>
      <c r="BW7" s="633">
        <f t="shared" si="52"/>
        <v>0</v>
      </c>
      <c r="BX7" s="625">
        <v>0.126</v>
      </c>
      <c r="BY7" s="624">
        <f>0</f>
        <v>0</v>
      </c>
      <c r="BZ7" s="625">
        <f t="shared" si="53"/>
        <v>0</v>
      </c>
      <c r="CA7" s="636">
        <f t="shared" si="54"/>
        <v>0</v>
      </c>
      <c r="CB7" s="635">
        <f t="shared" si="55"/>
        <v>0</v>
      </c>
      <c r="CC7" s="598">
        <f t="shared" si="56"/>
        <v>0</v>
      </c>
      <c r="CD7" s="598">
        <f t="shared" si="57"/>
        <v>0</v>
      </c>
      <c r="CE7" s="598">
        <f t="shared" si="58"/>
        <v>0</v>
      </c>
      <c r="CF7" s="611">
        <f t="shared" si="59"/>
        <v>0</v>
      </c>
      <c r="CG7" s="568">
        <v>0</v>
      </c>
      <c r="CH7" s="634">
        <v>0</v>
      </c>
      <c r="CI7" s="608">
        <f t="shared" si="60"/>
        <v>0</v>
      </c>
      <c r="CJ7" s="605">
        <f t="shared" si="61"/>
        <v>0</v>
      </c>
      <c r="CK7" s="592">
        <f t="shared" si="62"/>
        <v>0</v>
      </c>
      <c r="CL7" s="633">
        <f t="shared" si="63"/>
        <v>0</v>
      </c>
      <c r="CM7" s="633">
        <f t="shared" si="64"/>
        <v>0</v>
      </c>
      <c r="CN7" s="625">
        <v>0.126</v>
      </c>
      <c r="CO7" s="624">
        <f>0</f>
        <v>0</v>
      </c>
      <c r="CP7" s="625">
        <f t="shared" si="65"/>
        <v>0</v>
      </c>
      <c r="CQ7" s="636">
        <f t="shared" si="66"/>
        <v>0</v>
      </c>
      <c r="CR7" s="635">
        <f t="shared" si="67"/>
        <v>0</v>
      </c>
      <c r="CS7" s="598">
        <f t="shared" si="68"/>
        <v>0</v>
      </c>
      <c r="CT7" s="598">
        <f t="shared" si="69"/>
        <v>0</v>
      </c>
      <c r="CU7" s="598">
        <f t="shared" si="70"/>
        <v>0</v>
      </c>
      <c r="CV7" s="611">
        <f t="shared" si="71"/>
        <v>0</v>
      </c>
      <c r="CW7" s="568">
        <f t="shared" si="72"/>
        <v>54040795</v>
      </c>
      <c r="CX7" s="634">
        <f t="shared" si="73"/>
        <v>7345191.7800000003</v>
      </c>
      <c r="CY7" s="608">
        <f t="shared" si="74"/>
        <v>0.13591938793646541</v>
      </c>
      <c r="CZ7" s="605">
        <f t="shared" si="75"/>
        <v>0.36649043713765223</v>
      </c>
      <c r="DA7" s="592">
        <f t="shared" si="76"/>
        <v>4.9813155900317346E-2</v>
      </c>
      <c r="DB7" s="633">
        <f t="shared" si="77"/>
        <v>0</v>
      </c>
      <c r="DC7" s="633">
        <f t="shared" si="78"/>
        <v>0</v>
      </c>
      <c r="DD7" s="625">
        <v>0.14113999999999999</v>
      </c>
      <c r="DE7" s="624">
        <f t="shared" si="79"/>
        <v>0</v>
      </c>
      <c r="DF7" s="625">
        <f t="shared" si="80"/>
        <v>0</v>
      </c>
      <c r="DG7" s="636">
        <f t="shared" si="81"/>
        <v>6809140.1699999999</v>
      </c>
      <c r="DH7" s="635">
        <f t="shared" si="82"/>
        <v>4.6177795079344185E-2</v>
      </c>
      <c r="DI7" s="598">
        <f t="shared" si="83"/>
        <v>54040795</v>
      </c>
      <c r="DJ7" s="598">
        <f t="shared" si="84"/>
        <v>7345191.7800000003</v>
      </c>
      <c r="DK7" s="598">
        <f t="shared" si="85"/>
        <v>6809140.1699999999</v>
      </c>
      <c r="DL7" s="611">
        <f t="shared" si="86"/>
        <v>536051.61000000034</v>
      </c>
      <c r="DM7" s="556"/>
      <c r="DO7" s="568">
        <f t="shared" si="90"/>
        <v>0</v>
      </c>
      <c r="DP7" s="634">
        <f t="shared" si="87"/>
        <v>0</v>
      </c>
      <c r="DQ7" s="608">
        <f t="shared" si="88"/>
        <v>0</v>
      </c>
      <c r="DR7" s="605">
        <f t="shared" si="89"/>
        <v>0</v>
      </c>
      <c r="DS7" s="658">
        <f t="shared" si="91"/>
        <v>0</v>
      </c>
    </row>
    <row r="8" spans="1:123" outlineLevel="1">
      <c r="A8" s="556" t="s">
        <v>435</v>
      </c>
      <c r="B8" s="632"/>
      <c r="C8" s="631"/>
      <c r="D8" s="609" t="s">
        <v>12</v>
      </c>
      <c r="E8" s="568">
        <v>0</v>
      </c>
      <c r="F8" s="634">
        <v>0</v>
      </c>
      <c r="G8" s="608">
        <f t="shared" si="0"/>
        <v>0</v>
      </c>
      <c r="H8" s="605">
        <f t="shared" si="1"/>
        <v>0</v>
      </c>
      <c r="I8" s="592">
        <f t="shared" si="2"/>
        <v>0</v>
      </c>
      <c r="J8" s="633">
        <f t="shared" si="3"/>
        <v>0</v>
      </c>
      <c r="K8" s="633">
        <f t="shared" si="4"/>
        <v>0</v>
      </c>
      <c r="L8" s="625">
        <v>0.12479</v>
      </c>
      <c r="M8" s="624">
        <f>0</f>
        <v>0</v>
      </c>
      <c r="N8" s="625">
        <f t="shared" si="5"/>
        <v>0</v>
      </c>
      <c r="O8" s="636">
        <f t="shared" si="6"/>
        <v>0</v>
      </c>
      <c r="P8" s="635">
        <f t="shared" si="7"/>
        <v>0</v>
      </c>
      <c r="Q8" s="598">
        <f t="shared" si="8"/>
        <v>0</v>
      </c>
      <c r="R8" s="598">
        <f t="shared" si="9"/>
        <v>0</v>
      </c>
      <c r="S8" s="598">
        <f t="shared" si="10"/>
        <v>0</v>
      </c>
      <c r="T8" s="611">
        <f t="shared" si="11"/>
        <v>0</v>
      </c>
      <c r="U8" s="568">
        <v>0</v>
      </c>
      <c r="V8" s="634">
        <v>0</v>
      </c>
      <c r="W8" s="608">
        <f t="shared" si="12"/>
        <v>0</v>
      </c>
      <c r="X8" s="605">
        <f t="shared" si="13"/>
        <v>0</v>
      </c>
      <c r="Y8" s="592">
        <f t="shared" si="14"/>
        <v>0</v>
      </c>
      <c r="Z8" s="633">
        <f t="shared" si="15"/>
        <v>0</v>
      </c>
      <c r="AA8" s="633">
        <f t="shared" si="16"/>
        <v>0</v>
      </c>
      <c r="AB8" s="625">
        <v>0.12479</v>
      </c>
      <c r="AC8" s="624">
        <f>0</f>
        <v>0</v>
      </c>
      <c r="AD8" s="625">
        <f t="shared" si="17"/>
        <v>0</v>
      </c>
      <c r="AE8" s="636">
        <f t="shared" si="18"/>
        <v>0</v>
      </c>
      <c r="AF8" s="635">
        <f t="shared" si="19"/>
        <v>0</v>
      </c>
      <c r="AG8" s="598">
        <f t="shared" si="20"/>
        <v>0</v>
      </c>
      <c r="AH8" s="598">
        <f t="shared" si="21"/>
        <v>0</v>
      </c>
      <c r="AI8" s="598">
        <f t="shared" si="22"/>
        <v>0</v>
      </c>
      <c r="AJ8" s="611">
        <f t="shared" si="23"/>
        <v>0</v>
      </c>
      <c r="AK8" s="568">
        <v>0</v>
      </c>
      <c r="AL8" s="634">
        <v>0</v>
      </c>
      <c r="AM8" s="608">
        <f t="shared" si="24"/>
        <v>0</v>
      </c>
      <c r="AN8" s="605">
        <f t="shared" si="25"/>
        <v>0</v>
      </c>
      <c r="AO8" s="592">
        <f t="shared" si="26"/>
        <v>0</v>
      </c>
      <c r="AP8" s="633">
        <f t="shared" si="27"/>
        <v>0</v>
      </c>
      <c r="AQ8" s="633">
        <f t="shared" si="28"/>
        <v>0</v>
      </c>
      <c r="AR8" s="625">
        <v>0.12479</v>
      </c>
      <c r="AS8" s="624">
        <f>0</f>
        <v>0</v>
      </c>
      <c r="AT8" s="625">
        <f t="shared" si="29"/>
        <v>0</v>
      </c>
      <c r="AU8" s="636">
        <f t="shared" si="30"/>
        <v>0</v>
      </c>
      <c r="AV8" s="635">
        <f t="shared" si="31"/>
        <v>0</v>
      </c>
      <c r="AW8" s="598">
        <f t="shared" si="32"/>
        <v>0</v>
      </c>
      <c r="AX8" s="598">
        <f t="shared" si="33"/>
        <v>0</v>
      </c>
      <c r="AY8" s="598">
        <f t="shared" si="34"/>
        <v>0</v>
      </c>
      <c r="AZ8" s="611">
        <f t="shared" si="35"/>
        <v>0</v>
      </c>
      <c r="BA8" s="568">
        <v>0</v>
      </c>
      <c r="BB8" s="634">
        <v>0</v>
      </c>
      <c r="BC8" s="608">
        <f t="shared" si="36"/>
        <v>0</v>
      </c>
      <c r="BD8" s="605">
        <f t="shared" si="37"/>
        <v>0</v>
      </c>
      <c r="BE8" s="592">
        <f t="shared" si="38"/>
        <v>0</v>
      </c>
      <c r="BF8" s="633">
        <f t="shared" si="39"/>
        <v>0</v>
      </c>
      <c r="BG8" s="633">
        <f t="shared" si="40"/>
        <v>0</v>
      </c>
      <c r="BH8" s="625">
        <v>0.12479</v>
      </c>
      <c r="BI8" s="624">
        <f>0</f>
        <v>0</v>
      </c>
      <c r="BJ8" s="625">
        <f t="shared" si="41"/>
        <v>0</v>
      </c>
      <c r="BK8" s="636">
        <f t="shared" si="42"/>
        <v>0</v>
      </c>
      <c r="BL8" s="635">
        <f t="shared" si="43"/>
        <v>0</v>
      </c>
      <c r="BM8" s="598">
        <f t="shared" si="44"/>
        <v>0</v>
      </c>
      <c r="BN8" s="598">
        <f t="shared" si="45"/>
        <v>0</v>
      </c>
      <c r="BO8" s="598">
        <f t="shared" si="46"/>
        <v>0</v>
      </c>
      <c r="BP8" s="611">
        <f t="shared" si="47"/>
        <v>0</v>
      </c>
      <c r="BQ8" s="568">
        <v>0</v>
      </c>
      <c r="BR8" s="634">
        <v>0</v>
      </c>
      <c r="BS8" s="608">
        <f t="shared" si="48"/>
        <v>0</v>
      </c>
      <c r="BT8" s="605">
        <f t="shared" si="49"/>
        <v>0</v>
      </c>
      <c r="BU8" s="592">
        <f t="shared" si="50"/>
        <v>0</v>
      </c>
      <c r="BV8" s="633">
        <f t="shared" si="51"/>
        <v>0</v>
      </c>
      <c r="BW8" s="633">
        <f t="shared" si="52"/>
        <v>0</v>
      </c>
      <c r="BX8" s="625">
        <v>0.12479</v>
      </c>
      <c r="BY8" s="624">
        <f>0</f>
        <v>0</v>
      </c>
      <c r="BZ8" s="625">
        <f t="shared" si="53"/>
        <v>0</v>
      </c>
      <c r="CA8" s="636">
        <f t="shared" si="54"/>
        <v>0</v>
      </c>
      <c r="CB8" s="635">
        <f t="shared" si="55"/>
        <v>0</v>
      </c>
      <c r="CC8" s="598">
        <f t="shared" si="56"/>
        <v>0</v>
      </c>
      <c r="CD8" s="598">
        <f t="shared" si="57"/>
        <v>0</v>
      </c>
      <c r="CE8" s="598">
        <f t="shared" si="58"/>
        <v>0</v>
      </c>
      <c r="CF8" s="611">
        <f t="shared" si="59"/>
        <v>0</v>
      </c>
      <c r="CG8" s="568">
        <v>0</v>
      </c>
      <c r="CH8" s="634">
        <v>0</v>
      </c>
      <c r="CI8" s="608">
        <f t="shared" si="60"/>
        <v>0</v>
      </c>
      <c r="CJ8" s="605">
        <f t="shared" si="61"/>
        <v>0</v>
      </c>
      <c r="CK8" s="592">
        <f t="shared" si="62"/>
        <v>0</v>
      </c>
      <c r="CL8" s="633">
        <f t="shared" si="63"/>
        <v>0</v>
      </c>
      <c r="CM8" s="633">
        <f t="shared" si="64"/>
        <v>0</v>
      </c>
      <c r="CN8" s="625">
        <v>0.12479</v>
      </c>
      <c r="CO8" s="624">
        <f>0</f>
        <v>0</v>
      </c>
      <c r="CP8" s="625">
        <f t="shared" si="65"/>
        <v>0</v>
      </c>
      <c r="CQ8" s="636">
        <f t="shared" si="66"/>
        <v>0</v>
      </c>
      <c r="CR8" s="635">
        <f t="shared" si="67"/>
        <v>0</v>
      </c>
      <c r="CS8" s="598">
        <f t="shared" si="68"/>
        <v>0</v>
      </c>
      <c r="CT8" s="598">
        <f t="shared" si="69"/>
        <v>0</v>
      </c>
      <c r="CU8" s="598">
        <f t="shared" si="70"/>
        <v>0</v>
      </c>
      <c r="CV8" s="611">
        <f t="shared" si="71"/>
        <v>0</v>
      </c>
      <c r="CW8" s="568">
        <f t="shared" si="72"/>
        <v>0</v>
      </c>
      <c r="CX8" s="634">
        <f t="shared" si="73"/>
        <v>0</v>
      </c>
      <c r="CY8" s="608">
        <f t="shared" si="74"/>
        <v>0</v>
      </c>
      <c r="CZ8" s="605">
        <f t="shared" si="75"/>
        <v>0</v>
      </c>
      <c r="DA8" s="592">
        <f t="shared" si="76"/>
        <v>0</v>
      </c>
      <c r="DB8" s="633">
        <f t="shared" si="77"/>
        <v>0</v>
      </c>
      <c r="DC8" s="633">
        <f t="shared" si="78"/>
        <v>0</v>
      </c>
      <c r="DD8" s="637">
        <v>0.12479</v>
      </c>
      <c r="DE8" s="624">
        <f t="shared" si="79"/>
        <v>0</v>
      </c>
      <c r="DF8" s="625">
        <f t="shared" si="80"/>
        <v>0</v>
      </c>
      <c r="DG8" s="636">
        <f t="shared" si="81"/>
        <v>0</v>
      </c>
      <c r="DH8" s="635">
        <f t="shared" si="82"/>
        <v>0</v>
      </c>
      <c r="DI8" s="598">
        <f t="shared" si="83"/>
        <v>0</v>
      </c>
      <c r="DJ8" s="598">
        <f t="shared" si="84"/>
        <v>0</v>
      </c>
      <c r="DK8" s="598">
        <f t="shared" si="85"/>
        <v>0</v>
      </c>
      <c r="DL8" s="611">
        <f t="shared" si="86"/>
        <v>0</v>
      </c>
      <c r="DM8" s="556"/>
      <c r="DO8" s="568">
        <f t="shared" si="90"/>
        <v>0</v>
      </c>
      <c r="DP8" s="634">
        <f t="shared" si="87"/>
        <v>0</v>
      </c>
      <c r="DQ8" s="608">
        <f t="shared" si="88"/>
        <v>0</v>
      </c>
      <c r="DR8" s="605">
        <f t="shared" si="89"/>
        <v>0</v>
      </c>
      <c r="DS8" s="658">
        <f t="shared" si="91"/>
        <v>0</v>
      </c>
    </row>
    <row r="9" spans="1:123" outlineLevel="1">
      <c r="A9" s="556" t="s">
        <v>434</v>
      </c>
      <c r="B9" s="632"/>
      <c r="C9" s="631"/>
      <c r="D9" s="609" t="s">
        <v>12</v>
      </c>
      <c r="E9" s="568">
        <v>0</v>
      </c>
      <c r="F9" s="634">
        <v>0</v>
      </c>
      <c r="G9" s="608">
        <f t="shared" si="0"/>
        <v>0</v>
      </c>
      <c r="H9" s="605">
        <f t="shared" si="1"/>
        <v>0</v>
      </c>
      <c r="I9" s="592">
        <f t="shared" si="2"/>
        <v>0</v>
      </c>
      <c r="J9" s="633">
        <f t="shared" si="3"/>
        <v>0</v>
      </c>
      <c r="K9" s="633">
        <f t="shared" si="4"/>
        <v>0</v>
      </c>
      <c r="L9" s="625">
        <v>0.29997000000000001</v>
      </c>
      <c r="M9" s="624">
        <f>0</f>
        <v>0</v>
      </c>
      <c r="N9" s="625">
        <f t="shared" si="5"/>
        <v>0</v>
      </c>
      <c r="O9" s="636">
        <f t="shared" si="6"/>
        <v>0</v>
      </c>
      <c r="P9" s="635">
        <f t="shared" si="7"/>
        <v>0</v>
      </c>
      <c r="Q9" s="598">
        <f t="shared" si="8"/>
        <v>0</v>
      </c>
      <c r="R9" s="598">
        <f t="shared" si="9"/>
        <v>0</v>
      </c>
      <c r="S9" s="598">
        <f t="shared" si="10"/>
        <v>0</v>
      </c>
      <c r="T9" s="611">
        <f t="shared" si="11"/>
        <v>0</v>
      </c>
      <c r="U9" s="568">
        <v>0</v>
      </c>
      <c r="V9" s="634">
        <v>0</v>
      </c>
      <c r="W9" s="608">
        <f t="shared" si="12"/>
        <v>0</v>
      </c>
      <c r="X9" s="605">
        <f t="shared" si="13"/>
        <v>0</v>
      </c>
      <c r="Y9" s="592"/>
      <c r="Z9" s="633">
        <f t="shared" si="15"/>
        <v>0</v>
      </c>
      <c r="AA9" s="633">
        <f t="shared" si="16"/>
        <v>0</v>
      </c>
      <c r="AB9" s="625">
        <v>0.29997000000000001</v>
      </c>
      <c r="AC9" s="624">
        <f>0</f>
        <v>0</v>
      </c>
      <c r="AD9" s="625">
        <f t="shared" si="17"/>
        <v>0</v>
      </c>
      <c r="AE9" s="636">
        <f t="shared" si="18"/>
        <v>0</v>
      </c>
      <c r="AF9" s="635">
        <f t="shared" si="19"/>
        <v>0</v>
      </c>
      <c r="AG9" s="598">
        <f t="shared" si="20"/>
        <v>0</v>
      </c>
      <c r="AH9" s="598">
        <f t="shared" si="21"/>
        <v>0</v>
      </c>
      <c r="AI9" s="598">
        <f t="shared" si="22"/>
        <v>0</v>
      </c>
      <c r="AJ9" s="611">
        <f t="shared" si="23"/>
        <v>0</v>
      </c>
      <c r="AK9" s="568">
        <v>0</v>
      </c>
      <c r="AL9" s="634">
        <v>0</v>
      </c>
      <c r="AM9" s="608">
        <f t="shared" si="24"/>
        <v>0</v>
      </c>
      <c r="AN9" s="605">
        <f t="shared" si="25"/>
        <v>0</v>
      </c>
      <c r="AO9" s="592">
        <f t="shared" si="26"/>
        <v>0</v>
      </c>
      <c r="AP9" s="633">
        <f t="shared" si="27"/>
        <v>0</v>
      </c>
      <c r="AQ9" s="633">
        <f t="shared" si="28"/>
        <v>0</v>
      </c>
      <c r="AR9" s="625">
        <v>0.29997000000000001</v>
      </c>
      <c r="AS9" s="624">
        <f>0</f>
        <v>0</v>
      </c>
      <c r="AT9" s="625">
        <f t="shared" si="29"/>
        <v>0</v>
      </c>
      <c r="AU9" s="636">
        <f t="shared" si="30"/>
        <v>0</v>
      </c>
      <c r="AV9" s="635">
        <f t="shared" si="31"/>
        <v>0</v>
      </c>
      <c r="AW9" s="598">
        <f t="shared" si="32"/>
        <v>0</v>
      </c>
      <c r="AX9" s="598">
        <f t="shared" si="33"/>
        <v>0</v>
      </c>
      <c r="AY9" s="598">
        <f t="shared" si="34"/>
        <v>0</v>
      </c>
      <c r="AZ9" s="611">
        <f t="shared" si="35"/>
        <v>0</v>
      </c>
      <c r="BA9" s="568">
        <v>0</v>
      </c>
      <c r="BB9" s="634">
        <v>0</v>
      </c>
      <c r="BC9" s="608">
        <f t="shared" si="36"/>
        <v>0</v>
      </c>
      <c r="BD9" s="605">
        <f t="shared" si="37"/>
        <v>0</v>
      </c>
      <c r="BE9" s="592">
        <f t="shared" si="38"/>
        <v>0</v>
      </c>
      <c r="BF9" s="633">
        <f t="shared" si="39"/>
        <v>0</v>
      </c>
      <c r="BG9" s="633">
        <f t="shared" si="40"/>
        <v>0</v>
      </c>
      <c r="BH9" s="625">
        <v>0.29997000000000001</v>
      </c>
      <c r="BI9" s="624">
        <f>0</f>
        <v>0</v>
      </c>
      <c r="BJ9" s="625">
        <f t="shared" si="41"/>
        <v>0</v>
      </c>
      <c r="BK9" s="636">
        <f t="shared" si="42"/>
        <v>0</v>
      </c>
      <c r="BL9" s="635">
        <f t="shared" si="43"/>
        <v>0</v>
      </c>
      <c r="BM9" s="598">
        <f t="shared" si="44"/>
        <v>0</v>
      </c>
      <c r="BN9" s="598">
        <f t="shared" si="45"/>
        <v>0</v>
      </c>
      <c r="BO9" s="598">
        <f t="shared" si="46"/>
        <v>0</v>
      </c>
      <c r="BP9" s="611">
        <f t="shared" si="47"/>
        <v>0</v>
      </c>
      <c r="BQ9" s="568">
        <v>537305</v>
      </c>
      <c r="BR9" s="634">
        <v>164259.03</v>
      </c>
      <c r="BS9" s="608">
        <f t="shared" si="48"/>
        <v>0.30570910376787858</v>
      </c>
      <c r="BT9" s="605">
        <f t="shared" si="49"/>
        <v>0.5014980399477319</v>
      </c>
      <c r="BU9" s="592">
        <f t="shared" si="50"/>
        <v>0.15331251633376891</v>
      </c>
      <c r="BV9" s="633">
        <f t="shared" si="51"/>
        <v>0</v>
      </c>
      <c r="BW9" s="633">
        <f t="shared" si="52"/>
        <v>0</v>
      </c>
      <c r="BX9" s="625">
        <v>0.29997000000000001</v>
      </c>
      <c r="BY9" s="624">
        <f>0</f>
        <v>0</v>
      </c>
      <c r="BZ9" s="625">
        <f t="shared" si="53"/>
        <v>0</v>
      </c>
      <c r="CA9" s="636">
        <f t="shared" si="54"/>
        <v>161175.38085000002</v>
      </c>
      <c r="CB9" s="635">
        <f t="shared" si="55"/>
        <v>0.15043436704312116</v>
      </c>
      <c r="CC9" s="598">
        <f t="shared" si="56"/>
        <v>537305</v>
      </c>
      <c r="CD9" s="598">
        <f t="shared" si="57"/>
        <v>164259.03</v>
      </c>
      <c r="CE9" s="598">
        <f t="shared" si="58"/>
        <v>161175.38085000002</v>
      </c>
      <c r="CF9" s="611">
        <f t="shared" si="59"/>
        <v>3083.6491499999829</v>
      </c>
      <c r="CG9" s="568">
        <v>0</v>
      </c>
      <c r="CH9" s="634">
        <v>0</v>
      </c>
      <c r="CI9" s="608">
        <f t="shared" si="60"/>
        <v>0</v>
      </c>
      <c r="CJ9" s="605">
        <f t="shared" si="61"/>
        <v>0</v>
      </c>
      <c r="CK9" s="592">
        <f t="shared" si="62"/>
        <v>0</v>
      </c>
      <c r="CL9" s="633">
        <f t="shared" si="63"/>
        <v>0</v>
      </c>
      <c r="CM9" s="633">
        <f t="shared" si="64"/>
        <v>0</v>
      </c>
      <c r="CN9" s="625">
        <v>0.29997000000000001</v>
      </c>
      <c r="CO9" s="624">
        <f>0</f>
        <v>0</v>
      </c>
      <c r="CP9" s="625">
        <f t="shared" si="65"/>
        <v>0</v>
      </c>
      <c r="CQ9" s="636">
        <f t="shared" si="66"/>
        <v>0</v>
      </c>
      <c r="CR9" s="635">
        <f t="shared" si="67"/>
        <v>0</v>
      </c>
      <c r="CS9" s="598">
        <f t="shared" si="68"/>
        <v>0</v>
      </c>
      <c r="CT9" s="598">
        <f t="shared" si="69"/>
        <v>0</v>
      </c>
      <c r="CU9" s="598">
        <f t="shared" si="70"/>
        <v>0</v>
      </c>
      <c r="CV9" s="611">
        <f t="shared" si="71"/>
        <v>0</v>
      </c>
      <c r="CW9" s="568">
        <f t="shared" si="72"/>
        <v>537305</v>
      </c>
      <c r="CX9" s="634">
        <f t="shared" si="73"/>
        <v>164259.03</v>
      </c>
      <c r="CY9" s="608">
        <f t="shared" si="74"/>
        <v>0.30570910376787858</v>
      </c>
      <c r="CZ9" s="605">
        <f t="shared" si="75"/>
        <v>3.6438609818054348E-3</v>
      </c>
      <c r="DA9" s="592">
        <f t="shared" si="76"/>
        <v>1.1139614750024817E-3</v>
      </c>
      <c r="DB9" s="633">
        <f t="shared" si="77"/>
        <v>0</v>
      </c>
      <c r="DC9" s="633">
        <f t="shared" si="78"/>
        <v>0</v>
      </c>
      <c r="DD9" s="625">
        <v>0.29997000000000001</v>
      </c>
      <c r="DE9" s="624">
        <f t="shared" si="79"/>
        <v>0</v>
      </c>
      <c r="DF9" s="625">
        <f t="shared" si="80"/>
        <v>0</v>
      </c>
      <c r="DG9" s="636">
        <f t="shared" si="81"/>
        <v>161175.38085000002</v>
      </c>
      <c r="DH9" s="635">
        <f t="shared" si="82"/>
        <v>1.0930489787121763E-3</v>
      </c>
      <c r="DI9" s="598">
        <f t="shared" si="83"/>
        <v>537305</v>
      </c>
      <c r="DJ9" s="598">
        <f t="shared" si="84"/>
        <v>164259.03</v>
      </c>
      <c r="DK9" s="598">
        <f t="shared" si="85"/>
        <v>161175.38085000002</v>
      </c>
      <c r="DL9" s="611">
        <f t="shared" si="86"/>
        <v>3083.6491499999829</v>
      </c>
      <c r="DM9" s="556"/>
      <c r="DO9" s="568">
        <f t="shared" si="90"/>
        <v>537305</v>
      </c>
      <c r="DP9" s="634">
        <f t="shared" si="87"/>
        <v>164259.03</v>
      </c>
      <c r="DQ9" s="608">
        <f t="shared" si="88"/>
        <v>0.30570910376787858</v>
      </c>
      <c r="DR9" s="605">
        <f t="shared" si="89"/>
        <v>4.3749419499134303E-3</v>
      </c>
      <c r="DS9" s="658">
        <f t="shared" si="91"/>
        <v>1.33745958254453E-3</v>
      </c>
    </row>
    <row r="10" spans="1:123" outlineLevel="1">
      <c r="A10" s="556" t="s">
        <v>407</v>
      </c>
      <c r="B10" s="632"/>
      <c r="C10" s="631"/>
      <c r="D10" s="609" t="s">
        <v>12</v>
      </c>
      <c r="E10" s="568">
        <v>7049.8240000000005</v>
      </c>
      <c r="F10" s="634">
        <v>432.57</v>
      </c>
      <c r="G10" s="608">
        <f t="shared" si="0"/>
        <v>6.1358978607125504E-2</v>
      </c>
      <c r="H10" s="605">
        <f t="shared" si="1"/>
        <v>4.5626975600284776E-4</v>
      </c>
      <c r="I10" s="592">
        <f t="shared" si="2"/>
        <v>2.7996246197657111E-5</v>
      </c>
      <c r="J10" s="633">
        <f t="shared" si="3"/>
        <v>61804</v>
      </c>
      <c r="K10" s="633">
        <f t="shared" si="4"/>
        <v>3522.828</v>
      </c>
      <c r="L10" s="625">
        <v>5.7000000000000002E-2</v>
      </c>
      <c r="M10" s="624">
        <v>4.0000000000000001E-3</v>
      </c>
      <c r="N10" s="625">
        <f t="shared" si="5"/>
        <v>2.2799999999999999E-4</v>
      </c>
      <c r="O10" s="636">
        <f t="shared" si="6"/>
        <v>401.83996800000006</v>
      </c>
      <c r="P10" s="635">
        <f t="shared" si="7"/>
        <v>2.6007376092162323E-5</v>
      </c>
      <c r="Q10" s="598">
        <f t="shared" si="8"/>
        <v>-54754.175999999999</v>
      </c>
      <c r="R10" s="598">
        <f t="shared" si="9"/>
        <v>-3090.2579999999998</v>
      </c>
      <c r="S10" s="598">
        <f t="shared" si="10"/>
        <v>-3120.9880320000002</v>
      </c>
      <c r="T10" s="611">
        <f t="shared" si="11"/>
        <v>30.730031999999937</v>
      </c>
      <c r="U10" s="568">
        <v>115957.67600000001</v>
      </c>
      <c r="V10" s="634">
        <v>7095.27</v>
      </c>
      <c r="W10" s="608">
        <f t="shared" si="12"/>
        <v>6.1188446032671436E-2</v>
      </c>
      <c r="X10" s="605">
        <f t="shared" si="13"/>
        <v>1.3838362868336247E-2</v>
      </c>
      <c r="Y10" s="592">
        <f t="shared" ref="Y10:Y15" si="92">IF($U$32&lt;&gt;0,V10/$U$32,0)</f>
        <v>8.4674791954971677E-4</v>
      </c>
      <c r="Z10" s="633">
        <f t="shared" si="15"/>
        <v>75414.923999999999</v>
      </c>
      <c r="AA10" s="633">
        <f t="shared" si="16"/>
        <v>4298.6506680000002</v>
      </c>
      <c r="AB10" s="625">
        <v>5.7000000000000002E-2</v>
      </c>
      <c r="AC10" s="624">
        <v>8.9999999999999993E-3</v>
      </c>
      <c r="AD10" s="625">
        <f t="shared" si="17"/>
        <v>5.13E-4</v>
      </c>
      <c r="AE10" s="636">
        <f t="shared" si="18"/>
        <v>6609.5875320000005</v>
      </c>
      <c r="AF10" s="635">
        <f t="shared" si="19"/>
        <v>7.8878668349516604E-4</v>
      </c>
      <c r="AG10" s="598">
        <f t="shared" si="20"/>
        <v>40542.752000000008</v>
      </c>
      <c r="AH10" s="598">
        <f t="shared" si="21"/>
        <v>2796.6193320000002</v>
      </c>
      <c r="AI10" s="598">
        <f t="shared" si="22"/>
        <v>2310.9368640000007</v>
      </c>
      <c r="AJ10" s="611">
        <f t="shared" si="23"/>
        <v>485.68246799999997</v>
      </c>
      <c r="AK10" s="568">
        <v>1147315.1669999999</v>
      </c>
      <c r="AL10" s="634">
        <v>73835.920000000013</v>
      </c>
      <c r="AM10" s="608">
        <f t="shared" si="24"/>
        <v>6.4355394336036015E-2</v>
      </c>
      <c r="AN10" s="605">
        <f t="shared" si="25"/>
        <v>9.4731409454363608E-3</v>
      </c>
      <c r="AO10" s="592">
        <f t="shared" si="26"/>
        <v>6.0964772114440618E-4</v>
      </c>
      <c r="AP10" s="633">
        <f t="shared" si="27"/>
        <v>1453349.22</v>
      </c>
      <c r="AQ10" s="633">
        <f t="shared" si="28"/>
        <v>82840.905540000007</v>
      </c>
      <c r="AR10" s="625">
        <v>5.7000000000000002E-2</v>
      </c>
      <c r="AS10" s="624">
        <v>1.2E-2</v>
      </c>
      <c r="AT10" s="625">
        <f t="shared" si="29"/>
        <v>6.8400000000000004E-4</v>
      </c>
      <c r="AU10" s="636">
        <f t="shared" si="30"/>
        <v>65396.964518999994</v>
      </c>
      <c r="AV10" s="635">
        <f t="shared" si="31"/>
        <v>5.3996903388987263E-4</v>
      </c>
      <c r="AW10" s="598">
        <f t="shared" si="32"/>
        <v>-306034.05300000007</v>
      </c>
      <c r="AX10" s="598">
        <f t="shared" si="33"/>
        <v>-9004.9855399999942</v>
      </c>
      <c r="AY10" s="598">
        <f t="shared" si="34"/>
        <v>-17443.941021000006</v>
      </c>
      <c r="AZ10" s="611">
        <f t="shared" si="35"/>
        <v>8438.9554810000191</v>
      </c>
      <c r="BA10" s="568">
        <v>9356.5490000000009</v>
      </c>
      <c r="BB10" s="634">
        <v>572.59999999999991</v>
      </c>
      <c r="BC10" s="608">
        <f t="shared" si="36"/>
        <v>6.1197777086402248E-2</v>
      </c>
      <c r="BD10" s="605">
        <f t="shared" si="37"/>
        <v>1.4843041978786928E-2</v>
      </c>
      <c r="BE10" s="592">
        <f t="shared" si="38"/>
        <v>9.083611743019134E-4</v>
      </c>
      <c r="BF10" s="633">
        <f t="shared" si="39"/>
        <v>7564.3919999999998</v>
      </c>
      <c r="BG10" s="633">
        <f t="shared" si="40"/>
        <v>431.170344</v>
      </c>
      <c r="BH10" s="625">
        <v>5.7000000000000002E-2</v>
      </c>
      <c r="BI10" s="624">
        <v>1.2E-2</v>
      </c>
      <c r="BJ10" s="625">
        <f t="shared" si="41"/>
        <v>6.8400000000000004E-4</v>
      </c>
      <c r="BK10" s="636">
        <f t="shared" si="42"/>
        <v>533.32329300000004</v>
      </c>
      <c r="BL10" s="635">
        <f t="shared" si="43"/>
        <v>8.4605339279085489E-4</v>
      </c>
      <c r="BM10" s="598">
        <f t="shared" si="44"/>
        <v>1792.1570000000011</v>
      </c>
      <c r="BN10" s="598">
        <f t="shared" si="45"/>
        <v>141.42965599999991</v>
      </c>
      <c r="BO10" s="598">
        <f t="shared" si="46"/>
        <v>102.15294900000006</v>
      </c>
      <c r="BP10" s="611">
        <f t="shared" si="47"/>
        <v>39.276706999999874</v>
      </c>
      <c r="BQ10" s="568">
        <v>6705</v>
      </c>
      <c r="BR10" s="634">
        <v>420.7</v>
      </c>
      <c r="BS10" s="608">
        <f t="shared" si="48"/>
        <v>6.2744220730797912E-2</v>
      </c>
      <c r="BT10" s="605">
        <f t="shared" si="49"/>
        <v>6.2581668844502517E-3</v>
      </c>
      <c r="BU10" s="592">
        <f t="shared" si="50"/>
        <v>3.9266380436811646E-4</v>
      </c>
      <c r="BV10" s="633">
        <f t="shared" si="51"/>
        <v>12856.800000000001</v>
      </c>
      <c r="BW10" s="633">
        <f t="shared" si="52"/>
        <v>732.83760000000007</v>
      </c>
      <c r="BX10" s="625">
        <v>5.7000000000000002E-2</v>
      </c>
      <c r="BY10" s="624">
        <v>1.2E-2</v>
      </c>
      <c r="BZ10" s="625">
        <f t="shared" si="53"/>
        <v>6.8400000000000004E-4</v>
      </c>
      <c r="CA10" s="636">
        <f t="shared" si="54"/>
        <v>382.185</v>
      </c>
      <c r="CB10" s="635">
        <f t="shared" si="55"/>
        <v>3.5671551241366436E-4</v>
      </c>
      <c r="CC10" s="598">
        <f t="shared" si="56"/>
        <v>-6151.8000000000011</v>
      </c>
      <c r="CD10" s="598">
        <f t="shared" si="57"/>
        <v>-312.13760000000008</v>
      </c>
      <c r="CE10" s="598">
        <f t="shared" si="58"/>
        <v>-350.65260000000006</v>
      </c>
      <c r="CF10" s="611">
        <f t="shared" si="59"/>
        <v>38.514999999999986</v>
      </c>
      <c r="CG10" s="568">
        <v>7113.6059999999998</v>
      </c>
      <c r="CH10" s="634">
        <v>433.19</v>
      </c>
      <c r="CI10" s="608">
        <f t="shared" si="60"/>
        <v>6.0895978776446154E-2</v>
      </c>
      <c r="CJ10" s="605">
        <f t="shared" si="61"/>
        <v>8.7798449803757009E-3</v>
      </c>
      <c r="CK10" s="592">
        <f t="shared" si="62"/>
        <v>5.3465725358544595E-4</v>
      </c>
      <c r="CL10" s="633">
        <f t="shared" si="63"/>
        <v>4051.1</v>
      </c>
      <c r="CM10" s="633">
        <f t="shared" si="64"/>
        <v>230.9127</v>
      </c>
      <c r="CN10" s="625">
        <v>5.7000000000000002E-2</v>
      </c>
      <c r="CO10" s="624">
        <v>5.0000000000000001E-3</v>
      </c>
      <c r="CP10" s="625">
        <f t="shared" si="65"/>
        <v>2.8499999999999999E-4</v>
      </c>
      <c r="CQ10" s="636">
        <f t="shared" si="66"/>
        <v>405.47554200000002</v>
      </c>
      <c r="CR10" s="635">
        <f t="shared" si="67"/>
        <v>5.004511638814149E-4</v>
      </c>
      <c r="CS10" s="598">
        <f t="shared" si="68"/>
        <v>3062.5059999999999</v>
      </c>
      <c r="CT10" s="598">
        <f t="shared" si="69"/>
        <v>202.2773</v>
      </c>
      <c r="CU10" s="598">
        <f t="shared" si="70"/>
        <v>174.56284199999999</v>
      </c>
      <c r="CV10" s="611">
        <f t="shared" si="71"/>
        <v>27.714457999999979</v>
      </c>
      <c r="CW10" s="568">
        <f t="shared" si="72"/>
        <v>1293497.8219999999</v>
      </c>
      <c r="CX10" s="634">
        <f t="shared" si="73"/>
        <v>82790.250000000015</v>
      </c>
      <c r="CY10" s="608">
        <f t="shared" si="74"/>
        <v>6.4004939623315438E-2</v>
      </c>
      <c r="CZ10" s="605">
        <f t="shared" si="75"/>
        <v>8.7721615165243412E-3</v>
      </c>
      <c r="DA10" s="592">
        <f t="shared" si="76"/>
        <v>5.6146166823111169E-4</v>
      </c>
      <c r="DB10" s="633">
        <f t="shared" si="77"/>
        <v>1615040.436</v>
      </c>
      <c r="DC10" s="633">
        <f t="shared" si="78"/>
        <v>92057.304852000001</v>
      </c>
      <c r="DD10" s="625">
        <v>8.09E-2</v>
      </c>
      <c r="DE10" s="624">
        <f t="shared" si="79"/>
        <v>1.0952778829116494E-2</v>
      </c>
      <c r="DF10" s="625">
        <f t="shared" si="80"/>
        <v>6.2430839325964009E-4</v>
      </c>
      <c r="DG10" s="636">
        <f t="shared" si="81"/>
        <v>73729.375853999984</v>
      </c>
      <c r="DH10" s="635">
        <f t="shared" si="82"/>
        <v>5.0001320644188735E-4</v>
      </c>
      <c r="DI10" s="598">
        <f t="shared" si="83"/>
        <v>-321542.61400000006</v>
      </c>
      <c r="DJ10" s="598">
        <f t="shared" si="84"/>
        <v>-9267.0548519999938</v>
      </c>
      <c r="DK10" s="598">
        <f t="shared" si="85"/>
        <v>-18327.928998000007</v>
      </c>
      <c r="DL10" s="611">
        <f t="shared" si="86"/>
        <v>9060.8741460000183</v>
      </c>
      <c r="DM10" s="556"/>
      <c r="DO10" s="568">
        <f t="shared" si="90"/>
        <v>1163376.716</v>
      </c>
      <c r="DP10" s="634">
        <f t="shared" si="87"/>
        <v>74829.220000000016</v>
      </c>
      <c r="DQ10" s="608">
        <f t="shared" si="88"/>
        <v>6.4320713119721762E-2</v>
      </c>
      <c r="DR10" s="605">
        <f t="shared" si="89"/>
        <v>9.4726563095093533E-3</v>
      </c>
      <c r="DS10" s="658">
        <f t="shared" si="91"/>
        <v>6.092880089656734E-4</v>
      </c>
    </row>
    <row r="11" spans="1:123" outlineLevel="1">
      <c r="A11" s="556" t="s">
        <v>405</v>
      </c>
      <c r="B11" s="632"/>
      <c r="C11" s="631"/>
      <c r="D11" s="609" t="s">
        <v>12</v>
      </c>
      <c r="E11" s="568">
        <v>0</v>
      </c>
      <c r="F11" s="634">
        <v>0</v>
      </c>
      <c r="G11" s="608">
        <f t="shared" si="0"/>
        <v>0</v>
      </c>
      <c r="H11" s="605">
        <f t="shared" si="1"/>
        <v>0</v>
      </c>
      <c r="I11" s="592">
        <f t="shared" si="2"/>
        <v>0</v>
      </c>
      <c r="J11" s="633">
        <f t="shared" si="3"/>
        <v>0</v>
      </c>
      <c r="K11" s="633">
        <f t="shared" si="4"/>
        <v>0</v>
      </c>
      <c r="L11" s="625">
        <v>1.4107000000000001</v>
      </c>
      <c r="M11" s="624">
        <f>0</f>
        <v>0</v>
      </c>
      <c r="N11" s="625">
        <f t="shared" si="5"/>
        <v>0</v>
      </c>
      <c r="O11" s="636">
        <f t="shared" si="6"/>
        <v>0</v>
      </c>
      <c r="P11" s="635">
        <f t="shared" si="7"/>
        <v>0</v>
      </c>
      <c r="Q11" s="598">
        <f t="shared" si="8"/>
        <v>0</v>
      </c>
      <c r="R11" s="598">
        <f t="shared" si="9"/>
        <v>0</v>
      </c>
      <c r="S11" s="598">
        <f t="shared" si="10"/>
        <v>0</v>
      </c>
      <c r="T11" s="611">
        <f t="shared" si="11"/>
        <v>0</v>
      </c>
      <c r="U11" s="568">
        <v>0</v>
      </c>
      <c r="V11" s="634">
        <v>0</v>
      </c>
      <c r="W11" s="608">
        <f t="shared" si="12"/>
        <v>0</v>
      </c>
      <c r="X11" s="605">
        <f t="shared" si="13"/>
        <v>0</v>
      </c>
      <c r="Y11" s="592">
        <f t="shared" si="92"/>
        <v>0</v>
      </c>
      <c r="Z11" s="633">
        <f t="shared" si="15"/>
        <v>0</v>
      </c>
      <c r="AA11" s="633">
        <f t="shared" si="16"/>
        <v>0</v>
      </c>
      <c r="AB11" s="625">
        <v>1.4107000000000001</v>
      </c>
      <c r="AC11" s="624">
        <f>0</f>
        <v>0</v>
      </c>
      <c r="AD11" s="625">
        <f t="shared" si="17"/>
        <v>0</v>
      </c>
      <c r="AE11" s="636">
        <f t="shared" si="18"/>
        <v>0</v>
      </c>
      <c r="AF11" s="635">
        <f t="shared" si="19"/>
        <v>0</v>
      </c>
      <c r="AG11" s="598">
        <f t="shared" si="20"/>
        <v>0</v>
      </c>
      <c r="AH11" s="598">
        <f t="shared" si="21"/>
        <v>0</v>
      </c>
      <c r="AI11" s="598">
        <f t="shared" si="22"/>
        <v>0</v>
      </c>
      <c r="AJ11" s="611">
        <f t="shared" si="23"/>
        <v>0</v>
      </c>
      <c r="AK11" s="568">
        <v>1205774.3160000001</v>
      </c>
      <c r="AL11" s="634">
        <v>1645779.0899999999</v>
      </c>
      <c r="AM11" s="608">
        <f t="shared" si="24"/>
        <v>1.3649147010028033</v>
      </c>
      <c r="AN11" s="605">
        <f t="shared" si="25"/>
        <v>9.9558258902151548E-3</v>
      </c>
      <c r="AO11" s="592">
        <f t="shared" si="26"/>
        <v>1.3588853118178987E-2</v>
      </c>
      <c r="AP11" s="633">
        <f t="shared" si="27"/>
        <v>1332236.7849999999</v>
      </c>
      <c r="AQ11" s="633">
        <f t="shared" si="28"/>
        <v>1879386.4325995001</v>
      </c>
      <c r="AR11" s="625">
        <v>1.4107000000000001</v>
      </c>
      <c r="AS11" s="624">
        <v>1.0999999999999999E-2</v>
      </c>
      <c r="AT11" s="625">
        <f t="shared" si="29"/>
        <v>1.5517700000000001E-2</v>
      </c>
      <c r="AU11" s="636">
        <f t="shared" si="30"/>
        <v>1700985.8275812003</v>
      </c>
      <c r="AV11" s="635">
        <f t="shared" si="31"/>
        <v>1.404468358332652E-2</v>
      </c>
      <c r="AW11" s="598">
        <f t="shared" si="32"/>
        <v>-126462.46899999981</v>
      </c>
      <c r="AX11" s="598">
        <f t="shared" si="33"/>
        <v>-233607.3425995002</v>
      </c>
      <c r="AY11" s="598">
        <f t="shared" si="34"/>
        <v>-178400.60501829974</v>
      </c>
      <c r="AZ11" s="611">
        <f t="shared" si="35"/>
        <v>-55206.737581200432</v>
      </c>
      <c r="BA11" s="568">
        <v>6323.7699999999995</v>
      </c>
      <c r="BB11" s="634">
        <v>8507.64</v>
      </c>
      <c r="BC11" s="608">
        <f t="shared" si="36"/>
        <v>1.3453430469482603</v>
      </c>
      <c r="BD11" s="605">
        <f t="shared" si="37"/>
        <v>1.0031902101318916E-2</v>
      </c>
      <c r="BE11" s="592">
        <f t="shared" si="38"/>
        <v>1.3496349739675045E-2</v>
      </c>
      <c r="BF11" s="633">
        <f t="shared" si="39"/>
        <v>6934.0259999999998</v>
      </c>
      <c r="BG11" s="633">
        <f t="shared" si="40"/>
        <v>9781.8304781999996</v>
      </c>
      <c r="BH11" s="625">
        <v>1.4107000000000001</v>
      </c>
      <c r="BI11" s="624">
        <v>1.0999999999999999E-2</v>
      </c>
      <c r="BJ11" s="625">
        <f t="shared" si="41"/>
        <v>1.5517699999999999E-2</v>
      </c>
      <c r="BK11" s="636">
        <f t="shared" si="42"/>
        <v>8920.9423389999993</v>
      </c>
      <c r="BL11" s="635">
        <f t="shared" si="43"/>
        <v>1.4152004294330594E-2</v>
      </c>
      <c r="BM11" s="598">
        <f t="shared" si="44"/>
        <v>-610.25600000000031</v>
      </c>
      <c r="BN11" s="598">
        <f t="shared" si="45"/>
        <v>-1274.1904782000001</v>
      </c>
      <c r="BO11" s="598">
        <f t="shared" si="46"/>
        <v>-860.88813920000052</v>
      </c>
      <c r="BP11" s="611">
        <f t="shared" si="47"/>
        <v>-413.30233899999985</v>
      </c>
      <c r="BQ11" s="568">
        <v>7077.5</v>
      </c>
      <c r="BR11" s="634">
        <v>9665.74</v>
      </c>
      <c r="BS11" s="608">
        <f t="shared" si="48"/>
        <v>1.3656997527375485</v>
      </c>
      <c r="BT11" s="605">
        <f t="shared" si="49"/>
        <v>6.6058428224752656E-3</v>
      </c>
      <c r="BU11" s="592">
        <f t="shared" si="50"/>
        <v>9.0215979092775813E-3</v>
      </c>
      <c r="BV11" s="633">
        <f t="shared" si="51"/>
        <v>11785.4</v>
      </c>
      <c r="BW11" s="633">
        <f t="shared" si="52"/>
        <v>16625.663779999999</v>
      </c>
      <c r="BX11" s="625">
        <v>1.4107000000000001</v>
      </c>
      <c r="BY11" s="624">
        <v>1.0999999999999999E-2</v>
      </c>
      <c r="BZ11" s="625">
        <f t="shared" si="53"/>
        <v>1.5517699999999999E-2</v>
      </c>
      <c r="CA11" s="636">
        <f t="shared" si="54"/>
        <v>9984.2292500000003</v>
      </c>
      <c r="CB11" s="635">
        <f t="shared" si="55"/>
        <v>9.3188624696658572E-3</v>
      </c>
      <c r="CC11" s="598">
        <f t="shared" si="56"/>
        <v>-4707.8999999999996</v>
      </c>
      <c r="CD11" s="598">
        <f t="shared" si="57"/>
        <v>-6959.9237799999992</v>
      </c>
      <c r="CE11" s="598">
        <f t="shared" si="58"/>
        <v>-6641.4345299999995</v>
      </c>
      <c r="CF11" s="611">
        <f t="shared" si="59"/>
        <v>-318.48925000000054</v>
      </c>
      <c r="CG11" s="568">
        <v>825.005</v>
      </c>
      <c r="CH11" s="634">
        <v>1108.1099999999999</v>
      </c>
      <c r="CI11" s="608">
        <f t="shared" si="60"/>
        <v>1.3431554960272967</v>
      </c>
      <c r="CJ11" s="605">
        <f t="shared" si="61"/>
        <v>1.0182481301374935E-3</v>
      </c>
      <c r="CK11" s="592">
        <f t="shared" si="62"/>
        <v>1.3676655723136924E-3</v>
      </c>
      <c r="CL11" s="633">
        <f t="shared" si="63"/>
        <v>0</v>
      </c>
      <c r="CM11" s="633">
        <f t="shared" si="64"/>
        <v>0</v>
      </c>
      <c r="CN11" s="625">
        <v>1.4107000000000001</v>
      </c>
      <c r="CO11" s="624">
        <v>0</v>
      </c>
      <c r="CP11" s="625">
        <f t="shared" si="65"/>
        <v>0</v>
      </c>
      <c r="CQ11" s="636">
        <f t="shared" si="66"/>
        <v>1163.8345535000001</v>
      </c>
      <c r="CR11" s="635">
        <f t="shared" si="67"/>
        <v>1.4364426371849621E-3</v>
      </c>
      <c r="CS11" s="598">
        <f t="shared" si="68"/>
        <v>825.005</v>
      </c>
      <c r="CT11" s="598">
        <f t="shared" si="69"/>
        <v>1108.1099999999999</v>
      </c>
      <c r="CU11" s="598">
        <f t="shared" si="70"/>
        <v>1163.8345535000001</v>
      </c>
      <c r="CV11" s="611">
        <f t="shared" si="71"/>
        <v>-55.724553500000184</v>
      </c>
      <c r="CW11" s="568">
        <f t="shared" si="72"/>
        <v>1220000.591</v>
      </c>
      <c r="CX11" s="634">
        <f t="shared" si="73"/>
        <v>1665060.5799999998</v>
      </c>
      <c r="CY11" s="608">
        <f t="shared" si="74"/>
        <v>1.3648030929519441</v>
      </c>
      <c r="CZ11" s="605">
        <f t="shared" si="75"/>
        <v>8.2737226553344385E-3</v>
      </c>
      <c r="DA11" s="592">
        <f t="shared" si="76"/>
        <v>1.1292002270227015E-2</v>
      </c>
      <c r="DB11" s="633">
        <f t="shared" si="77"/>
        <v>1350956.2109999999</v>
      </c>
      <c r="DC11" s="633">
        <f t="shared" si="78"/>
        <v>1905793.9268577001</v>
      </c>
      <c r="DD11" s="625">
        <v>1.35</v>
      </c>
      <c r="DE11" s="624">
        <f t="shared" si="79"/>
        <v>9.161829175962647E-3</v>
      </c>
      <c r="DF11" s="625">
        <f t="shared" si="80"/>
        <v>1.2924592418530507E-2</v>
      </c>
      <c r="DG11" s="636">
        <f t="shared" si="81"/>
        <v>1721054.8337237004</v>
      </c>
      <c r="DH11" s="635">
        <f t="shared" si="82"/>
        <v>1.1671740549880296E-2</v>
      </c>
      <c r="DI11" s="598">
        <f t="shared" si="83"/>
        <v>-130955.61999999979</v>
      </c>
      <c r="DJ11" s="598">
        <f t="shared" si="84"/>
        <v>-240733.34685770023</v>
      </c>
      <c r="DK11" s="598">
        <f t="shared" si="85"/>
        <v>-184739.09313399973</v>
      </c>
      <c r="DL11" s="611">
        <f t="shared" si="86"/>
        <v>-55994.253723700429</v>
      </c>
      <c r="DM11" s="556"/>
      <c r="DO11" s="568">
        <f t="shared" si="90"/>
        <v>1219175.5860000001</v>
      </c>
      <c r="DP11" s="634">
        <f t="shared" si="87"/>
        <v>1663952.4699999997</v>
      </c>
      <c r="DQ11" s="608">
        <f t="shared" si="88"/>
        <v>1.3648177416833538</v>
      </c>
      <c r="DR11" s="605">
        <f t="shared" si="89"/>
        <v>9.9269919608075304E-3</v>
      </c>
      <c r="DS11" s="658">
        <f t="shared" si="91"/>
        <v>1.3548534749658142E-2</v>
      </c>
    </row>
    <row r="12" spans="1:123" outlineLevel="1">
      <c r="A12" s="556" t="s">
        <v>433</v>
      </c>
      <c r="B12" s="632"/>
      <c r="C12" s="631"/>
      <c r="D12" s="609" t="s">
        <v>12</v>
      </c>
      <c r="E12" s="568">
        <v>214537.361</v>
      </c>
      <c r="F12" s="634">
        <v>1228029.6499999999</v>
      </c>
      <c r="G12" s="592">
        <f t="shared" si="0"/>
        <v>5.7240829488901932</v>
      </c>
      <c r="H12" s="605">
        <f t="shared" si="1"/>
        <v>1.3885014626884991E-2</v>
      </c>
      <c r="I12" s="592">
        <f t="shared" si="2"/>
        <v>7.9478975470843302E-2</v>
      </c>
      <c r="J12" s="633">
        <f t="shared" si="3"/>
        <v>185412</v>
      </c>
      <c r="K12" s="633">
        <f t="shared" si="4"/>
        <v>884302.13867999997</v>
      </c>
      <c r="L12" s="607">
        <v>4.7693899999999996</v>
      </c>
      <c r="M12" s="606">
        <v>1.2E-2</v>
      </c>
      <c r="N12" s="615">
        <f t="shared" si="5"/>
        <v>5.7232680000000001E-2</v>
      </c>
      <c r="O12" s="614">
        <f t="shared" si="6"/>
        <v>1023212.3441797899</v>
      </c>
      <c r="P12" s="613">
        <f t="shared" si="7"/>
        <v>6.6223049911318999E-2</v>
      </c>
      <c r="Q12" s="598">
        <f t="shared" si="8"/>
        <v>29125.361000000004</v>
      </c>
      <c r="R12" s="612">
        <f t="shared" si="9"/>
        <v>343727.51131999993</v>
      </c>
      <c r="S12" s="612">
        <f t="shared" si="10"/>
        <v>138910.20549979</v>
      </c>
      <c r="T12" s="611">
        <f t="shared" si="11"/>
        <v>204817.30582021002</v>
      </c>
      <c r="U12" s="568">
        <v>106952.068</v>
      </c>
      <c r="V12" s="634">
        <v>647437.99</v>
      </c>
      <c r="W12" s="592">
        <f t="shared" si="12"/>
        <v>6.0535340934221109</v>
      </c>
      <c r="X12" s="605">
        <f t="shared" si="13"/>
        <v>1.276363564325809E-2</v>
      </c>
      <c r="Y12" s="592">
        <f t="shared" si="92"/>
        <v>7.7265103522480505E-2</v>
      </c>
      <c r="Z12" s="633">
        <f t="shared" si="15"/>
        <v>92173.795999999988</v>
      </c>
      <c r="AA12" s="633">
        <f t="shared" si="16"/>
        <v>439612.78090443992</v>
      </c>
      <c r="AB12" s="607">
        <v>4.7693899999999996</v>
      </c>
      <c r="AC12" s="606">
        <v>1.0999999999999999E-2</v>
      </c>
      <c r="AD12" s="615">
        <f t="shared" si="17"/>
        <v>5.2463289999999989E-2</v>
      </c>
      <c r="AE12" s="614">
        <f t="shared" si="18"/>
        <v>510096.12359851995</v>
      </c>
      <c r="AF12" s="613">
        <f t="shared" si="19"/>
        <v>6.0874756200598699E-2</v>
      </c>
      <c r="AG12" s="598">
        <f t="shared" si="20"/>
        <v>14778.272000000012</v>
      </c>
      <c r="AH12" s="612">
        <f t="shared" si="21"/>
        <v>207825.20909556007</v>
      </c>
      <c r="AI12" s="612">
        <f t="shared" si="22"/>
        <v>70483.342694080056</v>
      </c>
      <c r="AJ12" s="611">
        <f t="shared" si="23"/>
        <v>137341.86640148005</v>
      </c>
      <c r="AK12" s="568">
        <v>0</v>
      </c>
      <c r="AL12" s="634">
        <v>0</v>
      </c>
      <c r="AM12" s="592">
        <f t="shared" si="24"/>
        <v>0</v>
      </c>
      <c r="AN12" s="605">
        <f t="shared" si="25"/>
        <v>0</v>
      </c>
      <c r="AO12" s="592">
        <f t="shared" si="26"/>
        <v>0</v>
      </c>
      <c r="AP12" s="617">
        <f t="shared" si="27"/>
        <v>0</v>
      </c>
      <c r="AQ12" s="633">
        <f t="shared" si="28"/>
        <v>0</v>
      </c>
      <c r="AR12" s="607">
        <v>4.7693899999999996</v>
      </c>
      <c r="AS12" s="606">
        <v>0</v>
      </c>
      <c r="AT12" s="615">
        <f t="shared" si="29"/>
        <v>0</v>
      </c>
      <c r="AU12" s="614">
        <f t="shared" si="30"/>
        <v>0</v>
      </c>
      <c r="AV12" s="613">
        <f t="shared" si="31"/>
        <v>0</v>
      </c>
      <c r="AW12" s="598">
        <f t="shared" si="32"/>
        <v>0</v>
      </c>
      <c r="AX12" s="612">
        <f t="shared" si="33"/>
        <v>0</v>
      </c>
      <c r="AY12" s="612">
        <f t="shared" si="34"/>
        <v>0</v>
      </c>
      <c r="AZ12" s="611">
        <f t="shared" si="35"/>
        <v>0</v>
      </c>
      <c r="BA12" s="568">
        <v>0</v>
      </c>
      <c r="BB12" s="634">
        <v>0</v>
      </c>
      <c r="BC12" s="592">
        <f t="shared" si="36"/>
        <v>0</v>
      </c>
      <c r="BD12" s="605">
        <f t="shared" si="37"/>
        <v>0</v>
      </c>
      <c r="BE12" s="592">
        <f t="shared" si="38"/>
        <v>0</v>
      </c>
      <c r="BF12" s="617">
        <f t="shared" si="39"/>
        <v>0</v>
      </c>
      <c r="BG12" s="633">
        <f t="shared" si="40"/>
        <v>0</v>
      </c>
      <c r="BH12" s="607">
        <v>4.7693899999999996</v>
      </c>
      <c r="BI12" s="606">
        <v>0</v>
      </c>
      <c r="BJ12" s="615">
        <f t="shared" si="41"/>
        <v>0</v>
      </c>
      <c r="BK12" s="614">
        <f t="shared" si="42"/>
        <v>0</v>
      </c>
      <c r="BL12" s="613">
        <f t="shared" si="43"/>
        <v>0</v>
      </c>
      <c r="BM12" s="598">
        <f t="shared" si="44"/>
        <v>0</v>
      </c>
      <c r="BN12" s="612">
        <f t="shared" si="45"/>
        <v>0</v>
      </c>
      <c r="BO12" s="612">
        <f t="shared" si="46"/>
        <v>0</v>
      </c>
      <c r="BP12" s="611">
        <f t="shared" si="47"/>
        <v>0</v>
      </c>
      <c r="BQ12" s="568">
        <v>0</v>
      </c>
      <c r="BR12" s="634">
        <v>0</v>
      </c>
      <c r="BS12" s="592">
        <f t="shared" si="48"/>
        <v>0</v>
      </c>
      <c r="BT12" s="605">
        <f t="shared" si="49"/>
        <v>0</v>
      </c>
      <c r="BU12" s="592">
        <f t="shared" si="50"/>
        <v>0</v>
      </c>
      <c r="BV12" s="617">
        <f t="shared" si="51"/>
        <v>0</v>
      </c>
      <c r="BW12" s="633">
        <f t="shared" si="52"/>
        <v>0</v>
      </c>
      <c r="BX12" s="607">
        <v>4.7693899999999996</v>
      </c>
      <c r="BY12" s="606">
        <v>0</v>
      </c>
      <c r="BZ12" s="615">
        <f t="shared" si="53"/>
        <v>0</v>
      </c>
      <c r="CA12" s="614">
        <f t="shared" si="54"/>
        <v>0</v>
      </c>
      <c r="CB12" s="613">
        <f t="shared" si="55"/>
        <v>0</v>
      </c>
      <c r="CC12" s="598">
        <f t="shared" si="56"/>
        <v>0</v>
      </c>
      <c r="CD12" s="612">
        <f t="shared" si="57"/>
        <v>0</v>
      </c>
      <c r="CE12" s="612">
        <f t="shared" si="58"/>
        <v>0</v>
      </c>
      <c r="CF12" s="611">
        <f t="shared" si="59"/>
        <v>0</v>
      </c>
      <c r="CG12" s="568">
        <v>0</v>
      </c>
      <c r="CH12" s="634">
        <v>0</v>
      </c>
      <c r="CI12" s="592">
        <f t="shared" si="60"/>
        <v>0</v>
      </c>
      <c r="CJ12" s="605">
        <f t="shared" si="61"/>
        <v>0</v>
      </c>
      <c r="CK12" s="592">
        <f t="shared" si="62"/>
        <v>0</v>
      </c>
      <c r="CL12" s="617">
        <f t="shared" si="63"/>
        <v>0</v>
      </c>
      <c r="CM12" s="633">
        <f t="shared" si="64"/>
        <v>0</v>
      </c>
      <c r="CN12" s="607">
        <v>4.7693899999999996</v>
      </c>
      <c r="CO12" s="606">
        <v>0</v>
      </c>
      <c r="CP12" s="615">
        <f t="shared" si="65"/>
        <v>0</v>
      </c>
      <c r="CQ12" s="614">
        <f t="shared" si="66"/>
        <v>0</v>
      </c>
      <c r="CR12" s="613">
        <f t="shared" si="67"/>
        <v>0</v>
      </c>
      <c r="CS12" s="598">
        <f t="shared" si="68"/>
        <v>0</v>
      </c>
      <c r="CT12" s="612">
        <f t="shared" si="69"/>
        <v>0</v>
      </c>
      <c r="CU12" s="612">
        <f t="shared" si="70"/>
        <v>0</v>
      </c>
      <c r="CV12" s="611">
        <f t="shared" si="71"/>
        <v>0</v>
      </c>
      <c r="CW12" s="568">
        <f t="shared" si="72"/>
        <v>321489.429</v>
      </c>
      <c r="CX12" s="634">
        <f t="shared" si="73"/>
        <v>1875467.64</v>
      </c>
      <c r="CY12" s="592">
        <f t="shared" si="74"/>
        <v>5.8336836947755435</v>
      </c>
      <c r="CZ12" s="605">
        <f t="shared" si="75"/>
        <v>2.180256625931284E-3</v>
      </c>
      <c r="DA12" s="592">
        <f t="shared" si="76"/>
        <v>1.2718927529121675E-2</v>
      </c>
      <c r="DB12" s="617">
        <f t="shared" si="77"/>
        <v>277585.79599999997</v>
      </c>
      <c r="DC12" s="633">
        <f t="shared" si="78"/>
        <v>1323914.9195844398</v>
      </c>
      <c r="DD12" s="615">
        <v>6</v>
      </c>
      <c r="DE12" s="616">
        <f t="shared" si="79"/>
        <v>1.8825137513103416E-3</v>
      </c>
      <c r="DF12" s="615">
        <f t="shared" si="80"/>
        <v>8.9784422603620302E-3</v>
      </c>
      <c r="DG12" s="614">
        <f t="shared" si="81"/>
        <v>1533308.4677783097</v>
      </c>
      <c r="DH12" s="613">
        <f t="shared" si="82"/>
        <v>1.0398494149150405E-2</v>
      </c>
      <c r="DI12" s="598">
        <f t="shared" si="83"/>
        <v>43903.633000000016</v>
      </c>
      <c r="DJ12" s="612">
        <f t="shared" si="84"/>
        <v>551552.72041556006</v>
      </c>
      <c r="DK12" s="612">
        <f t="shared" si="85"/>
        <v>209393.54819387005</v>
      </c>
      <c r="DL12" s="611">
        <f t="shared" si="86"/>
        <v>342159.17222169007</v>
      </c>
      <c r="DM12" s="556"/>
      <c r="DO12" s="568">
        <f t="shared" si="90"/>
        <v>0</v>
      </c>
      <c r="DP12" s="634">
        <f t="shared" si="87"/>
        <v>0</v>
      </c>
      <c r="DQ12" s="592">
        <f t="shared" si="88"/>
        <v>0</v>
      </c>
      <c r="DR12" s="605">
        <f t="shared" si="89"/>
        <v>0</v>
      </c>
      <c r="DS12" s="658">
        <f t="shared" si="91"/>
        <v>0</v>
      </c>
    </row>
    <row r="13" spans="1:123" outlineLevel="1">
      <c r="A13" s="556" t="s">
        <v>406</v>
      </c>
      <c r="B13" s="632"/>
      <c r="C13" s="631"/>
      <c r="D13" s="609" t="s">
        <v>12</v>
      </c>
      <c r="E13" s="568">
        <v>81471.976999999999</v>
      </c>
      <c r="F13" s="634">
        <v>37476.410000000003</v>
      </c>
      <c r="G13" s="592">
        <f t="shared" si="0"/>
        <v>0.45999141520771003</v>
      </c>
      <c r="H13" s="605">
        <f t="shared" si="1"/>
        <v>5.2729258300433625E-3</v>
      </c>
      <c r="I13" s="592">
        <f t="shared" si="2"/>
        <v>2.4255006148469357E-3</v>
      </c>
      <c r="J13" s="633">
        <f t="shared" si="3"/>
        <v>309020</v>
      </c>
      <c r="K13" s="633">
        <f t="shared" si="4"/>
        <v>142149.20000000001</v>
      </c>
      <c r="L13" s="607">
        <v>0.46</v>
      </c>
      <c r="M13" s="606">
        <v>0.02</v>
      </c>
      <c r="N13" s="615">
        <f t="shared" si="5"/>
        <v>9.2000000000000016E-3</v>
      </c>
      <c r="O13" s="614">
        <f t="shared" si="6"/>
        <v>37477.109420000001</v>
      </c>
      <c r="P13" s="613">
        <f t="shared" si="7"/>
        <v>2.4255458818199468E-3</v>
      </c>
      <c r="Q13" s="598">
        <f t="shared" si="8"/>
        <v>-227548.02299999999</v>
      </c>
      <c r="R13" s="612">
        <f t="shared" si="9"/>
        <v>-104672.79000000001</v>
      </c>
      <c r="S13" s="612">
        <f t="shared" si="10"/>
        <v>-104672.09058</v>
      </c>
      <c r="T13" s="611">
        <f t="shared" si="11"/>
        <v>-0.69941999999718973</v>
      </c>
      <c r="U13" s="568">
        <v>88453.33600000001</v>
      </c>
      <c r="V13" s="634">
        <v>40688.240000000005</v>
      </c>
      <c r="W13" s="592">
        <f t="shared" si="12"/>
        <v>0.4599966698825243</v>
      </c>
      <c r="X13" s="605">
        <f t="shared" si="13"/>
        <v>1.0556001143752398E-2</v>
      </c>
      <c r="Y13" s="592">
        <f t="shared" si="92"/>
        <v>4.8557253734022197E-3</v>
      </c>
      <c r="Z13" s="633">
        <f t="shared" si="15"/>
        <v>108932.66799999999</v>
      </c>
      <c r="AA13" s="633">
        <f t="shared" si="16"/>
        <v>50109.027279999995</v>
      </c>
      <c r="AB13" s="607">
        <v>0.46</v>
      </c>
      <c r="AC13" s="606">
        <v>1.2999999999999999E-2</v>
      </c>
      <c r="AD13" s="615">
        <f t="shared" si="17"/>
        <v>5.9799999999999992E-3</v>
      </c>
      <c r="AE13" s="614">
        <f t="shared" si="18"/>
        <v>40688.534560000007</v>
      </c>
      <c r="AF13" s="613">
        <f t="shared" si="19"/>
        <v>4.8557605261261025E-3</v>
      </c>
      <c r="AG13" s="598">
        <f t="shared" si="20"/>
        <v>-20479.33199999998</v>
      </c>
      <c r="AH13" s="612">
        <f t="shared" si="21"/>
        <v>-9420.7872799999896</v>
      </c>
      <c r="AI13" s="612">
        <f t="shared" si="22"/>
        <v>-9420.4927199999911</v>
      </c>
      <c r="AJ13" s="611">
        <f t="shared" si="23"/>
        <v>-0.29456000000209315</v>
      </c>
      <c r="AK13" s="568">
        <v>1013184.0560000001</v>
      </c>
      <c r="AL13" s="634">
        <v>466062.44999999995</v>
      </c>
      <c r="AM13" s="592">
        <f t="shared" si="24"/>
        <v>0.45999781307257359</v>
      </c>
      <c r="AN13" s="605">
        <f t="shared" si="25"/>
        <v>8.3656484654115008E-3</v>
      </c>
      <c r="AO13" s="592">
        <f t="shared" si="26"/>
        <v>3.8481799990232211E-3</v>
      </c>
      <c r="AP13" s="617">
        <f t="shared" si="27"/>
        <v>605562.17500000005</v>
      </c>
      <c r="AQ13" s="633">
        <f t="shared" si="28"/>
        <v>278558.60050000006</v>
      </c>
      <c r="AR13" s="607">
        <v>0.46</v>
      </c>
      <c r="AS13" s="606">
        <f>0.005</f>
        <v>5.0000000000000001E-3</v>
      </c>
      <c r="AT13" s="615">
        <f t="shared" si="29"/>
        <v>2.3000000000000004E-3</v>
      </c>
      <c r="AU13" s="614">
        <f t="shared" si="30"/>
        <v>466064.66576000006</v>
      </c>
      <c r="AV13" s="613">
        <f t="shared" si="31"/>
        <v>3.8481982940892904E-3</v>
      </c>
      <c r="AW13" s="598">
        <f t="shared" si="32"/>
        <v>407621.88100000005</v>
      </c>
      <c r="AX13" s="612">
        <f t="shared" si="33"/>
        <v>187503.84949999989</v>
      </c>
      <c r="AY13" s="612">
        <f t="shared" si="34"/>
        <v>187506.06526000003</v>
      </c>
      <c r="AZ13" s="611">
        <f t="shared" si="35"/>
        <v>-2.2157600001082756</v>
      </c>
      <c r="BA13" s="568">
        <v>3705.3719999999998</v>
      </c>
      <c r="BB13" s="634">
        <v>1704.47</v>
      </c>
      <c r="BC13" s="592">
        <f t="shared" si="36"/>
        <v>0.45999969773615174</v>
      </c>
      <c r="BD13" s="605">
        <f t="shared" si="37"/>
        <v>5.8781279447178304E-3</v>
      </c>
      <c r="BE13" s="592">
        <f t="shared" si="38"/>
        <v>2.7039370778246287E-3</v>
      </c>
      <c r="BF13" s="617">
        <f t="shared" si="39"/>
        <v>3151.83</v>
      </c>
      <c r="BG13" s="633">
        <f t="shared" si="40"/>
        <v>1449.8417999999999</v>
      </c>
      <c r="BH13" s="607">
        <v>0.46</v>
      </c>
      <c r="BI13" s="606">
        <f>0.005</f>
        <v>5.0000000000000001E-3</v>
      </c>
      <c r="BJ13" s="615">
        <f t="shared" si="41"/>
        <v>2.3E-3</v>
      </c>
      <c r="BK13" s="614">
        <f t="shared" si="42"/>
        <v>1704.4711199999999</v>
      </c>
      <c r="BL13" s="613">
        <f t="shared" si="43"/>
        <v>2.7039388545702018E-3</v>
      </c>
      <c r="BM13" s="598">
        <f t="shared" si="44"/>
        <v>553.54199999999992</v>
      </c>
      <c r="BN13" s="612">
        <f t="shared" si="45"/>
        <v>254.62820000000011</v>
      </c>
      <c r="BO13" s="612">
        <f t="shared" si="46"/>
        <v>254.62931999999998</v>
      </c>
      <c r="BP13" s="611">
        <f t="shared" si="47"/>
        <v>-1.1199999999007559E-3</v>
      </c>
      <c r="BQ13" s="568">
        <v>6705</v>
      </c>
      <c r="BR13" s="634">
        <v>3084.29</v>
      </c>
      <c r="BS13" s="592">
        <f t="shared" si="48"/>
        <v>0.4599985085756898</v>
      </c>
      <c r="BT13" s="605">
        <f t="shared" si="49"/>
        <v>6.2581668844502517E-3</v>
      </c>
      <c r="BU13" s="592">
        <f t="shared" si="50"/>
        <v>2.8787474332648872E-3</v>
      </c>
      <c r="BV13" s="617">
        <f t="shared" si="51"/>
        <v>5357</v>
      </c>
      <c r="BW13" s="633">
        <f t="shared" si="52"/>
        <v>2464.2200000000003</v>
      </c>
      <c r="BX13" s="607">
        <v>0.46</v>
      </c>
      <c r="BY13" s="606">
        <v>5.0000000000000001E-3</v>
      </c>
      <c r="BZ13" s="615">
        <f t="shared" si="53"/>
        <v>2.3000000000000004E-3</v>
      </c>
      <c r="CA13" s="614">
        <f t="shared" si="54"/>
        <v>3084.3</v>
      </c>
      <c r="CB13" s="613">
        <f t="shared" si="55"/>
        <v>2.8787567668471163E-3</v>
      </c>
      <c r="CC13" s="598">
        <f t="shared" si="56"/>
        <v>1348</v>
      </c>
      <c r="CD13" s="612">
        <f t="shared" si="57"/>
        <v>620.06999999999971</v>
      </c>
      <c r="CE13" s="612">
        <f t="shared" si="58"/>
        <v>620.08000000000004</v>
      </c>
      <c r="CF13" s="611">
        <f t="shared" si="59"/>
        <v>-1.0000000000218279E-2</v>
      </c>
      <c r="CG13" s="568">
        <v>7749.0619999999999</v>
      </c>
      <c r="CH13" s="634">
        <v>3564.53</v>
      </c>
      <c r="CI13" s="592">
        <f t="shared" si="60"/>
        <v>0.45999502907577722</v>
      </c>
      <c r="CJ13" s="605">
        <f t="shared" si="61"/>
        <v>9.5641455407173351E-3</v>
      </c>
      <c r="CK13" s="592">
        <f t="shared" si="62"/>
        <v>4.3994594060872355E-3</v>
      </c>
      <c r="CL13" s="617">
        <f t="shared" si="63"/>
        <v>4051.1</v>
      </c>
      <c r="CM13" s="633">
        <f t="shared" si="64"/>
        <v>1863.5060000000001</v>
      </c>
      <c r="CN13" s="607">
        <v>0.46</v>
      </c>
      <c r="CO13" s="606">
        <v>5.0000000000000001E-3</v>
      </c>
      <c r="CP13" s="615">
        <f t="shared" si="65"/>
        <v>2.3E-3</v>
      </c>
      <c r="CQ13" s="614">
        <f t="shared" si="66"/>
        <v>3564.5685200000003</v>
      </c>
      <c r="CR13" s="613">
        <f t="shared" si="67"/>
        <v>4.3995069487299749E-3</v>
      </c>
      <c r="CS13" s="598">
        <f t="shared" si="68"/>
        <v>3697.962</v>
      </c>
      <c r="CT13" s="612">
        <f t="shared" si="69"/>
        <v>1701.0240000000001</v>
      </c>
      <c r="CU13" s="612">
        <f t="shared" si="70"/>
        <v>1701.0625200000002</v>
      </c>
      <c r="CV13" s="611">
        <f t="shared" si="71"/>
        <v>-3.8520000000062282E-2</v>
      </c>
      <c r="CW13" s="568">
        <f t="shared" si="72"/>
        <v>1201268.8030000001</v>
      </c>
      <c r="CX13" s="634">
        <f t="shared" si="73"/>
        <v>552580.39</v>
      </c>
      <c r="CY13" s="592">
        <f t="shared" si="74"/>
        <v>0.45999728671884937</v>
      </c>
      <c r="CZ13" s="605">
        <f t="shared" si="75"/>
        <v>8.1466886031431301E-3</v>
      </c>
      <c r="DA13" s="592">
        <f t="shared" si="76"/>
        <v>3.7474546531892131E-3</v>
      </c>
      <c r="DB13" s="617">
        <f t="shared" si="77"/>
        <v>1036074.773</v>
      </c>
      <c r="DC13" s="633">
        <f t="shared" si="78"/>
        <v>476594.39558000001</v>
      </c>
      <c r="DD13" s="615">
        <v>0.48</v>
      </c>
      <c r="DE13" s="616">
        <f t="shared" si="79"/>
        <v>7.0263862044232291E-3</v>
      </c>
      <c r="DF13" s="615">
        <f t="shared" si="80"/>
        <v>3.2321376540346853E-3</v>
      </c>
      <c r="DG13" s="614">
        <f t="shared" si="81"/>
        <v>552583.64938000008</v>
      </c>
      <c r="DH13" s="613">
        <f t="shared" si="82"/>
        <v>3.7474767574458404E-3</v>
      </c>
      <c r="DI13" s="598">
        <f t="shared" si="83"/>
        <v>165194.03000000006</v>
      </c>
      <c r="DJ13" s="612">
        <f t="shared" si="84"/>
        <v>75985.994419999915</v>
      </c>
      <c r="DK13" s="612">
        <f t="shared" si="85"/>
        <v>75989.253800000035</v>
      </c>
      <c r="DL13" s="611">
        <f t="shared" si="86"/>
        <v>-3.2593800001077398</v>
      </c>
      <c r="DM13" s="556"/>
      <c r="DO13" s="568">
        <f t="shared" si="90"/>
        <v>1023594.4280000001</v>
      </c>
      <c r="DP13" s="634">
        <f t="shared" si="87"/>
        <v>470851.2099999999</v>
      </c>
      <c r="DQ13" s="592">
        <f t="shared" si="88"/>
        <v>0.45999782445083792</v>
      </c>
      <c r="DR13" s="605">
        <f t="shared" si="89"/>
        <v>8.3344956826287547E-3</v>
      </c>
      <c r="DS13" s="658">
        <f t="shared" si="91"/>
        <v>3.8338498819041286E-3</v>
      </c>
    </row>
    <row r="14" spans="1:123" outlineLevel="1">
      <c r="A14" s="556" t="s">
        <v>432</v>
      </c>
      <c r="B14" s="632"/>
      <c r="C14" s="631"/>
      <c r="D14" s="609" t="s">
        <v>12</v>
      </c>
      <c r="E14" s="568">
        <v>0</v>
      </c>
      <c r="F14" s="634">
        <v>0</v>
      </c>
      <c r="G14" s="592">
        <f t="shared" si="0"/>
        <v>0</v>
      </c>
      <c r="H14" s="605">
        <f t="shared" si="1"/>
        <v>0</v>
      </c>
      <c r="I14" s="592">
        <f t="shared" si="2"/>
        <v>0</v>
      </c>
      <c r="J14" s="633">
        <f t="shared" si="3"/>
        <v>0</v>
      </c>
      <c r="K14" s="633">
        <f t="shared" si="4"/>
        <v>0</v>
      </c>
      <c r="L14" s="607">
        <v>12.272729999999999</v>
      </c>
      <c r="M14" s="606">
        <v>0</v>
      </c>
      <c r="N14" s="615">
        <f t="shared" si="5"/>
        <v>0</v>
      </c>
      <c r="O14" s="614">
        <f t="shared" si="6"/>
        <v>0</v>
      </c>
      <c r="P14" s="613">
        <f t="shared" si="7"/>
        <v>0</v>
      </c>
      <c r="Q14" s="598">
        <f t="shared" si="8"/>
        <v>0</v>
      </c>
      <c r="R14" s="612">
        <f t="shared" si="9"/>
        <v>0</v>
      </c>
      <c r="S14" s="612">
        <f t="shared" si="10"/>
        <v>0</v>
      </c>
      <c r="T14" s="611">
        <f t="shared" si="11"/>
        <v>0</v>
      </c>
      <c r="U14" s="568">
        <v>0</v>
      </c>
      <c r="V14" s="634">
        <v>0</v>
      </c>
      <c r="W14" s="592">
        <f t="shared" si="12"/>
        <v>0</v>
      </c>
      <c r="X14" s="605">
        <f t="shared" si="13"/>
        <v>0</v>
      </c>
      <c r="Y14" s="592">
        <f t="shared" si="92"/>
        <v>0</v>
      </c>
      <c r="Z14" s="633">
        <f t="shared" si="15"/>
        <v>0</v>
      </c>
      <c r="AA14" s="633">
        <f t="shared" si="16"/>
        <v>0</v>
      </c>
      <c r="AB14" s="607">
        <v>12.272729999999999</v>
      </c>
      <c r="AC14" s="606">
        <v>0</v>
      </c>
      <c r="AD14" s="615">
        <f t="shared" si="17"/>
        <v>0</v>
      </c>
      <c r="AE14" s="614">
        <f t="shared" si="18"/>
        <v>0</v>
      </c>
      <c r="AF14" s="613">
        <f t="shared" si="19"/>
        <v>0</v>
      </c>
      <c r="AG14" s="598">
        <f t="shared" si="20"/>
        <v>0</v>
      </c>
      <c r="AH14" s="612">
        <f t="shared" si="21"/>
        <v>0</v>
      </c>
      <c r="AI14" s="612">
        <f t="shared" si="22"/>
        <v>0</v>
      </c>
      <c r="AJ14" s="611">
        <f t="shared" si="23"/>
        <v>0</v>
      </c>
      <c r="AK14" s="568">
        <v>0</v>
      </c>
      <c r="AL14" s="634">
        <v>0</v>
      </c>
      <c r="AM14" s="592">
        <f t="shared" si="24"/>
        <v>0</v>
      </c>
      <c r="AN14" s="605">
        <f t="shared" si="25"/>
        <v>0</v>
      </c>
      <c r="AO14" s="592">
        <f t="shared" si="26"/>
        <v>0</v>
      </c>
      <c r="AP14" s="617">
        <f t="shared" si="27"/>
        <v>0</v>
      </c>
      <c r="AQ14" s="633">
        <f t="shared" si="28"/>
        <v>0</v>
      </c>
      <c r="AR14" s="607">
        <v>12.272729999999999</v>
      </c>
      <c r="AS14" s="606">
        <v>0</v>
      </c>
      <c r="AT14" s="615">
        <f t="shared" si="29"/>
        <v>0</v>
      </c>
      <c r="AU14" s="614">
        <f t="shared" si="30"/>
        <v>0</v>
      </c>
      <c r="AV14" s="613">
        <f t="shared" si="31"/>
        <v>0</v>
      </c>
      <c r="AW14" s="598">
        <f t="shared" si="32"/>
        <v>0</v>
      </c>
      <c r="AX14" s="612">
        <f t="shared" si="33"/>
        <v>0</v>
      </c>
      <c r="AY14" s="612">
        <f t="shared" si="34"/>
        <v>0</v>
      </c>
      <c r="AZ14" s="611">
        <f t="shared" si="35"/>
        <v>0</v>
      </c>
      <c r="BA14" s="568">
        <v>12333.849</v>
      </c>
      <c r="BB14" s="634">
        <v>142066.41</v>
      </c>
      <c r="BC14" s="592">
        <f t="shared" si="36"/>
        <v>11.51841651377441</v>
      </c>
      <c r="BD14" s="605">
        <f t="shared" si="37"/>
        <v>1.9566171081562139E-2</v>
      </c>
      <c r="BE14" s="592">
        <f t="shared" si="38"/>
        <v>0.22537130809720068</v>
      </c>
      <c r="BF14" s="617">
        <f t="shared" si="39"/>
        <v>3151.83</v>
      </c>
      <c r="BG14" s="633">
        <f t="shared" si="40"/>
        <v>38681.558595899995</v>
      </c>
      <c r="BH14" s="607">
        <v>12.272729999999999</v>
      </c>
      <c r="BI14" s="606">
        <v>5.0000000000000001E-3</v>
      </c>
      <c r="BJ14" s="615">
        <f t="shared" si="41"/>
        <v>6.1363649999999992E-2</v>
      </c>
      <c r="BK14" s="614">
        <f t="shared" si="42"/>
        <v>151369.99863776998</v>
      </c>
      <c r="BL14" s="613">
        <f t="shared" si="43"/>
        <v>0.24013033481782009</v>
      </c>
      <c r="BM14" s="598">
        <f t="shared" si="44"/>
        <v>9182.0190000000002</v>
      </c>
      <c r="BN14" s="612">
        <f t="shared" si="45"/>
        <v>103384.85140410002</v>
      </c>
      <c r="BO14" s="612">
        <f t="shared" si="46"/>
        <v>112688.44004187</v>
      </c>
      <c r="BP14" s="611">
        <f t="shared" si="47"/>
        <v>-9303.588637769979</v>
      </c>
      <c r="BQ14" s="568">
        <v>0</v>
      </c>
      <c r="BR14" s="634">
        <v>0</v>
      </c>
      <c r="BS14" s="592">
        <f t="shared" si="48"/>
        <v>0</v>
      </c>
      <c r="BT14" s="605">
        <f t="shared" si="49"/>
        <v>0</v>
      </c>
      <c r="BU14" s="592">
        <f t="shared" si="50"/>
        <v>0</v>
      </c>
      <c r="BV14" s="617">
        <f t="shared" si="51"/>
        <v>0</v>
      </c>
      <c r="BW14" s="633">
        <f t="shared" si="52"/>
        <v>0</v>
      </c>
      <c r="BX14" s="607">
        <v>12.272729999999999</v>
      </c>
      <c r="BY14" s="606">
        <v>0</v>
      </c>
      <c r="BZ14" s="615">
        <f t="shared" si="53"/>
        <v>0</v>
      </c>
      <c r="CA14" s="614">
        <f t="shared" si="54"/>
        <v>0</v>
      </c>
      <c r="CB14" s="613">
        <f t="shared" si="55"/>
        <v>0</v>
      </c>
      <c r="CC14" s="598">
        <f t="shared" si="56"/>
        <v>0</v>
      </c>
      <c r="CD14" s="612">
        <f t="shared" si="57"/>
        <v>0</v>
      </c>
      <c r="CE14" s="612">
        <f t="shared" si="58"/>
        <v>0</v>
      </c>
      <c r="CF14" s="611">
        <f t="shared" si="59"/>
        <v>0</v>
      </c>
      <c r="CG14" s="568">
        <v>0</v>
      </c>
      <c r="CH14" s="634">
        <v>0</v>
      </c>
      <c r="CI14" s="592">
        <f t="shared" si="60"/>
        <v>0</v>
      </c>
      <c r="CJ14" s="605">
        <f t="shared" si="61"/>
        <v>0</v>
      </c>
      <c r="CK14" s="592">
        <f t="shared" si="62"/>
        <v>0</v>
      </c>
      <c r="CL14" s="617">
        <f t="shared" si="63"/>
        <v>0</v>
      </c>
      <c r="CM14" s="633">
        <f t="shared" si="64"/>
        <v>0</v>
      </c>
      <c r="CN14" s="607">
        <v>12.272729999999999</v>
      </c>
      <c r="CO14" s="606">
        <v>0</v>
      </c>
      <c r="CP14" s="615">
        <f t="shared" si="65"/>
        <v>0</v>
      </c>
      <c r="CQ14" s="614">
        <f t="shared" si="66"/>
        <v>0</v>
      </c>
      <c r="CR14" s="613">
        <f t="shared" si="67"/>
        <v>0</v>
      </c>
      <c r="CS14" s="598">
        <f t="shared" si="68"/>
        <v>0</v>
      </c>
      <c r="CT14" s="612">
        <f t="shared" si="69"/>
        <v>0</v>
      </c>
      <c r="CU14" s="612">
        <f t="shared" si="70"/>
        <v>0</v>
      </c>
      <c r="CV14" s="611">
        <f t="shared" si="71"/>
        <v>0</v>
      </c>
      <c r="CW14" s="568">
        <f t="shared" si="72"/>
        <v>12333.849</v>
      </c>
      <c r="CX14" s="634">
        <f t="shared" si="73"/>
        <v>142066.41</v>
      </c>
      <c r="CY14" s="592">
        <f t="shared" si="74"/>
        <v>11.51841651377441</v>
      </c>
      <c r="CZ14" s="605">
        <f t="shared" si="75"/>
        <v>8.3644915134941948E-5</v>
      </c>
      <c r="DA14" s="592">
        <f t="shared" si="76"/>
        <v>9.6345697178357441E-4</v>
      </c>
      <c r="DB14" s="617">
        <f t="shared" si="77"/>
        <v>3151.83</v>
      </c>
      <c r="DC14" s="633">
        <f t="shared" si="78"/>
        <v>38681.558595899995</v>
      </c>
      <c r="DD14" s="615">
        <v>12.272729999999999</v>
      </c>
      <c r="DE14" s="616">
        <f t="shared" si="79"/>
        <v>2.1374880855908327E-5</v>
      </c>
      <c r="DF14" s="615">
        <f t="shared" si="80"/>
        <v>2.6232814152673178E-4</v>
      </c>
      <c r="DG14" s="614">
        <f t="shared" si="81"/>
        <v>151369.99863776998</v>
      </c>
      <c r="DH14" s="613">
        <f t="shared" si="82"/>
        <v>1.0265514593240559E-3</v>
      </c>
      <c r="DI14" s="598">
        <f t="shared" si="83"/>
        <v>9182.0190000000002</v>
      </c>
      <c r="DJ14" s="612">
        <f t="shared" si="84"/>
        <v>103384.85140410002</v>
      </c>
      <c r="DK14" s="612">
        <f t="shared" si="85"/>
        <v>112688.44004187</v>
      </c>
      <c r="DL14" s="611">
        <f t="shared" si="86"/>
        <v>-9303.588637769979</v>
      </c>
      <c r="DM14" s="556"/>
      <c r="DO14" s="568">
        <f t="shared" si="90"/>
        <v>12333.849</v>
      </c>
      <c r="DP14" s="634">
        <f t="shared" si="87"/>
        <v>142066.41</v>
      </c>
      <c r="DQ14" s="592">
        <f t="shared" si="88"/>
        <v>11.51841651377441</v>
      </c>
      <c r="DR14" s="605">
        <f t="shared" si="89"/>
        <v>1.0042689607205929E-4</v>
      </c>
      <c r="DS14" s="658">
        <f t="shared" si="91"/>
        <v>1.1567588181435142E-3</v>
      </c>
    </row>
    <row r="15" spans="1:123" ht="17.25" outlineLevel="1">
      <c r="A15" s="556" t="s">
        <v>431</v>
      </c>
      <c r="B15" s="632"/>
      <c r="C15" s="631"/>
      <c r="D15" s="609" t="s">
        <v>12</v>
      </c>
      <c r="E15" s="568">
        <v>4227327.2429999998</v>
      </c>
      <c r="F15" s="630">
        <v>369892.37</v>
      </c>
      <c r="G15" s="592">
        <f t="shared" si="0"/>
        <v>8.7500292439508215E-2</v>
      </c>
      <c r="H15" s="605">
        <f t="shared" si="1"/>
        <v>0.27359570532651606</v>
      </c>
      <c r="I15" s="591">
        <f t="shared" si="2"/>
        <v>2.3939704226263674E-2</v>
      </c>
      <c r="J15" s="604">
        <f t="shared" si="3"/>
        <v>3321965</v>
      </c>
      <c r="K15" s="603">
        <f t="shared" si="4"/>
        <v>200912.44320000001</v>
      </c>
      <c r="L15" s="607">
        <v>6.0479999999999999E-2</v>
      </c>
      <c r="M15" s="606">
        <v>0.215</v>
      </c>
      <c r="N15" s="601">
        <f t="shared" si="5"/>
        <v>1.3003200000000001E-2</v>
      </c>
      <c r="O15" s="600">
        <f t="shared" si="6"/>
        <v>255668.75165663997</v>
      </c>
      <c r="P15" s="599">
        <f t="shared" si="7"/>
        <v>1.6547068258147692E-2</v>
      </c>
      <c r="Q15" s="598">
        <f t="shared" si="8"/>
        <v>905362.24299999978</v>
      </c>
      <c r="R15" s="597">
        <f t="shared" si="9"/>
        <v>168979.92679999999</v>
      </c>
      <c r="S15" s="597">
        <f t="shared" si="10"/>
        <v>54756.308456639985</v>
      </c>
      <c r="T15" s="596">
        <f t="shared" si="11"/>
        <v>114223.61834336002</v>
      </c>
      <c r="U15" s="568">
        <v>2993881.0109999999</v>
      </c>
      <c r="V15" s="630">
        <v>261380.30000000002</v>
      </c>
      <c r="W15" s="592">
        <f t="shared" si="12"/>
        <v>8.7304839116734034E-2</v>
      </c>
      <c r="X15" s="605">
        <f t="shared" si="13"/>
        <v>0.35728908377604413</v>
      </c>
      <c r="Y15" s="591">
        <f t="shared" si="92"/>
        <v>3.1193065977232839E-2</v>
      </c>
      <c r="Z15" s="604">
        <f t="shared" si="15"/>
        <v>2329483.2080000001</v>
      </c>
      <c r="AA15" s="603">
        <f t="shared" si="16"/>
        <v>140887.14441984001</v>
      </c>
      <c r="AB15" s="607">
        <v>6.0479999999999999E-2</v>
      </c>
      <c r="AC15" s="606">
        <v>0.27800000000000002</v>
      </c>
      <c r="AD15" s="601">
        <f t="shared" si="17"/>
        <v>1.6813440000000002E-2</v>
      </c>
      <c r="AE15" s="600">
        <f t="shared" si="18"/>
        <v>181069.92354528001</v>
      </c>
      <c r="AF15" s="599">
        <f t="shared" si="19"/>
        <v>2.1608843786775148E-2</v>
      </c>
      <c r="AG15" s="598">
        <f t="shared" si="20"/>
        <v>664397.80299999984</v>
      </c>
      <c r="AH15" s="597">
        <f t="shared" si="21"/>
        <v>120493.15558016</v>
      </c>
      <c r="AI15" s="597">
        <f t="shared" si="22"/>
        <v>40182.779125439993</v>
      </c>
      <c r="AJ15" s="596">
        <f t="shared" si="23"/>
        <v>80310.376454720012</v>
      </c>
      <c r="AK15" s="568">
        <v>0</v>
      </c>
      <c r="AL15" s="630">
        <v>0</v>
      </c>
      <c r="AM15" s="592">
        <f t="shared" si="24"/>
        <v>0</v>
      </c>
      <c r="AN15" s="605">
        <f t="shared" si="25"/>
        <v>0</v>
      </c>
      <c r="AO15" s="591">
        <f t="shared" si="26"/>
        <v>0</v>
      </c>
      <c r="AP15" s="604">
        <f t="shared" si="27"/>
        <v>0</v>
      </c>
      <c r="AQ15" s="603">
        <f t="shared" si="28"/>
        <v>0</v>
      </c>
      <c r="AR15" s="607">
        <v>6.0479999999999999E-2</v>
      </c>
      <c r="AS15" s="606">
        <v>0</v>
      </c>
      <c r="AT15" s="601">
        <f t="shared" si="29"/>
        <v>0</v>
      </c>
      <c r="AU15" s="600">
        <f t="shared" si="30"/>
        <v>0</v>
      </c>
      <c r="AV15" s="599">
        <f t="shared" si="31"/>
        <v>0</v>
      </c>
      <c r="AW15" s="598">
        <f t="shared" si="32"/>
        <v>0</v>
      </c>
      <c r="AX15" s="597">
        <f t="shared" si="33"/>
        <v>0</v>
      </c>
      <c r="AY15" s="597">
        <f t="shared" si="34"/>
        <v>0</v>
      </c>
      <c r="AZ15" s="596">
        <f t="shared" si="35"/>
        <v>0</v>
      </c>
      <c r="BA15" s="568">
        <v>0</v>
      </c>
      <c r="BB15" s="630">
        <v>0</v>
      </c>
      <c r="BC15" s="592">
        <f t="shared" si="36"/>
        <v>0</v>
      </c>
      <c r="BD15" s="605">
        <f t="shared" si="37"/>
        <v>0</v>
      </c>
      <c r="BE15" s="591">
        <f t="shared" si="38"/>
        <v>0</v>
      </c>
      <c r="BF15" s="604">
        <f t="shared" si="39"/>
        <v>0</v>
      </c>
      <c r="BG15" s="603">
        <f t="shared" si="40"/>
        <v>0</v>
      </c>
      <c r="BH15" s="607">
        <v>6.0479999999999999E-2</v>
      </c>
      <c r="BI15" s="606">
        <v>0</v>
      </c>
      <c r="BJ15" s="601">
        <f t="shared" si="41"/>
        <v>0</v>
      </c>
      <c r="BK15" s="600">
        <f t="shared" si="42"/>
        <v>0</v>
      </c>
      <c r="BL15" s="599">
        <f t="shared" si="43"/>
        <v>0</v>
      </c>
      <c r="BM15" s="598">
        <f t="shared" si="44"/>
        <v>0</v>
      </c>
      <c r="BN15" s="597">
        <f t="shared" si="45"/>
        <v>0</v>
      </c>
      <c r="BO15" s="597">
        <f t="shared" si="46"/>
        <v>0</v>
      </c>
      <c r="BP15" s="596">
        <f t="shared" si="47"/>
        <v>0</v>
      </c>
      <c r="BQ15" s="568">
        <v>0</v>
      </c>
      <c r="BR15" s="630">
        <v>0</v>
      </c>
      <c r="BS15" s="592">
        <f t="shared" si="48"/>
        <v>0</v>
      </c>
      <c r="BT15" s="605">
        <f t="shared" si="49"/>
        <v>0</v>
      </c>
      <c r="BU15" s="591">
        <f t="shared" si="50"/>
        <v>0</v>
      </c>
      <c r="BV15" s="604">
        <f t="shared" si="51"/>
        <v>0</v>
      </c>
      <c r="BW15" s="603">
        <f t="shared" si="52"/>
        <v>0</v>
      </c>
      <c r="BX15" s="607">
        <v>6.0479999999999999E-2</v>
      </c>
      <c r="BY15" s="606">
        <v>0</v>
      </c>
      <c r="BZ15" s="601">
        <f t="shared" si="53"/>
        <v>0</v>
      </c>
      <c r="CA15" s="600">
        <f t="shared" si="54"/>
        <v>0</v>
      </c>
      <c r="CB15" s="599">
        <f t="shared" si="55"/>
        <v>0</v>
      </c>
      <c r="CC15" s="598">
        <f t="shared" si="56"/>
        <v>0</v>
      </c>
      <c r="CD15" s="597">
        <f t="shared" si="57"/>
        <v>0</v>
      </c>
      <c r="CE15" s="597">
        <f t="shared" si="58"/>
        <v>0</v>
      </c>
      <c r="CF15" s="596">
        <f t="shared" si="59"/>
        <v>0</v>
      </c>
      <c r="CG15" s="568">
        <v>0</v>
      </c>
      <c r="CH15" s="630">
        <v>0</v>
      </c>
      <c r="CI15" s="592">
        <f t="shared" si="60"/>
        <v>0</v>
      </c>
      <c r="CJ15" s="605">
        <f t="shared" si="61"/>
        <v>0</v>
      </c>
      <c r="CK15" s="591">
        <f t="shared" si="62"/>
        <v>0</v>
      </c>
      <c r="CL15" s="604">
        <f t="shared" si="63"/>
        <v>0</v>
      </c>
      <c r="CM15" s="603">
        <f t="shared" si="64"/>
        <v>0</v>
      </c>
      <c r="CN15" s="607">
        <v>6.0479999999999999E-2</v>
      </c>
      <c r="CO15" s="606">
        <v>0</v>
      </c>
      <c r="CP15" s="601">
        <f t="shared" si="65"/>
        <v>0</v>
      </c>
      <c r="CQ15" s="600">
        <f t="shared" si="66"/>
        <v>0</v>
      </c>
      <c r="CR15" s="599">
        <f t="shared" si="67"/>
        <v>0</v>
      </c>
      <c r="CS15" s="598">
        <f t="shared" si="68"/>
        <v>0</v>
      </c>
      <c r="CT15" s="597">
        <f t="shared" si="69"/>
        <v>0</v>
      </c>
      <c r="CU15" s="597">
        <f t="shared" si="70"/>
        <v>0</v>
      </c>
      <c r="CV15" s="596">
        <f t="shared" si="71"/>
        <v>0</v>
      </c>
      <c r="CW15" s="568">
        <f t="shared" si="72"/>
        <v>7221208.2539999997</v>
      </c>
      <c r="CX15" s="630">
        <f t="shared" si="73"/>
        <v>631272.67000000004</v>
      </c>
      <c r="CY15" s="592">
        <f t="shared" si="74"/>
        <v>8.7419258356151552E-2</v>
      </c>
      <c r="CZ15" s="605">
        <f t="shared" si="75"/>
        <v>4.8972332284720872E-2</v>
      </c>
      <c r="DA15" s="591">
        <f t="shared" si="76"/>
        <v>4.2811249683013157E-3</v>
      </c>
      <c r="DB15" s="604">
        <f t="shared" si="77"/>
        <v>5651448.2080000006</v>
      </c>
      <c r="DC15" s="603">
        <f t="shared" si="78"/>
        <v>341799.58761984005</v>
      </c>
      <c r="DD15" s="602">
        <v>0.32500000000000001</v>
      </c>
      <c r="DE15" s="575">
        <f t="shared" si="79"/>
        <v>3.8326633133556262E-2</v>
      </c>
      <c r="DF15" s="601">
        <f t="shared" si="80"/>
        <v>2.3179947719174829E-3</v>
      </c>
      <c r="DG15" s="600">
        <f t="shared" si="81"/>
        <v>436738.67520191998</v>
      </c>
      <c r="DH15" s="599">
        <f t="shared" si="82"/>
        <v>2.9618466565799182E-3</v>
      </c>
      <c r="DI15" s="598">
        <f t="shared" si="83"/>
        <v>1569760.0459999996</v>
      </c>
      <c r="DJ15" s="597">
        <f t="shared" si="84"/>
        <v>289473.08238015999</v>
      </c>
      <c r="DK15" s="597">
        <f t="shared" si="85"/>
        <v>94939.087582079985</v>
      </c>
      <c r="DL15" s="596">
        <f t="shared" si="86"/>
        <v>194533.99479808004</v>
      </c>
      <c r="DM15" s="556"/>
      <c r="DO15" s="568">
        <f t="shared" si="90"/>
        <v>0</v>
      </c>
      <c r="DP15" s="630">
        <f t="shared" si="87"/>
        <v>0</v>
      </c>
      <c r="DQ15" s="592">
        <f t="shared" si="88"/>
        <v>0</v>
      </c>
      <c r="DR15" s="605">
        <f t="shared" si="89"/>
        <v>0</v>
      </c>
      <c r="DS15" s="659">
        <f t="shared" si="91"/>
        <v>0</v>
      </c>
    </row>
    <row r="16" spans="1:123">
      <c r="A16" s="595" t="s">
        <v>373</v>
      </c>
      <c r="B16" s="629"/>
      <c r="C16" s="628"/>
      <c r="D16" s="609"/>
      <c r="E16" s="568"/>
      <c r="F16" s="143">
        <f>SUM(F3:F15)</f>
        <v>8981022.7799999993</v>
      </c>
      <c r="G16" s="592"/>
      <c r="H16" s="579"/>
      <c r="I16" s="592">
        <f>SUM(I3:I15)</f>
        <v>0.58125835091579836</v>
      </c>
      <c r="J16" s="621"/>
      <c r="K16" s="621">
        <f>SUM(K3:K15)</f>
        <v>7828463.6098799994</v>
      </c>
      <c r="L16" s="625"/>
      <c r="M16" s="624"/>
      <c r="N16" s="589">
        <f>SUM(N3:N15)</f>
        <v>0.50666387999999996</v>
      </c>
      <c r="O16" s="623">
        <f>SUM(O3:O15)</f>
        <v>8125900.215224429</v>
      </c>
      <c r="P16" s="622">
        <f>SUM(P3:P15)</f>
        <v>0.52591419424143615</v>
      </c>
      <c r="Q16" s="627"/>
      <c r="R16" s="598">
        <f>SUM(R3:R15)</f>
        <v>1152559.1701200001</v>
      </c>
      <c r="S16" s="598">
        <f>SUM(S3:S15)</f>
        <v>297436.6053444299</v>
      </c>
      <c r="T16" s="620">
        <f>SUM(T3:T15)</f>
        <v>855122.56477557041</v>
      </c>
      <c r="U16" s="568"/>
      <c r="V16" s="143">
        <f>SUM(V3:V15)</f>
        <v>1242555.08</v>
      </c>
      <c r="W16" s="592"/>
      <c r="X16" s="579"/>
      <c r="Y16" s="592">
        <f>SUM(Y3:Y15)</f>
        <v>0.1482862426540402</v>
      </c>
      <c r="Z16" s="621"/>
      <c r="AA16" s="621">
        <f>SUM(AA3:AA15)</f>
        <v>897100.15571227996</v>
      </c>
      <c r="AB16" s="625"/>
      <c r="AC16" s="624"/>
      <c r="AD16" s="589">
        <f>SUM(AD3:AD15)</f>
        <v>0.10705972999999999</v>
      </c>
      <c r="AE16" s="623">
        <f>SUM(AE3:AE15)</f>
        <v>949114.22499431996</v>
      </c>
      <c r="AF16" s="622">
        <f>SUM(AF3:AF15)</f>
        <v>0.11326707728232782</v>
      </c>
      <c r="AG16" s="627"/>
      <c r="AH16" s="598">
        <f>SUM(AH3:AH15)</f>
        <v>345454.92428772012</v>
      </c>
      <c r="AI16" s="598">
        <f>SUM(AI3:AI15)</f>
        <v>52014.069282040044</v>
      </c>
      <c r="AJ16" s="620">
        <f>SUM(AJ3:AJ15)</f>
        <v>293440.85500568012</v>
      </c>
      <c r="AK16" s="568"/>
      <c r="AL16" s="143">
        <f>SUM(AL3:AL15)</f>
        <v>5924564.7400000002</v>
      </c>
      <c r="AM16" s="592"/>
      <c r="AN16" s="579"/>
      <c r="AO16" s="592">
        <f>SUM(AO3:AO15)</f>
        <v>4.8917889727838434E-2</v>
      </c>
      <c r="AP16" s="621"/>
      <c r="AQ16" s="621">
        <f>SUM(AQ3:AQ15)</f>
        <v>4527182.8202999998</v>
      </c>
      <c r="AR16" s="625"/>
      <c r="AS16" s="624"/>
      <c r="AT16" s="589">
        <f>SUM(AT3:AT15)</f>
        <v>3.7380000000000004E-2</v>
      </c>
      <c r="AU16" s="623">
        <f>SUM(AU3:AU15)</f>
        <v>5007997.8916419214</v>
      </c>
      <c r="AV16" s="622">
        <f>SUM(AV3:AV15)</f>
        <v>4.1349989302435546E-2</v>
      </c>
      <c r="AW16" s="627"/>
      <c r="AX16" s="598">
        <f>SUM(AX3:AX15)</f>
        <v>1397381.9197</v>
      </c>
      <c r="AY16" s="598">
        <f>SUM(AY3:AY15)</f>
        <v>480815.07134192076</v>
      </c>
      <c r="AZ16" s="620">
        <f>SUM(AZ3:AZ15)</f>
        <v>916566.84835807956</v>
      </c>
      <c r="BA16" s="568"/>
      <c r="BB16" s="143">
        <f>SUM(BB3:BB15)</f>
        <v>176676.62</v>
      </c>
      <c r="BC16" s="592"/>
      <c r="BD16" s="579"/>
      <c r="BE16" s="592">
        <f>SUM(BE3:BE15)</f>
        <v>0.28027625220903413</v>
      </c>
      <c r="BF16" s="621"/>
      <c r="BG16" s="621">
        <f>SUM(BG3:BG15)</f>
        <v>62244.639675899991</v>
      </c>
      <c r="BH16" s="625"/>
      <c r="BI16" s="624"/>
      <c r="BJ16" s="589">
        <f>SUM(BJ3:BJ15)</f>
        <v>9.8743649999999988E-2</v>
      </c>
      <c r="BK16" s="623">
        <f>SUM(BK3:BK15)</f>
        <v>179821.83890087999</v>
      </c>
      <c r="BL16" s="622">
        <f>SUM(BL3:BL15)</f>
        <v>0.28526576449377028</v>
      </c>
      <c r="BM16" s="627"/>
      <c r="BN16" s="598">
        <f>SUM(BN3:BN15)</f>
        <v>114431.98032410002</v>
      </c>
      <c r="BO16" s="598">
        <f>SUM(BO3:BO15)</f>
        <v>117577.19922498</v>
      </c>
      <c r="BP16" s="620">
        <f>SUM(BP3:BP15)</f>
        <v>-3145.2189008799814</v>
      </c>
      <c r="BQ16" s="568"/>
      <c r="BR16" s="143">
        <f>SUM(BR3:BR15)</f>
        <v>198262.30000000002</v>
      </c>
      <c r="BS16" s="592"/>
      <c r="BT16" s="579"/>
      <c r="BU16" s="592">
        <f>SUM(BU3:BU15)</f>
        <v>0.18504974799327983</v>
      </c>
      <c r="BV16" s="621"/>
      <c r="BW16" s="621">
        <f>SUM(BW3:BW15)</f>
        <v>40048.932000000001</v>
      </c>
      <c r="BX16" s="625"/>
      <c r="BY16" s="624"/>
      <c r="BZ16" s="589">
        <f>SUM(BZ3:BZ15)</f>
        <v>3.7380000000000004E-2</v>
      </c>
      <c r="CA16" s="623">
        <f>SUM(CA3:CA15)</f>
        <v>191332.34760000001</v>
      </c>
      <c r="CB16" s="622">
        <f>SUM(CB3:CB15)</f>
        <v>0.17858161993653165</v>
      </c>
      <c r="CC16" s="627"/>
      <c r="CD16" s="598">
        <f>SUM(CD3:CD15)</f>
        <v>158213.36800000002</v>
      </c>
      <c r="CE16" s="598">
        <f>SUM(CE3:CE15)</f>
        <v>151283.41560000001</v>
      </c>
      <c r="CF16" s="620">
        <f>SUM(CF3:CF15)</f>
        <v>6929.9523999999847</v>
      </c>
      <c r="CG16" s="568"/>
      <c r="CH16" s="143">
        <f>SUM(CH3:CH15)</f>
        <v>16808.16</v>
      </c>
      <c r="CI16" s="592"/>
      <c r="CJ16" s="579"/>
      <c r="CK16" s="592">
        <f>SUM(CK3:CK15)</f>
        <v>2.0745180321394188E-2</v>
      </c>
      <c r="CL16" s="621"/>
      <c r="CM16" s="621">
        <f>SUM(CM3:CM15)</f>
        <v>10545.013300000001</v>
      </c>
      <c r="CN16" s="625"/>
      <c r="CO16" s="624"/>
      <c r="CP16" s="589">
        <f>SUM(CP3:CP15)</f>
        <v>1.3015000000000001E-2</v>
      </c>
      <c r="CQ16" s="623">
        <f>SUM(CQ3:CQ15)</f>
        <v>13597.197346150002</v>
      </c>
      <c r="CR16" s="622">
        <f>SUM(CR3:CR15)</f>
        <v>1.6782105287637926E-2</v>
      </c>
      <c r="CS16" s="627"/>
      <c r="CT16" s="598">
        <f>SUM(CT3:CT15)</f>
        <v>6263.1467000000002</v>
      </c>
      <c r="CU16" s="598">
        <f>SUM(CU3:CU15)</f>
        <v>3052.1840461499996</v>
      </c>
      <c r="CV16" s="620">
        <f>SUM(CV3:CV15)</f>
        <v>3210.9626538499992</v>
      </c>
      <c r="CW16" s="568"/>
      <c r="CX16" s="143">
        <f>SUM(CX3:CX15)</f>
        <v>16539889.680000002</v>
      </c>
      <c r="CY16" s="592"/>
      <c r="CZ16" s="579"/>
      <c r="DA16" s="592">
        <f>SUM(DA3:DA15)</f>
        <v>0.11216917513948015</v>
      </c>
      <c r="DB16" s="621"/>
      <c r="DC16" s="621">
        <f>SUM(DC3:DC15)</f>
        <v>13365585.170868179</v>
      </c>
      <c r="DD16" s="589"/>
      <c r="DE16" s="588"/>
      <c r="DF16" s="589">
        <f>SUM(DF3:DF15)</f>
        <v>9.0641878082511576E-2</v>
      </c>
      <c r="DG16" s="623">
        <f>SUM(DG3:DG15)</f>
        <v>14467763.715707701</v>
      </c>
      <c r="DH16" s="622">
        <f>SUM(DH3:DH15)</f>
        <v>9.8116562655563802E-2</v>
      </c>
      <c r="DI16" s="627"/>
      <c r="DJ16" s="598">
        <f>SUM(DJ3:DJ15)</f>
        <v>3174304.5091318199</v>
      </c>
      <c r="DK16" s="598">
        <f>SUM(DK3:DK15)</f>
        <v>1102178.5448395205</v>
      </c>
      <c r="DL16" s="620">
        <f>SUM(DL3:DL15)</f>
        <v>2072125.9642923002</v>
      </c>
      <c r="DM16" s="556"/>
      <c r="DO16" s="568"/>
      <c r="DP16" s="143">
        <f>SUM(DP3:DP15)</f>
        <v>6299503.6600000001</v>
      </c>
      <c r="DQ16" s="592"/>
      <c r="DR16" s="579"/>
      <c r="DS16" s="658">
        <f>SUM(DS3:DS15)</f>
        <v>5.129295805132502E-2</v>
      </c>
    </row>
    <row r="17" spans="1:123" ht="7.15" customHeight="1">
      <c r="A17" s="556"/>
      <c r="D17" s="609"/>
      <c r="E17" s="568"/>
      <c r="F17" s="143"/>
      <c r="G17" s="592"/>
      <c r="H17" s="579"/>
      <c r="I17" s="592"/>
      <c r="J17" s="621"/>
      <c r="K17" s="621"/>
      <c r="L17" s="625"/>
      <c r="M17" s="624"/>
      <c r="N17" s="589"/>
      <c r="O17" s="623"/>
      <c r="P17" s="622"/>
      <c r="Q17" s="627"/>
      <c r="R17" s="598"/>
      <c r="S17" s="598"/>
      <c r="T17" s="620"/>
      <c r="U17" s="568"/>
      <c r="V17" s="143"/>
      <c r="W17" s="592"/>
      <c r="X17" s="579"/>
      <c r="Y17" s="592"/>
      <c r="Z17" s="621"/>
      <c r="AA17" s="621"/>
      <c r="AB17" s="625"/>
      <c r="AC17" s="624"/>
      <c r="AD17" s="589"/>
      <c r="AE17" s="623"/>
      <c r="AF17" s="622"/>
      <c r="AG17" s="627"/>
      <c r="AH17" s="598"/>
      <c r="AI17" s="598"/>
      <c r="AJ17" s="620"/>
      <c r="AK17" s="568"/>
      <c r="AL17" s="143"/>
      <c r="AM17" s="592"/>
      <c r="AN17" s="579"/>
      <c r="AO17" s="592"/>
      <c r="AP17" s="621"/>
      <c r="AQ17" s="621"/>
      <c r="AR17" s="625"/>
      <c r="AS17" s="624"/>
      <c r="AT17" s="589"/>
      <c r="AU17" s="623"/>
      <c r="AV17" s="622"/>
      <c r="AW17" s="627"/>
      <c r="AX17" s="598"/>
      <c r="AY17" s="598"/>
      <c r="AZ17" s="620"/>
      <c r="BA17" s="568"/>
      <c r="BB17" s="143"/>
      <c r="BC17" s="592"/>
      <c r="BD17" s="579"/>
      <c r="BE17" s="592"/>
      <c r="BF17" s="621"/>
      <c r="BG17" s="621"/>
      <c r="BH17" s="625"/>
      <c r="BI17" s="624"/>
      <c r="BJ17" s="589"/>
      <c r="BK17" s="623"/>
      <c r="BL17" s="622"/>
      <c r="BM17" s="627"/>
      <c r="BN17" s="598"/>
      <c r="BO17" s="598"/>
      <c r="BP17" s="620"/>
      <c r="BQ17" s="568"/>
      <c r="BR17" s="143"/>
      <c r="BS17" s="592"/>
      <c r="BT17" s="579"/>
      <c r="BU17" s="592"/>
      <c r="BV17" s="621"/>
      <c r="BW17" s="621"/>
      <c r="BX17" s="625"/>
      <c r="BY17" s="624"/>
      <c r="BZ17" s="589"/>
      <c r="CA17" s="623"/>
      <c r="CB17" s="622"/>
      <c r="CC17" s="627"/>
      <c r="CD17" s="598"/>
      <c r="CE17" s="598"/>
      <c r="CF17" s="620"/>
      <c r="CG17" s="568"/>
      <c r="CH17" s="143"/>
      <c r="CI17" s="592"/>
      <c r="CJ17" s="579"/>
      <c r="CK17" s="592"/>
      <c r="CL17" s="621"/>
      <c r="CM17" s="621"/>
      <c r="CN17" s="625"/>
      <c r="CO17" s="624"/>
      <c r="CP17" s="589"/>
      <c r="CQ17" s="623"/>
      <c r="CR17" s="622"/>
      <c r="CS17" s="627"/>
      <c r="CT17" s="598"/>
      <c r="CU17" s="598"/>
      <c r="CV17" s="620"/>
      <c r="CW17" s="568"/>
      <c r="CX17" s="143" t="s">
        <v>0</v>
      </c>
      <c r="CY17" s="592"/>
      <c r="CZ17" s="579"/>
      <c r="DA17" s="592"/>
      <c r="DB17" s="621"/>
      <c r="DC17" s="621"/>
      <c r="DD17" s="589"/>
      <c r="DE17" s="588"/>
      <c r="DF17" s="589"/>
      <c r="DG17" s="623"/>
      <c r="DH17" s="622"/>
      <c r="DI17" s="627"/>
      <c r="DJ17" s="598"/>
      <c r="DK17" s="598"/>
      <c r="DL17" s="620"/>
      <c r="DM17" s="556"/>
      <c r="DO17" s="568"/>
      <c r="DP17" s="143" t="s">
        <v>0</v>
      </c>
      <c r="DQ17" s="592"/>
      <c r="DR17" s="579"/>
      <c r="DS17" s="658"/>
    </row>
    <row r="18" spans="1:123">
      <c r="A18" s="556" t="s">
        <v>5</v>
      </c>
      <c r="B18" s="143">
        <v>27780185</v>
      </c>
      <c r="C18" s="259">
        <v>2117564.2200000002</v>
      </c>
      <c r="D18" s="609" t="s">
        <v>6</v>
      </c>
      <c r="E18" s="626">
        <v>11514311.178000001</v>
      </c>
      <c r="F18" s="143">
        <v>851169.32000000007</v>
      </c>
      <c r="G18" s="608">
        <f>IF(E18&lt;&gt;0,F18/E18,0)</f>
        <v>7.3922730317233398E-2</v>
      </c>
      <c r="H18" s="605">
        <f>IF(E$32&lt;&gt;0,E18/E$32,0)</f>
        <v>0.74521462546113526</v>
      </c>
      <c r="I18" s="592">
        <f>IF($E$32&lt;&gt;0,F18/$E$32,0)</f>
        <v>5.5088299786421595E-2</v>
      </c>
      <c r="J18" s="617">
        <f>E$32*M18</f>
        <v>11625332.399999999</v>
      </c>
      <c r="K18" s="617">
        <f>J18*L18</f>
        <v>803778.10297107557</v>
      </c>
      <c r="L18" s="607">
        <v>6.9140225441732373E-2</v>
      </c>
      <c r="M18" s="606">
        <f>0.7524</f>
        <v>0.75239999999999996</v>
      </c>
      <c r="N18" s="615">
        <f>IF($E$32&lt;&gt;0,K18/$E$32,L18*M18)</f>
        <v>5.2021105622359433E-2</v>
      </c>
      <c r="O18" s="614">
        <f>E18*L18</f>
        <v>796102.07065317908</v>
      </c>
      <c r="P18" s="613">
        <f>IF($E$32&lt;&gt;0,O18/$E$32,0)</f>
        <v>5.1524307206859042E-2</v>
      </c>
      <c r="Q18" s="598">
        <f t="shared" ref="Q18:R22" si="93">E18-J18</f>
        <v>-111021.22199999727</v>
      </c>
      <c r="R18" s="612">
        <f t="shared" si="93"/>
        <v>47391.217028924497</v>
      </c>
      <c r="S18" s="612">
        <f>Q18*L18</f>
        <v>-7676.032317896429</v>
      </c>
      <c r="T18" s="611">
        <f>F18-O18</f>
        <v>55067.249346820987</v>
      </c>
      <c r="U18" s="626">
        <v>5947329.6919999998</v>
      </c>
      <c r="V18" s="143">
        <v>444386.42</v>
      </c>
      <c r="W18" s="592">
        <f>IF(U18&lt;&gt;0,V18/U18,0)</f>
        <v>7.4720327107098611E-2</v>
      </c>
      <c r="X18" s="605">
        <f>IF(U$32&lt;&gt;0,U18/U$32,0)</f>
        <v>0.7097529824202965</v>
      </c>
      <c r="Y18" s="592">
        <f>IF($U$32&lt;&gt;0,V18/$U$32,0)</f>
        <v>5.3032975011683359E-2</v>
      </c>
      <c r="Z18" s="617">
        <f>U$32*AC18</f>
        <v>6304687.6464</v>
      </c>
      <c r="AA18" s="617">
        <f>Z18*AB18</f>
        <v>435023.44760160003</v>
      </c>
      <c r="AB18" s="607">
        <v>6.9000000000000006E-2</v>
      </c>
      <c r="AC18" s="606">
        <f>0.7524</f>
        <v>0.75239999999999996</v>
      </c>
      <c r="AD18" s="615">
        <f>IF($U$32&lt;&gt;0,AA18/$U$32,AB18*AC18)</f>
        <v>5.1915600000000006E-2</v>
      </c>
      <c r="AE18" s="614">
        <f>U18*AB18</f>
        <v>410365.74874800001</v>
      </c>
      <c r="AF18" s="613">
        <f>IF($U$32&lt;&gt;0,AE18/$U$32,0)</f>
        <v>4.8972955787000463E-2</v>
      </c>
      <c r="AG18" s="598">
        <f t="shared" ref="AG18:AH22" si="94">U18-Z18</f>
        <v>-357357.95440000016</v>
      </c>
      <c r="AH18" s="612">
        <f t="shared" si="94"/>
        <v>9362.9723983999575</v>
      </c>
      <c r="AI18" s="612">
        <f>AG18*AB18</f>
        <v>-24657.698853600014</v>
      </c>
      <c r="AJ18" s="611">
        <f>V18-AE18</f>
        <v>34020.671251999971</v>
      </c>
      <c r="AK18" s="626">
        <v>10208098.452</v>
      </c>
      <c r="AL18" s="143">
        <v>813686.23</v>
      </c>
      <c r="AM18" s="592">
        <f>IF(AK18&lt;&gt;0,AL18/AK18,0)</f>
        <v>7.9709872884364694E-2</v>
      </c>
      <c r="AN18" s="605">
        <f>IF(AK$32&lt;&gt;0,AK18/AK$32,0)</f>
        <v>8.4286130090605468E-2</v>
      </c>
      <c r="AO18" s="592">
        <f>IF($AK$32&lt;&gt;0,AL18/$AK$32,0)</f>
        <v>6.7184367154371882E-3</v>
      </c>
      <c r="AP18" s="617">
        <f>AK$32*AS18</f>
        <v>7751195.8399999999</v>
      </c>
      <c r="AQ18" s="617">
        <f>AP18*AR18</f>
        <v>534832.51296000008</v>
      </c>
      <c r="AR18" s="607">
        <v>6.9000000000000006E-2</v>
      </c>
      <c r="AS18" s="606">
        <v>6.4000000000000001E-2</v>
      </c>
      <c r="AT18" s="615">
        <f>IF($AK$32&lt;&gt;0,AQ18/$AK$32,AR18*AS18)</f>
        <v>4.4160000000000007E-3</v>
      </c>
      <c r="AU18" s="614">
        <f>AK18*AR18</f>
        <v>704358.79318799998</v>
      </c>
      <c r="AV18" s="613">
        <f>IF($AK$32&lt;&gt;0,AU18/$AK$32,0)</f>
        <v>5.8157429762517778E-3</v>
      </c>
      <c r="AW18" s="598">
        <f t="shared" ref="AW18:AX22" si="95">AK18-AP18</f>
        <v>2456902.6119999997</v>
      </c>
      <c r="AX18" s="612">
        <f t="shared" si="95"/>
        <v>278853.7170399999</v>
      </c>
      <c r="AY18" s="612">
        <f>AW18*AR18</f>
        <v>169526.28022799999</v>
      </c>
      <c r="AZ18" s="611">
        <f>+AL18-AU18</f>
        <v>109327.436812</v>
      </c>
      <c r="BA18" s="626">
        <v>39543.106</v>
      </c>
      <c r="BB18" s="143">
        <v>2881.5099999999998</v>
      </c>
      <c r="BC18" s="592">
        <f>IF(BA18&lt;&gt;0,BB18/BA18,0)</f>
        <v>7.2870097761162211E-2</v>
      </c>
      <c r="BD18" s="605">
        <f>IF(BA$32&lt;&gt;0,BA18/BA$32,0)</f>
        <v>6.27303915503057E-2</v>
      </c>
      <c r="BE18" s="592">
        <f>IF($BA$32&lt;&gt;0,BB18/$BA$32,0)</f>
        <v>4.5711697648667593E-3</v>
      </c>
      <c r="BF18" s="617">
        <f>BA$32*BI18</f>
        <v>40343.423999999999</v>
      </c>
      <c r="BG18" s="617">
        <f>BF18*BH18</f>
        <v>2783.6962560000002</v>
      </c>
      <c r="BH18" s="607">
        <v>6.9000000000000006E-2</v>
      </c>
      <c r="BI18" s="606">
        <v>6.4000000000000001E-2</v>
      </c>
      <c r="BJ18" s="615">
        <f>IF($BA$32&lt;&gt;0,BG18/$BA$32,BH18*BI18)</f>
        <v>4.4160000000000007E-3</v>
      </c>
      <c r="BK18" s="614">
        <f>BA18*BH18</f>
        <v>2728.474314</v>
      </c>
      <c r="BL18" s="613">
        <f>IF($BA$32&lt;&gt;0,BK18/$BA$32,0)</f>
        <v>4.3283970169710933E-3</v>
      </c>
      <c r="BM18" s="598">
        <f t="shared" ref="BM18:BN22" si="96">BA18-BF18</f>
        <v>-800.3179999999993</v>
      </c>
      <c r="BN18" s="612">
        <f t="shared" si="96"/>
        <v>97.813743999999588</v>
      </c>
      <c r="BO18" s="612">
        <f>BM18*BH18</f>
        <v>-55.221941999999956</v>
      </c>
      <c r="BP18" s="611">
        <f>+BB18-BK18</f>
        <v>153.03568599999971</v>
      </c>
      <c r="BQ18" s="626">
        <v>66098.622999999992</v>
      </c>
      <c r="BR18" s="143">
        <v>5100.76</v>
      </c>
      <c r="BS18" s="592">
        <f>IF(BQ18&lt;&gt;0,BR18/BQ18,0)</f>
        <v>7.7168929827781743E-2</v>
      </c>
      <c r="BT18" s="605">
        <f>IF(BQ$32&lt;&gt;0,BQ18/BQ$32,0)</f>
        <v>6.169369329848795E-2</v>
      </c>
      <c r="BU18" s="592">
        <f>IF($BQ$32&lt;&gt;0,BR18/$BQ$32,0)</f>
        <v>4.7608362889677057E-3</v>
      </c>
      <c r="BV18" s="617">
        <f>BQ$32*BY18</f>
        <v>68569.600000000006</v>
      </c>
      <c r="BW18" s="617">
        <f>BV18*BX18</f>
        <v>4731.3024000000005</v>
      </c>
      <c r="BX18" s="607">
        <v>6.9000000000000006E-2</v>
      </c>
      <c r="BY18" s="606">
        <v>6.4000000000000001E-2</v>
      </c>
      <c r="BZ18" s="615">
        <f>IF($BQ$32&lt;&gt;0,BW18/$BQ$32,BX18*BY18)</f>
        <v>4.4160000000000007E-3</v>
      </c>
      <c r="CA18" s="614">
        <f>BQ18*BX18</f>
        <v>4560.8049869999995</v>
      </c>
      <c r="CB18" s="613">
        <f>IF($BQ$32&lt;&gt;0,CA18/$BQ$32,0)</f>
        <v>4.256864837595669E-3</v>
      </c>
      <c r="CC18" s="598">
        <f t="shared" ref="CC18:CD22" si="97">BQ18-BV18</f>
        <v>-2470.9770000000135</v>
      </c>
      <c r="CD18" s="612">
        <f t="shared" si="97"/>
        <v>369.45759999999973</v>
      </c>
      <c r="CE18" s="612">
        <f>CC18*BX18</f>
        <v>-170.49741300000093</v>
      </c>
      <c r="CF18" s="611">
        <f>BR18-CA18</f>
        <v>539.95501300000069</v>
      </c>
      <c r="CG18" s="626">
        <v>4803.9489999999996</v>
      </c>
      <c r="CH18" s="143">
        <v>339.97</v>
      </c>
      <c r="CI18" s="592">
        <f>IF(CG18&lt;&gt;0,CH18/CG18,0)</f>
        <v>7.0768861201482375E-2</v>
      </c>
      <c r="CJ18" s="605">
        <f>IF(CG$32&lt;&gt;0,CG18/CG$32,0)</f>
        <v>5.9291908370566011E-3</v>
      </c>
      <c r="CK18" s="592">
        <f>IF($CG$32&lt;&gt;0,CH18/$CG$32,0)</f>
        <v>4.1960208338475975E-4</v>
      </c>
      <c r="CL18" s="617">
        <f>CG$32*CO18</f>
        <v>5157.0502999999999</v>
      </c>
      <c r="CM18" s="617">
        <f>CL18*CN18</f>
        <v>355.83647070000001</v>
      </c>
      <c r="CN18" s="607">
        <v>6.9000000000000006E-2</v>
      </c>
      <c r="CO18" s="606">
        <v>6.365E-3</v>
      </c>
      <c r="CP18" s="615">
        <f>IF($CG$32&lt;&gt;0,CM18/$CG$32,CN18*CO18)</f>
        <v>4.3918500000000003E-4</v>
      </c>
      <c r="CQ18" s="614">
        <f>CG18*CN18</f>
        <v>331.47248100000002</v>
      </c>
      <c r="CR18" s="613">
        <f>IF($CG$32&lt;&gt;0,CQ18/$CG$32,0)</f>
        <v>4.0911416775690556E-4</v>
      </c>
      <c r="CS18" s="598">
        <f t="shared" ref="CS18:CT22" si="98">CG18-CL18</f>
        <v>-353.10130000000026</v>
      </c>
      <c r="CT18" s="612">
        <f t="shared" si="98"/>
        <v>-15.866470699999979</v>
      </c>
      <c r="CU18" s="612">
        <f>CS18*CN18</f>
        <v>-24.363989700000019</v>
      </c>
      <c r="CV18" s="611">
        <f>CH18-CQ18</f>
        <v>8.4975190000000111</v>
      </c>
      <c r="CW18" s="626">
        <f t="shared" ref="CW18:CX22" si="99">E18+U18+AK18+BA18+BQ18+CG18</f>
        <v>27780185</v>
      </c>
      <c r="CX18" s="143">
        <f t="shared" si="99"/>
        <v>2117564.2099999995</v>
      </c>
      <c r="CY18" s="592">
        <f>IF(CW18&lt;&gt;0,CX18/CW18,0)</f>
        <v>7.6225705840331864E-2</v>
      </c>
      <c r="CZ18" s="605">
        <f>IF(CW$32&lt;&gt;0,CW18/CW$32,0)</f>
        <v>0.18839789726288908</v>
      </c>
      <c r="DA18" s="592">
        <f>IF($CW$32&lt;&gt;0,CX18/$CW$32,0)</f>
        <v>1.4360762697698046E-2</v>
      </c>
      <c r="DB18" s="617">
        <f t="shared" ref="DB18:DC22" si="100">J18+Z18+AP18+BF18+BV18+CL18</f>
        <v>25795285.960699998</v>
      </c>
      <c r="DC18" s="617">
        <f t="shared" si="100"/>
        <v>1781504.8986593757</v>
      </c>
      <c r="DD18" s="615">
        <v>6.6541000000000003E-2</v>
      </c>
      <c r="DE18" s="616">
        <f>IF(CW$32&lt;&gt;0,DB18/CW$32,0)</f>
        <v>0.17493683480836442</v>
      </c>
      <c r="DF18" s="615">
        <f>IF($CW$32&lt;&gt;0,DC18/$CW$32,0)</f>
        <v>1.2081696967495453E-2</v>
      </c>
      <c r="DG18" s="614">
        <f>O18+AE18+AU18+BK18+CA18+CQ18</f>
        <v>1918447.3643711791</v>
      </c>
      <c r="DH18" s="613">
        <f>IF($CW$32&lt;&gt;0,DG18/$CW$32,0)</f>
        <v>1.3010404698783026E-2</v>
      </c>
      <c r="DI18" s="598">
        <f t="shared" ref="DI18:DL22" si="101">Q18+AG18+AW18+BM18+CC18+CS18</f>
        <v>1984899.0393000024</v>
      </c>
      <c r="DJ18" s="612">
        <f t="shared" si="101"/>
        <v>336059.31134062435</v>
      </c>
      <c r="DK18" s="612">
        <f t="shared" si="101"/>
        <v>136942.46571180352</v>
      </c>
      <c r="DL18" s="611">
        <f t="shared" si="101"/>
        <v>199116.84562882094</v>
      </c>
      <c r="DM18" s="556"/>
      <c r="DO18" s="626">
        <f t="shared" ref="DO18:DO22" si="102">AK18+BA18+BQ18</f>
        <v>10313740.181</v>
      </c>
      <c r="DP18" s="143">
        <f t="shared" ref="DP18:DP22" si="103">AL18+BB18+BR18</f>
        <v>821668.5</v>
      </c>
      <c r="DQ18" s="592">
        <f>IF(DO18&lt;&gt;0,DP18/DO18,0)</f>
        <v>7.9667364659202863E-2</v>
      </c>
      <c r="DR18" s="605">
        <f>IF(DO$32&lt;&gt;0,DO18/DO$32,0)</f>
        <v>8.3978400681855997E-2</v>
      </c>
      <c r="DS18" s="658">
        <f t="shared" ref="DS18:DS22" si="104">IF($DO$32&lt;&gt;0,DP18/$DO$32,0)</f>
        <v>6.6903378706180726E-3</v>
      </c>
    </row>
    <row r="19" spans="1:123">
      <c r="A19" s="556" t="s">
        <v>8</v>
      </c>
      <c r="B19" s="143">
        <v>652790.99699999997</v>
      </c>
      <c r="C19" s="259">
        <v>3179449.32</v>
      </c>
      <c r="D19" s="609" t="s">
        <v>207</v>
      </c>
      <c r="E19" s="626">
        <v>40346.383000000002</v>
      </c>
      <c r="F19" s="143">
        <v>200644.6</v>
      </c>
      <c r="G19" s="608">
        <f>IF(E19&lt;&gt;0,F19/E19,0)</f>
        <v>4.9730504962489448</v>
      </c>
      <c r="H19" s="605">
        <f>IF(E$32&lt;&gt;0,E19/E$32,0)</f>
        <v>2.6112473626302506E-3</v>
      </c>
      <c r="I19" s="592">
        <f>IF($E$32&lt;&gt;0,F19/$E$32,0)</f>
        <v>1.2985864992557116E-2</v>
      </c>
      <c r="J19" s="617">
        <f>E$32*M19</f>
        <v>37700.439999999995</v>
      </c>
      <c r="K19" s="617">
        <f>J19*L19</f>
        <v>192743.49949999998</v>
      </c>
      <c r="L19" s="607">
        <v>5.1124999999999998</v>
      </c>
      <c r="M19" s="606">
        <f>0.00244</f>
        <v>2.4399999999999999E-3</v>
      </c>
      <c r="N19" s="615">
        <f>IF($E$32&lt;&gt;0,K19/$E$32,L19*M19)</f>
        <v>1.2474499999999998E-2</v>
      </c>
      <c r="O19" s="614">
        <f>E19*L19</f>
        <v>206270.8830875</v>
      </c>
      <c r="P19" s="613">
        <f>IF($E$32&lt;&gt;0,O19/$E$32,0)</f>
        <v>1.3350002141447156E-2</v>
      </c>
      <c r="Q19" s="598">
        <f t="shared" si="93"/>
        <v>2645.9430000000066</v>
      </c>
      <c r="R19" s="612">
        <f t="shared" si="93"/>
        <v>7901.1005000000296</v>
      </c>
      <c r="S19" s="612">
        <f>Q19*L19</f>
        <v>13527.383587500033</v>
      </c>
      <c r="T19" s="611">
        <f>F19-O19</f>
        <v>-5626.2830874999927</v>
      </c>
      <c r="U19" s="626">
        <v>24145.037</v>
      </c>
      <c r="V19" s="143">
        <v>120608.93</v>
      </c>
      <c r="W19" s="592">
        <f>IF(U19&lt;&gt;0,V19/U19,0)</f>
        <v>4.9951851388755379</v>
      </c>
      <c r="X19" s="605">
        <f>IF(U$32&lt;&gt;0,U19/U$32,0)</f>
        <v>2.8814632631599551E-3</v>
      </c>
      <c r="Y19" s="592">
        <f>IF($U$32&lt;&gt;0,V19/$U$32,0)</f>
        <v>1.439344247035242E-2</v>
      </c>
      <c r="Z19" s="617">
        <f>U$32*AC19</f>
        <v>20445.823840000001</v>
      </c>
      <c r="AA19" s="617">
        <f>Z19*AB19</f>
        <v>82621.57413744001</v>
      </c>
      <c r="AB19" s="607">
        <v>4.0410000000000004</v>
      </c>
      <c r="AC19" s="606">
        <f>0.00244</f>
        <v>2.4399999999999999E-3</v>
      </c>
      <c r="AD19" s="615">
        <f>IF($U$32&lt;&gt;0,AA19/$U$32,AB19*AC19)</f>
        <v>9.8600400000000005E-3</v>
      </c>
      <c r="AE19" s="614">
        <f>U19*AB19</f>
        <v>97570.094517000005</v>
      </c>
      <c r="AF19" s="613">
        <f>IF($U$32&lt;&gt;0,AE19/$U$32,0)</f>
        <v>1.1643993046429378E-2</v>
      </c>
      <c r="AG19" s="598">
        <f t="shared" si="94"/>
        <v>3699.2131599999993</v>
      </c>
      <c r="AH19" s="612">
        <f t="shared" si="94"/>
        <v>37987.355862559984</v>
      </c>
      <c r="AI19" s="612">
        <f>AG19*AB19</f>
        <v>14948.520379559999</v>
      </c>
      <c r="AJ19" s="611">
        <f>V19-AE19</f>
        <v>23038.835482999988</v>
      </c>
      <c r="AK19" s="626">
        <v>580226.99100000004</v>
      </c>
      <c r="AL19" s="143">
        <v>2815948.3599999994</v>
      </c>
      <c r="AM19" s="592">
        <f>IF(AK19&lt;&gt;0,AL19/AK19,0)</f>
        <v>4.8531840188041153</v>
      </c>
      <c r="AN19" s="605">
        <f>IF(AK$32&lt;&gt;0,AK19/AK$32,0)</f>
        <v>4.7908126940061939E-3</v>
      </c>
      <c r="AO19" s="592">
        <f>IF($AK$32&lt;&gt;0,AL19/$AK$32,0)</f>
        <v>2.3250695603634748E-2</v>
      </c>
      <c r="AP19" s="617">
        <f>AK$32*AS19</f>
        <v>530472.46530000004</v>
      </c>
      <c r="AQ19" s="617">
        <f>AP19*AR19</f>
        <v>2143639.2322773002</v>
      </c>
      <c r="AR19" s="607">
        <v>4.0410000000000004</v>
      </c>
      <c r="AS19" s="606">
        <v>4.3800000000000002E-3</v>
      </c>
      <c r="AT19" s="615">
        <f>IF($AK$32&lt;&gt;0,AQ19/$AK$32,AR19*AS19)</f>
        <v>1.7699580000000003E-2</v>
      </c>
      <c r="AU19" s="614">
        <f>AK19*AR19</f>
        <v>2344697.2706310004</v>
      </c>
      <c r="AV19" s="613">
        <f>IF($AK$32&lt;&gt;0,AU19/$AK$32,0)</f>
        <v>1.935967409647903E-2</v>
      </c>
      <c r="AW19" s="598">
        <f t="shared" si="95"/>
        <v>49754.525699999998</v>
      </c>
      <c r="AX19" s="612">
        <f t="shared" si="95"/>
        <v>672309.1277226992</v>
      </c>
      <c r="AY19" s="612">
        <f>AW19*AR19</f>
        <v>201058.03835370002</v>
      </c>
      <c r="AZ19" s="611">
        <f>+AL19-AU19</f>
        <v>471251.089368999</v>
      </c>
      <c r="BA19" s="626">
        <v>3685.884</v>
      </c>
      <c r="BB19" s="143">
        <v>20128.099999999999</v>
      </c>
      <c r="BC19" s="592">
        <f>IF(BA19&lt;&gt;0,BB19/BA19,0)</f>
        <v>5.4608609495035649</v>
      </c>
      <c r="BD19" s="605">
        <f>IF(BA$32&lt;&gt;0,BA19/BA$32,0)</f>
        <v>5.8472125717440341E-3</v>
      </c>
      <c r="BE19" s="592">
        <f>IF($BA$32&lt;&gt;0,BB19/$BA$32,0)</f>
        <v>3.1930814796483312E-2</v>
      </c>
      <c r="BF19" s="617">
        <f>BA$32*BI19</f>
        <v>2761.00308</v>
      </c>
      <c r="BG19" s="617">
        <f>BF19*BH19</f>
        <v>11157.21344628</v>
      </c>
      <c r="BH19" s="607">
        <v>4.0410000000000004</v>
      </c>
      <c r="BI19" s="606">
        <v>4.3800000000000002E-3</v>
      </c>
      <c r="BJ19" s="615">
        <f>IF($BA$32&lt;&gt;0,BG19/$BA$32,BH19*BI19)</f>
        <v>1.7699579999999999E-2</v>
      </c>
      <c r="BK19" s="614">
        <f>BA19*BH19</f>
        <v>14894.657244000002</v>
      </c>
      <c r="BL19" s="613">
        <f>IF($BA$32&lt;&gt;0,BK19/$BA$32,0)</f>
        <v>2.3628586002417646E-2</v>
      </c>
      <c r="BM19" s="598">
        <f t="shared" si="96"/>
        <v>924.88092000000006</v>
      </c>
      <c r="BN19" s="612">
        <f t="shared" si="96"/>
        <v>8970.8865537199981</v>
      </c>
      <c r="BO19" s="612">
        <f>BM19*BH19</f>
        <v>3737.4437977200005</v>
      </c>
      <c r="BP19" s="611">
        <f>+BB19-BK19</f>
        <v>5233.4427559999967</v>
      </c>
      <c r="BQ19" s="626">
        <v>4386.7019999999993</v>
      </c>
      <c r="BR19" s="143">
        <v>22119.34</v>
      </c>
      <c r="BS19" s="592">
        <f>IF(BQ19&lt;&gt;0,BR19/BQ19,0)</f>
        <v>5.0423621207914291</v>
      </c>
      <c r="BT19" s="605">
        <f>IF(BQ$32&lt;&gt;0,BQ19/BQ$32,0)</f>
        <v>4.0943643830502145E-3</v>
      </c>
      <c r="BU19" s="592">
        <f>IF($BQ$32&lt;&gt;0,BR19/$BQ$32,0)</f>
        <v>2.0645267873809967E-2</v>
      </c>
      <c r="BV19" s="617">
        <f>BQ$32*BY19</f>
        <v>4692.732</v>
      </c>
      <c r="BW19" s="617">
        <f>BV19*BX19</f>
        <v>18963.330012000002</v>
      </c>
      <c r="BX19" s="607">
        <v>4.0410000000000004</v>
      </c>
      <c r="BY19" s="606">
        <v>4.3800000000000002E-3</v>
      </c>
      <c r="BZ19" s="615">
        <f>IF($BQ$32&lt;&gt;0,BW19/$BQ$32,BX19*BY19)</f>
        <v>1.7699580000000003E-2</v>
      </c>
      <c r="CA19" s="614">
        <f>BQ19*BX19</f>
        <v>17726.662781999999</v>
      </c>
      <c r="CB19" s="613">
        <f>IF($BQ$32&lt;&gt;0,CA19/$BQ$32,0)</f>
        <v>1.6545326471905916E-2</v>
      </c>
      <c r="CC19" s="598">
        <f t="shared" si="97"/>
        <v>-306.03000000000065</v>
      </c>
      <c r="CD19" s="612">
        <f t="shared" si="97"/>
        <v>3156.009987999998</v>
      </c>
      <c r="CE19" s="612">
        <f>CC19*BX19</f>
        <v>-1236.6672300000027</v>
      </c>
      <c r="CF19" s="611">
        <f>BR19-CA19</f>
        <v>4392.6772180000007</v>
      </c>
      <c r="CG19" s="626">
        <v>0</v>
      </c>
      <c r="CH19" s="143">
        <v>0</v>
      </c>
      <c r="CI19" s="592">
        <f>IF(CG19&lt;&gt;0,CH19/CG19,0)</f>
        <v>0</v>
      </c>
      <c r="CJ19" s="605">
        <f>IF(CG$32&lt;&gt;0,CG19/CG$32,0)</f>
        <v>0</v>
      </c>
      <c r="CK19" s="592">
        <f>IF($CG$32&lt;&gt;0,CH19/$CG$32,0)</f>
        <v>0</v>
      </c>
      <c r="CL19" s="617">
        <f>CG$32*CO19</f>
        <v>0</v>
      </c>
      <c r="CM19" s="617">
        <f>CL19*CN19</f>
        <v>0</v>
      </c>
      <c r="CN19" s="607">
        <v>4.0410000000000004</v>
      </c>
      <c r="CO19" s="606">
        <v>0</v>
      </c>
      <c r="CP19" s="615">
        <f>IF($CG$32&lt;&gt;0,CM19/$CG$32,CN19*CO19)</f>
        <v>0</v>
      </c>
      <c r="CQ19" s="614">
        <f>CG19*CN19</f>
        <v>0</v>
      </c>
      <c r="CR19" s="613">
        <f>IF($CG$32&lt;&gt;0,CQ19/$CG$32,0)</f>
        <v>0</v>
      </c>
      <c r="CS19" s="598">
        <f t="shared" si="98"/>
        <v>0</v>
      </c>
      <c r="CT19" s="612">
        <f t="shared" si="98"/>
        <v>0</v>
      </c>
      <c r="CU19" s="612">
        <f>CS19*CN19</f>
        <v>0</v>
      </c>
      <c r="CV19" s="611">
        <f>CH19-CQ19</f>
        <v>0</v>
      </c>
      <c r="CW19" s="626">
        <f t="shared" si="99"/>
        <v>652790.99700000009</v>
      </c>
      <c r="CX19" s="143">
        <f t="shared" si="99"/>
        <v>3179449.3299999996</v>
      </c>
      <c r="CY19" s="592">
        <f>IF(CW19&lt;&gt;0,CX19/CW19,0)</f>
        <v>4.8705471500244961</v>
      </c>
      <c r="CZ19" s="605">
        <f>IF(CW$32&lt;&gt;0,CW19/CW$32,0)</f>
        <v>4.4270565940055812E-3</v>
      </c>
      <c r="DA19" s="592">
        <f>IF($CW$32&lt;&gt;0,CX19/$CW$32,0)</f>
        <v>2.1562187876931038E-2</v>
      </c>
      <c r="DB19" s="617">
        <f t="shared" si="100"/>
        <v>596072.46422000008</v>
      </c>
      <c r="DC19" s="617">
        <f t="shared" si="100"/>
        <v>2449124.8493730202</v>
      </c>
      <c r="DD19" s="615">
        <v>4.8719999999999999</v>
      </c>
      <c r="DE19" s="616">
        <f>IF(CW$32&lt;&gt;0,DB19/CW$32,0)</f>
        <v>4.0424064445703546E-3</v>
      </c>
      <c r="DF19" s="615">
        <f>IF($CW$32&lt;&gt;0,DC19/$CW$32,0)</f>
        <v>1.6609319619583778E-2</v>
      </c>
      <c r="DG19" s="614">
        <f>O19+AE19+AU19+BK19+CA19+CQ19</f>
        <v>2681159.5682615004</v>
      </c>
      <c r="DH19" s="613">
        <f>IF($CW$32&lt;&gt;0,DG19/$CW$32,0)</f>
        <v>1.8182917964251935E-2</v>
      </c>
      <c r="DI19" s="598">
        <f t="shared" si="101"/>
        <v>56718.532780000009</v>
      </c>
      <c r="DJ19" s="612">
        <f t="shared" si="101"/>
        <v>730324.48062697926</v>
      </c>
      <c r="DK19" s="612">
        <f t="shared" si="101"/>
        <v>232034.71888848007</v>
      </c>
      <c r="DL19" s="611">
        <f t="shared" si="101"/>
        <v>498289.76173849899</v>
      </c>
      <c r="DM19" s="556"/>
      <c r="DO19" s="626">
        <f t="shared" si="102"/>
        <v>588299.57700000005</v>
      </c>
      <c r="DP19" s="143">
        <f t="shared" si="103"/>
        <v>2858195.7999999993</v>
      </c>
      <c r="DQ19" s="592">
        <f>IF(DO19&lt;&gt;0,DP19/DO19,0)</f>
        <v>4.858401929464585</v>
      </c>
      <c r="DR19" s="605">
        <f>IF(DO$32&lt;&gt;0,DO19/DO$32,0)</f>
        <v>4.7901592178253068E-3</v>
      </c>
      <c r="DS19" s="658">
        <f t="shared" si="104"/>
        <v>2.3272518786325039E-2</v>
      </c>
    </row>
    <row r="20" spans="1:123">
      <c r="A20" s="556" t="s">
        <v>430</v>
      </c>
      <c r="B20" s="143">
        <v>146644637</v>
      </c>
      <c r="C20" s="259">
        <v>2990754.5999999996</v>
      </c>
      <c r="D20" s="609" t="s">
        <v>12</v>
      </c>
      <c r="E20" s="568">
        <v>15451000</v>
      </c>
      <c r="F20" s="143">
        <v>244594.86000000002</v>
      </c>
      <c r="G20" s="608">
        <f>IF(E20&lt;&gt;0,F20/E20,0)</f>
        <v>1.5830357905637176E-2</v>
      </c>
      <c r="H20" s="605">
        <f>IF(E$32&lt;&gt;0,E20/E$32,0)</f>
        <v>1</v>
      </c>
      <c r="I20" s="592">
        <f>IF($E$32&lt;&gt;0,F20/$E$32,0)</f>
        <v>1.5830357905637176E-2</v>
      </c>
      <c r="J20" s="617">
        <f>E$32*M20</f>
        <v>15451000</v>
      </c>
      <c r="K20" s="617">
        <f>J20*L20</f>
        <v>493573.58106750005</v>
      </c>
      <c r="L20" s="607">
        <v>3.1944442500000003E-2</v>
      </c>
      <c r="M20" s="606">
        <f>1</f>
        <v>1</v>
      </c>
      <c r="N20" s="615">
        <f>IF($E$32&lt;&gt;0,K20/$E$32,L20*M20)</f>
        <v>3.1944442500000003E-2</v>
      </c>
      <c r="O20" s="614">
        <f>E20*L20</f>
        <v>493573.58106750005</v>
      </c>
      <c r="P20" s="613">
        <f>IF($E$32&lt;&gt;0,O20/$E$32,0)</f>
        <v>3.1944442500000003E-2</v>
      </c>
      <c r="Q20" s="598">
        <f t="shared" si="93"/>
        <v>0</v>
      </c>
      <c r="R20" s="612">
        <f t="shared" si="93"/>
        <v>-248978.72106750004</v>
      </c>
      <c r="S20" s="612">
        <f>Q20*L20</f>
        <v>0</v>
      </c>
      <c r="T20" s="611">
        <f>F20-O20</f>
        <v>-248978.72106750004</v>
      </c>
      <c r="U20" s="568">
        <v>8379436</v>
      </c>
      <c r="V20" s="143">
        <v>178131.21</v>
      </c>
      <c r="W20" s="592">
        <f>IF(U20&lt;&gt;0,V20/U20,0)</f>
        <v>2.1258138375900237E-2</v>
      </c>
      <c r="X20" s="605">
        <f>IF(U$32&lt;&gt;0,U20/U$32,0)</f>
        <v>1</v>
      </c>
      <c r="Y20" s="592">
        <f>IF($U$32&lt;&gt;0,V20/$U$32,0)</f>
        <v>2.1258138375900237E-2</v>
      </c>
      <c r="Z20" s="617">
        <f>U$32*AC20</f>
        <v>8379436</v>
      </c>
      <c r="AA20" s="617">
        <f>Z20*AB20</f>
        <v>81280.529200000004</v>
      </c>
      <c r="AB20" s="607">
        <v>9.7000000000000003E-3</v>
      </c>
      <c r="AC20" s="606">
        <f>1</f>
        <v>1</v>
      </c>
      <c r="AD20" s="615">
        <f>IF($U$32&lt;&gt;0,AA20/$U$32,AB20*AC20)</f>
        <v>9.7000000000000003E-3</v>
      </c>
      <c r="AE20" s="614">
        <f>U20*AB20</f>
        <v>81280.529200000004</v>
      </c>
      <c r="AF20" s="613">
        <f>IF($U$32&lt;&gt;0,AE20/$U$32,0)</f>
        <v>9.7000000000000003E-3</v>
      </c>
      <c r="AG20" s="598">
        <f t="shared" si="94"/>
        <v>0</v>
      </c>
      <c r="AH20" s="612">
        <f t="shared" si="94"/>
        <v>96850.680799999987</v>
      </c>
      <c r="AI20" s="612">
        <f>AG20*AB20</f>
        <v>0</v>
      </c>
      <c r="AJ20" s="611">
        <f>V20-AE20</f>
        <v>96850.680799999987</v>
      </c>
      <c r="AK20" s="568">
        <v>121112435</v>
      </c>
      <c r="AL20" s="143">
        <v>2529884.81</v>
      </c>
      <c r="AM20" s="592">
        <f>IF(AK20&lt;&gt;0,AL20/AK20,0)</f>
        <v>2.0888728808069957E-2</v>
      </c>
      <c r="AN20" s="605">
        <f>IF(AK$32&lt;&gt;0,AK20/AK$32,0)</f>
        <v>1</v>
      </c>
      <c r="AO20" s="592">
        <f>IF($AK$32&lt;&gt;0,AL20/$AK$32,0)</f>
        <v>2.0888728808069957E-2</v>
      </c>
      <c r="AP20" s="617">
        <f>AK$32*AS20</f>
        <v>121112435</v>
      </c>
      <c r="AQ20" s="617">
        <f>AP20*AR20</f>
        <v>1174790.6195</v>
      </c>
      <c r="AR20" s="607">
        <v>9.7000000000000003E-3</v>
      </c>
      <c r="AS20" s="606">
        <f>1</f>
        <v>1</v>
      </c>
      <c r="AT20" s="615">
        <f>IF($AK$32&lt;&gt;0,AQ20/$AK$32,AR20*AS20)</f>
        <v>9.7000000000000003E-3</v>
      </c>
      <c r="AU20" s="614">
        <f>AK20*AR20</f>
        <v>1174790.6195</v>
      </c>
      <c r="AV20" s="613">
        <f>IF($AK$32&lt;&gt;0,AU20/$AK$32,0)</f>
        <v>9.7000000000000003E-3</v>
      </c>
      <c r="AW20" s="598">
        <f t="shared" si="95"/>
        <v>0</v>
      </c>
      <c r="AX20" s="612">
        <f t="shared" si="95"/>
        <v>1355094.1905</v>
      </c>
      <c r="AY20" s="612">
        <f>AW20*AR20</f>
        <v>0</v>
      </c>
      <c r="AZ20" s="611">
        <f>+AL20-AU20</f>
        <v>1355094.1905</v>
      </c>
      <c r="BA20" s="568">
        <v>630366</v>
      </c>
      <c r="BB20" s="143">
        <v>11833.88</v>
      </c>
      <c r="BC20" s="592">
        <f>IF(BA20&lt;&gt;0,BB20/BA20,0)</f>
        <v>1.8773030271302702E-2</v>
      </c>
      <c r="BD20" s="605">
        <f>IF(BA$32&lt;&gt;0,BA20/BA$32,0)</f>
        <v>1</v>
      </c>
      <c r="BE20" s="592">
        <f>IF($BA$32&lt;&gt;0,BB20/$BA$32,0)</f>
        <v>1.8773030271302702E-2</v>
      </c>
      <c r="BF20" s="617">
        <f>BA$32*BI20</f>
        <v>630366</v>
      </c>
      <c r="BG20" s="617">
        <f>BF20*BH20</f>
        <v>6114.5502000000006</v>
      </c>
      <c r="BH20" s="607">
        <v>9.7000000000000003E-3</v>
      </c>
      <c r="BI20" s="606">
        <f>1</f>
        <v>1</v>
      </c>
      <c r="BJ20" s="615">
        <f>IF($BA$32&lt;&gt;0,BG20/$BA$32,BH20*BI20)</f>
        <v>9.7000000000000003E-3</v>
      </c>
      <c r="BK20" s="614">
        <f>BA20*BH20</f>
        <v>6114.5502000000006</v>
      </c>
      <c r="BL20" s="613">
        <f>IF($BA$32&lt;&gt;0,BK20/$BA$32,0)</f>
        <v>9.7000000000000003E-3</v>
      </c>
      <c r="BM20" s="598">
        <f t="shared" si="96"/>
        <v>0</v>
      </c>
      <c r="BN20" s="612">
        <f t="shared" si="96"/>
        <v>5719.3297999999986</v>
      </c>
      <c r="BO20" s="612">
        <f>BM20*BH20</f>
        <v>0</v>
      </c>
      <c r="BP20" s="611">
        <f>+BB20-BK20</f>
        <v>5719.3297999999986</v>
      </c>
      <c r="BQ20" s="568">
        <v>1071400</v>
      </c>
      <c r="BR20" s="143">
        <v>26309.83</v>
      </c>
      <c r="BS20" s="592">
        <f>IF(BQ20&lt;&gt;0,BR20/BQ20,0)</f>
        <v>2.4556496173231288E-2</v>
      </c>
      <c r="BT20" s="605">
        <f>IF(BQ$32&lt;&gt;0,BQ20/BQ$32,0)</f>
        <v>1</v>
      </c>
      <c r="BU20" s="592">
        <f>IF($BQ$32&lt;&gt;0,BR20/$BQ$32,0)</f>
        <v>2.4556496173231288E-2</v>
      </c>
      <c r="BV20" s="617">
        <f>BQ$32*BY20</f>
        <v>1071400</v>
      </c>
      <c r="BW20" s="617">
        <f>BV20*BX20</f>
        <v>10392.58</v>
      </c>
      <c r="BX20" s="607">
        <v>9.7000000000000003E-3</v>
      </c>
      <c r="BY20" s="606">
        <f>1</f>
        <v>1</v>
      </c>
      <c r="BZ20" s="615">
        <f>IF($BQ$32&lt;&gt;0,BW20/$BQ$32,BX20*BY20)</f>
        <v>9.7000000000000003E-3</v>
      </c>
      <c r="CA20" s="614">
        <f>BQ20*BX20</f>
        <v>10392.58</v>
      </c>
      <c r="CB20" s="613">
        <f>IF($BQ$32&lt;&gt;0,CA20/$BQ$32,0)</f>
        <v>9.7000000000000003E-3</v>
      </c>
      <c r="CC20" s="598">
        <f t="shared" si="97"/>
        <v>0</v>
      </c>
      <c r="CD20" s="612">
        <f t="shared" si="97"/>
        <v>15917.250000000002</v>
      </c>
      <c r="CE20" s="612">
        <f>CC20*BX20</f>
        <v>0</v>
      </c>
      <c r="CF20" s="611">
        <f>BR20-CA20</f>
        <v>15917.250000000002</v>
      </c>
      <c r="CG20" s="568">
        <v>0</v>
      </c>
      <c r="CH20" s="143">
        <v>0</v>
      </c>
      <c r="CI20" s="592">
        <f>IF(CG20&lt;&gt;0,CH20/CG20,0)</f>
        <v>0</v>
      </c>
      <c r="CJ20" s="605">
        <f>IF(CG$32&lt;&gt;0,CG20/CG$32,0)</f>
        <v>0</v>
      </c>
      <c r="CK20" s="592">
        <f>IF($CG$32&lt;&gt;0,CH20/$CG$32,0)</f>
        <v>0</v>
      </c>
      <c r="CL20" s="617">
        <f>CG$32*CO20</f>
        <v>0</v>
      </c>
      <c r="CM20" s="617">
        <f>CL20*CN20</f>
        <v>0</v>
      </c>
      <c r="CN20" s="607">
        <v>9.7000000000000003E-3</v>
      </c>
      <c r="CO20" s="606">
        <v>0</v>
      </c>
      <c r="CP20" s="615">
        <f>IF($CG$32&lt;&gt;0,CM20/$CG$32,CN20*CO20)</f>
        <v>0</v>
      </c>
      <c r="CQ20" s="614">
        <f>CG20*CN20</f>
        <v>0</v>
      </c>
      <c r="CR20" s="613">
        <f>IF($CG$32&lt;&gt;0,CQ20/$CG$32,0)</f>
        <v>0</v>
      </c>
      <c r="CS20" s="598">
        <f t="shared" si="98"/>
        <v>0</v>
      </c>
      <c r="CT20" s="612">
        <f t="shared" si="98"/>
        <v>0</v>
      </c>
      <c r="CU20" s="612">
        <f>CS20*CN20</f>
        <v>0</v>
      </c>
      <c r="CV20" s="611">
        <f>CH20-CQ20</f>
        <v>0</v>
      </c>
      <c r="CW20" s="568">
        <f t="shared" si="99"/>
        <v>146644637</v>
      </c>
      <c r="CX20" s="143">
        <f t="shared" si="99"/>
        <v>2990754.59</v>
      </c>
      <c r="CY20" s="592">
        <f>IF(CW20&lt;&gt;0,CX20/CW20,0)</f>
        <v>2.0394571879229377E-2</v>
      </c>
      <c r="CZ20" s="605">
        <f>IF(CW$32&lt;&gt;0,CW20/CW$32,0)</f>
        <v>0.99450530137505067</v>
      </c>
      <c r="DA20" s="592">
        <f>IF($CW$32&lt;&gt;0,CX20/$CW$32,0)</f>
        <v>2.0282509853168144E-2</v>
      </c>
      <c r="DB20" s="617">
        <f t="shared" si="100"/>
        <v>146644637</v>
      </c>
      <c r="DC20" s="617">
        <f t="shared" si="100"/>
        <v>1766151.8599675</v>
      </c>
      <c r="DD20" s="615">
        <v>1.242E-2</v>
      </c>
      <c r="DE20" s="616">
        <f>IF(CW$32&lt;&gt;0,DB20/CW$32,0)</f>
        <v>0.99450530137505067</v>
      </c>
      <c r="DF20" s="615">
        <f>IF($CW$32&lt;&gt;0,DC20/$CW$32,0)</f>
        <v>1.1977576703136336E-2</v>
      </c>
      <c r="DG20" s="614">
        <f>O20+AE20+AU20+BK20+CA20+CQ20</f>
        <v>1766151.8599675</v>
      </c>
      <c r="DH20" s="613">
        <f>IF($CW$32&lt;&gt;0,DG20/$CW$32,0)</f>
        <v>1.1977576703136336E-2</v>
      </c>
      <c r="DI20" s="598">
        <f t="shared" si="101"/>
        <v>0</v>
      </c>
      <c r="DJ20" s="612">
        <f t="shared" si="101"/>
        <v>1224602.7300324999</v>
      </c>
      <c r="DK20" s="612">
        <f t="shared" si="101"/>
        <v>0</v>
      </c>
      <c r="DL20" s="611">
        <f t="shared" si="101"/>
        <v>1224602.7300324999</v>
      </c>
      <c r="DM20" s="556"/>
      <c r="DO20" s="568">
        <f t="shared" si="102"/>
        <v>122814201</v>
      </c>
      <c r="DP20" s="143">
        <f t="shared" si="103"/>
        <v>2568028.52</v>
      </c>
      <c r="DQ20" s="592">
        <f>IF(DO20&lt;&gt;0,DP20/DO20,0)</f>
        <v>2.090986627841189E-2</v>
      </c>
      <c r="DR20" s="605">
        <f>IF(DO$32&lt;&gt;0,DO20/DO$32,0)</f>
        <v>1</v>
      </c>
      <c r="DS20" s="658">
        <f t="shared" si="104"/>
        <v>2.090986627841189E-2</v>
      </c>
    </row>
    <row r="21" spans="1:123">
      <c r="A21" s="556" t="s">
        <v>14</v>
      </c>
      <c r="B21" s="143">
        <v>146644637</v>
      </c>
      <c r="C21" s="259">
        <v>390271.89000000013</v>
      </c>
      <c r="D21" s="609" t="s">
        <v>12</v>
      </c>
      <c r="E21" s="568">
        <v>15451000</v>
      </c>
      <c r="F21" s="143">
        <v>55496.509999999995</v>
      </c>
      <c r="G21" s="608">
        <f>IF(E21&lt;&gt;0,F21/E21,0)</f>
        <v>3.5917746424179663E-3</v>
      </c>
      <c r="H21" s="605">
        <f>IF(E$32&lt;&gt;0,E21/E$32,0)</f>
        <v>1</v>
      </c>
      <c r="I21" s="592">
        <f>IF($E$32&lt;&gt;0,F21/$E$32,0)</f>
        <v>3.5917746424179663E-3</v>
      </c>
      <c r="J21" s="617">
        <f>E$32*M21</f>
        <v>15451000</v>
      </c>
      <c r="K21" s="617">
        <f>J21*L21</f>
        <v>42919.444444444453</v>
      </c>
      <c r="L21" s="607">
        <v>2.7777777777777783E-3</v>
      </c>
      <c r="M21" s="606">
        <f>1</f>
        <v>1</v>
      </c>
      <c r="N21" s="615">
        <f>IF($E$32&lt;&gt;0,K21/$E$32,L21*M21)</f>
        <v>2.7777777777777783E-3</v>
      </c>
      <c r="O21" s="614">
        <f>E21*L21</f>
        <v>42919.444444444453</v>
      </c>
      <c r="P21" s="613">
        <f>IF($E$32&lt;&gt;0,O21/$E$32,0)</f>
        <v>2.7777777777777783E-3</v>
      </c>
      <c r="Q21" s="598">
        <f t="shared" si="93"/>
        <v>0</v>
      </c>
      <c r="R21" s="612">
        <f t="shared" si="93"/>
        <v>12577.065555555542</v>
      </c>
      <c r="S21" s="612">
        <f>Q21*L21</f>
        <v>0</v>
      </c>
      <c r="T21" s="611">
        <f>F21-O21</f>
        <v>12577.065555555542</v>
      </c>
      <c r="U21" s="568">
        <v>8379436</v>
      </c>
      <c r="V21" s="143">
        <v>16953.050000000003</v>
      </c>
      <c r="W21" s="592">
        <f>IF(U21&lt;&gt;0,V21/U21,0)</f>
        <v>2.0231731586708226E-3</v>
      </c>
      <c r="X21" s="605">
        <f>IF(U$32&lt;&gt;0,U21/U$32,0)</f>
        <v>1</v>
      </c>
      <c r="Y21" s="592">
        <f>IF($U$32&lt;&gt;0,V21/$U$32,0)</f>
        <v>2.0231731586708226E-3</v>
      </c>
      <c r="Z21" s="617">
        <f>U$32*AC21</f>
        <v>8379436</v>
      </c>
      <c r="AA21" s="617">
        <f>Z21*AB21</f>
        <v>6703.5488000000005</v>
      </c>
      <c r="AB21" s="607">
        <v>8.0000000000000004E-4</v>
      </c>
      <c r="AC21" s="606">
        <f>1</f>
        <v>1</v>
      </c>
      <c r="AD21" s="615">
        <f>IF($U$32&lt;&gt;0,AA21/$U$32,AB21*AC21)</f>
        <v>8.0000000000000004E-4</v>
      </c>
      <c r="AE21" s="614">
        <f>U21*AB21</f>
        <v>6703.5488000000005</v>
      </c>
      <c r="AF21" s="613">
        <f>IF($U$32&lt;&gt;0,AE21/$U$32,0)</f>
        <v>8.0000000000000004E-4</v>
      </c>
      <c r="AG21" s="598">
        <f t="shared" si="94"/>
        <v>0</v>
      </c>
      <c r="AH21" s="612">
        <f t="shared" si="94"/>
        <v>10249.501200000002</v>
      </c>
      <c r="AI21" s="612">
        <f>AG21*AB21</f>
        <v>0</v>
      </c>
      <c r="AJ21" s="611">
        <f>V21-AE21</f>
        <v>10249.501200000002</v>
      </c>
      <c r="AK21" s="568">
        <v>121112435</v>
      </c>
      <c r="AL21" s="143">
        <v>314705.01</v>
      </c>
      <c r="AM21" s="592">
        <f>IF(AK21&lt;&gt;0,AL21/AK21,0)</f>
        <v>2.5984533297509871E-3</v>
      </c>
      <c r="AN21" s="605">
        <f>IF(AK$32&lt;&gt;0,AK21/AK$32,0)</f>
        <v>1</v>
      </c>
      <c r="AO21" s="592">
        <f>IF($AK$32&lt;&gt;0,AL21/$AK$32,0)</f>
        <v>2.5984533297509871E-3</v>
      </c>
      <c r="AP21" s="617">
        <f>AK$32*AS21</f>
        <v>121112435</v>
      </c>
      <c r="AQ21" s="617">
        <f>AP21*AR21</f>
        <v>96889.948000000004</v>
      </c>
      <c r="AR21" s="607">
        <v>8.0000000000000004E-4</v>
      </c>
      <c r="AS21" s="606">
        <f>1</f>
        <v>1</v>
      </c>
      <c r="AT21" s="615">
        <f>IF($AK$32&lt;&gt;0,AQ21/$AK$32,AR21*AS21)</f>
        <v>8.0000000000000004E-4</v>
      </c>
      <c r="AU21" s="614">
        <f>AK21*AR21</f>
        <v>96889.948000000004</v>
      </c>
      <c r="AV21" s="613">
        <f>IF($AK$32&lt;&gt;0,AU21/$AK$32,0)</f>
        <v>8.0000000000000004E-4</v>
      </c>
      <c r="AW21" s="598">
        <f t="shared" si="95"/>
        <v>0</v>
      </c>
      <c r="AX21" s="612">
        <f t="shared" si="95"/>
        <v>217815.06200000001</v>
      </c>
      <c r="AY21" s="612">
        <f>AW21*AR21</f>
        <v>0</v>
      </c>
      <c r="AZ21" s="611">
        <f>+AL21-AU21</f>
        <v>217815.06200000001</v>
      </c>
      <c r="BA21" s="568">
        <v>630366</v>
      </c>
      <c r="BB21" s="143">
        <v>1347.2199999999998</v>
      </c>
      <c r="BC21" s="592">
        <f>IF(BA21&lt;&gt;0,BB21/BA21,0)</f>
        <v>2.1372028313709811E-3</v>
      </c>
      <c r="BD21" s="605">
        <f>IF(BA$32&lt;&gt;0,BA21/BA$32,0)</f>
        <v>1</v>
      </c>
      <c r="BE21" s="592">
        <f>IF($BA$32&lt;&gt;0,BB21/$BA$32,0)</f>
        <v>2.1372028313709811E-3</v>
      </c>
      <c r="BF21" s="617">
        <f>BA$32*BI21</f>
        <v>630366</v>
      </c>
      <c r="BG21" s="617">
        <f>BF21*BH21</f>
        <v>504.2928</v>
      </c>
      <c r="BH21" s="607">
        <v>8.0000000000000004E-4</v>
      </c>
      <c r="BI21" s="606">
        <f>1</f>
        <v>1</v>
      </c>
      <c r="BJ21" s="615">
        <f>IF($BA$32&lt;&gt;0,BG21/$BA$32,BH21*BI21)</f>
        <v>8.0000000000000004E-4</v>
      </c>
      <c r="BK21" s="614">
        <f>BA21*BH21</f>
        <v>504.2928</v>
      </c>
      <c r="BL21" s="613">
        <f>IF($BA$32&lt;&gt;0,BK21/$BA$32,0)</f>
        <v>8.0000000000000004E-4</v>
      </c>
      <c r="BM21" s="598">
        <f t="shared" si="96"/>
        <v>0</v>
      </c>
      <c r="BN21" s="612">
        <f t="shared" si="96"/>
        <v>842.92719999999986</v>
      </c>
      <c r="BO21" s="612">
        <f>BM21*BH21</f>
        <v>0</v>
      </c>
      <c r="BP21" s="611">
        <f>+BB21-BK21</f>
        <v>842.92719999999986</v>
      </c>
      <c r="BQ21" s="568">
        <v>1071400</v>
      </c>
      <c r="BR21" s="143">
        <v>1770.12</v>
      </c>
      <c r="BS21" s="592">
        <f>IF(BQ21&lt;&gt;0,BR21/BQ21,0)</f>
        <v>1.6521560574948664E-3</v>
      </c>
      <c r="BT21" s="605">
        <f>IF(BQ$32&lt;&gt;0,BQ21/BQ$32,0)</f>
        <v>1</v>
      </c>
      <c r="BU21" s="592">
        <f>IF($BQ$32&lt;&gt;0,BR21/$BQ$32,0)</f>
        <v>1.6521560574948664E-3</v>
      </c>
      <c r="BV21" s="617">
        <f>BQ$32*BY21</f>
        <v>1071400</v>
      </c>
      <c r="BW21" s="617">
        <f>BV21*BX21</f>
        <v>857.12</v>
      </c>
      <c r="BX21" s="607">
        <v>8.0000000000000004E-4</v>
      </c>
      <c r="BY21" s="606">
        <f>1</f>
        <v>1</v>
      </c>
      <c r="BZ21" s="615">
        <f>IF($BQ$32&lt;&gt;0,BW21/$BQ$32,BX21*BY21)</f>
        <v>8.0000000000000004E-4</v>
      </c>
      <c r="CA21" s="614">
        <f>BQ21*BX21</f>
        <v>857.12</v>
      </c>
      <c r="CB21" s="613">
        <f>IF($BQ$32&lt;&gt;0,CA21/$BQ$32,0)</f>
        <v>8.0000000000000004E-4</v>
      </c>
      <c r="CC21" s="598">
        <f t="shared" si="97"/>
        <v>0</v>
      </c>
      <c r="CD21" s="612">
        <f t="shared" si="97"/>
        <v>912.99999999999989</v>
      </c>
      <c r="CE21" s="612">
        <f>CC21*BX21</f>
        <v>0</v>
      </c>
      <c r="CF21" s="611">
        <f>BR21-CA21</f>
        <v>912.99999999999989</v>
      </c>
      <c r="CG21" s="568">
        <v>0</v>
      </c>
      <c r="CH21" s="143">
        <v>0</v>
      </c>
      <c r="CI21" s="592">
        <f>IF(CG21&lt;&gt;0,CH21/CG21,0)</f>
        <v>0</v>
      </c>
      <c r="CJ21" s="605">
        <f>IF(CG$32&lt;&gt;0,CG21/CG$32,0)</f>
        <v>0</v>
      </c>
      <c r="CK21" s="592">
        <f>IF($CG$32&lt;&gt;0,CH21/$CG$32,0)</f>
        <v>0</v>
      </c>
      <c r="CL21" s="617">
        <f>CG$32*CO21</f>
        <v>0</v>
      </c>
      <c r="CM21" s="617">
        <f>CL21*CN21</f>
        <v>0</v>
      </c>
      <c r="CN21" s="607">
        <v>8.0000000000000004E-4</v>
      </c>
      <c r="CO21" s="606">
        <v>0</v>
      </c>
      <c r="CP21" s="615">
        <f>IF($CG$32&lt;&gt;0,CM21/$CG$32,CN21*CO21)</f>
        <v>0</v>
      </c>
      <c r="CQ21" s="614">
        <f>CG21*CN21</f>
        <v>0</v>
      </c>
      <c r="CR21" s="613">
        <f>IF($CG$32&lt;&gt;0,CQ21/$CG$32,0)</f>
        <v>0</v>
      </c>
      <c r="CS21" s="598">
        <f t="shared" si="98"/>
        <v>0</v>
      </c>
      <c r="CT21" s="612">
        <f t="shared" si="98"/>
        <v>0</v>
      </c>
      <c r="CU21" s="612">
        <f>CS21*CN21</f>
        <v>0</v>
      </c>
      <c r="CV21" s="611">
        <f>CH21-CQ21</f>
        <v>0</v>
      </c>
      <c r="CW21" s="568">
        <f t="shared" si="99"/>
        <v>146644637</v>
      </c>
      <c r="CX21" s="143">
        <f t="shared" si="99"/>
        <v>390271.91</v>
      </c>
      <c r="CY21" s="592">
        <f>IF(CW21&lt;&gt;0,CX21/CW21,0)</f>
        <v>2.6613445809136544E-3</v>
      </c>
      <c r="CZ21" s="605">
        <f>IF(CW$32&lt;&gt;0,CW21/CW$32,0)</f>
        <v>0.99450530137505067</v>
      </c>
      <c r="DA21" s="592">
        <f>IF($CW$32&lt;&gt;0,CX21/$CW$32,0)</f>
        <v>2.6467212945043917E-3</v>
      </c>
      <c r="DB21" s="617">
        <f t="shared" si="100"/>
        <v>146644637</v>
      </c>
      <c r="DC21" s="617">
        <f t="shared" si="100"/>
        <v>147874.35404444445</v>
      </c>
      <c r="DD21" s="615">
        <v>6.8999999999999997E-4</v>
      </c>
      <c r="DE21" s="616">
        <f>IF(CW$32&lt;&gt;0,DB21/CW$32,0)</f>
        <v>0.99450530137505067</v>
      </c>
      <c r="DF21" s="615">
        <f>IF($CW$32&lt;&gt;0,DC21/$CW$32,0)</f>
        <v>1.0028449184582944E-3</v>
      </c>
      <c r="DG21" s="614">
        <f>O21+AE21+AU21+BK21+CA21+CQ21</f>
        <v>147874.35404444445</v>
      </c>
      <c r="DH21" s="613">
        <f>IF($CW$32&lt;&gt;0,DG21/$CW$32,0)</f>
        <v>1.0028449184582944E-3</v>
      </c>
      <c r="DI21" s="598">
        <f t="shared" si="101"/>
        <v>0</v>
      </c>
      <c r="DJ21" s="612">
        <f t="shared" si="101"/>
        <v>242397.55595555555</v>
      </c>
      <c r="DK21" s="612">
        <f t="shared" si="101"/>
        <v>0</v>
      </c>
      <c r="DL21" s="611">
        <f t="shared" si="101"/>
        <v>242397.55595555555</v>
      </c>
      <c r="DM21" s="556"/>
      <c r="DO21" s="568">
        <f t="shared" si="102"/>
        <v>122814201</v>
      </c>
      <c r="DP21" s="143">
        <f t="shared" si="103"/>
        <v>317822.34999999998</v>
      </c>
      <c r="DQ21" s="592">
        <f>IF(DO21&lt;&gt;0,DP21/DO21,0)</f>
        <v>2.5878306206625077E-3</v>
      </c>
      <c r="DR21" s="605">
        <f>IF(DO$32&lt;&gt;0,DO21/DO$32,0)</f>
        <v>1</v>
      </c>
      <c r="DS21" s="658">
        <f t="shared" si="104"/>
        <v>2.5878306206625077E-3</v>
      </c>
    </row>
    <row r="22" spans="1:123" ht="17.25">
      <c r="A22" s="556" t="s">
        <v>351</v>
      </c>
      <c r="B22" s="143">
        <v>146644637</v>
      </c>
      <c r="C22" s="463">
        <v>1059687.3900000001</v>
      </c>
      <c r="D22" s="609" t="s">
        <v>12</v>
      </c>
      <c r="E22" s="568">
        <v>15451000</v>
      </c>
      <c r="F22" s="161">
        <v>106151.22</v>
      </c>
      <c r="G22" s="608">
        <f>IF(E22&lt;&gt;0,F22/E22,0)</f>
        <v>6.8701844540806417E-3</v>
      </c>
      <c r="H22" s="605">
        <f>IF(E$32&lt;&gt;0,E22/E$32,0)</f>
        <v>1</v>
      </c>
      <c r="I22" s="591">
        <f>IF($E$32&lt;&gt;0,F22/$E$32,0)</f>
        <v>6.8701844540806417E-3</v>
      </c>
      <c r="J22" s="604">
        <f>E$32*M22</f>
        <v>15451000</v>
      </c>
      <c r="K22" s="603">
        <f>J22*L22</f>
        <v>160947.91666666666</v>
      </c>
      <c r="L22" s="607">
        <v>1.0416666666666666E-2</v>
      </c>
      <c r="M22" s="606">
        <f>1</f>
        <v>1</v>
      </c>
      <c r="N22" s="601">
        <f>IF($E$32&lt;&gt;0,K22/$E$32,L22*M22)</f>
        <v>1.0416666666666666E-2</v>
      </c>
      <c r="O22" s="600">
        <f>E22*L22</f>
        <v>160947.91666666666</v>
      </c>
      <c r="P22" s="599">
        <f>IF($E$32&lt;&gt;0,O22/$E$32,0)</f>
        <v>1.0416666666666666E-2</v>
      </c>
      <c r="Q22" s="598">
        <f t="shared" si="93"/>
        <v>0</v>
      </c>
      <c r="R22" s="597">
        <f t="shared" si="93"/>
        <v>-54796.696666666656</v>
      </c>
      <c r="S22" s="597">
        <f>Q22*L22</f>
        <v>0</v>
      </c>
      <c r="T22" s="596">
        <f>F22-O22</f>
        <v>-54796.696666666656</v>
      </c>
      <c r="U22" s="568">
        <v>8379436</v>
      </c>
      <c r="V22" s="161">
        <v>73087.460000000006</v>
      </c>
      <c r="W22" s="592">
        <f>IF(U22&lt;&gt;0,V22/U22,0)</f>
        <v>8.722240971826745E-3</v>
      </c>
      <c r="X22" s="605">
        <f>IF(U$32&lt;&gt;0,U22/U$32,0)</f>
        <v>1</v>
      </c>
      <c r="Y22" s="591">
        <f>IF($U$32&lt;&gt;0,V22/$U$32,0)</f>
        <v>8.722240971826745E-3</v>
      </c>
      <c r="Z22" s="604">
        <f>U$32*AC22</f>
        <v>8379436</v>
      </c>
      <c r="AA22" s="603">
        <f>Z22*AB22</f>
        <v>25138.308000000001</v>
      </c>
      <c r="AB22" s="607">
        <v>3.0000000000000001E-3</v>
      </c>
      <c r="AC22" s="606">
        <f>1</f>
        <v>1</v>
      </c>
      <c r="AD22" s="601">
        <f>IF($U$32&lt;&gt;0,AA22/$U$32,AB22*AC22)</f>
        <v>3.0000000000000001E-3</v>
      </c>
      <c r="AE22" s="600">
        <f>U22*AB22</f>
        <v>25138.308000000001</v>
      </c>
      <c r="AF22" s="599">
        <f>IF($U$32&lt;&gt;0,AE22/$U$32,0)</f>
        <v>3.0000000000000001E-3</v>
      </c>
      <c r="AG22" s="598">
        <f t="shared" si="94"/>
        <v>0</v>
      </c>
      <c r="AH22" s="597">
        <f t="shared" si="94"/>
        <v>47949.152000000002</v>
      </c>
      <c r="AI22" s="597">
        <f>AG22*AB22</f>
        <v>0</v>
      </c>
      <c r="AJ22" s="596">
        <f>V22-AE22</f>
        <v>47949.152000000002</v>
      </c>
      <c r="AK22" s="568">
        <v>121112435</v>
      </c>
      <c r="AL22" s="161">
        <v>863062.25</v>
      </c>
      <c r="AM22" s="592">
        <f>IF(AK22&lt;&gt;0,AL22/AK22,0)</f>
        <v>7.126124167183989E-3</v>
      </c>
      <c r="AN22" s="605">
        <f>IF(AK$32&lt;&gt;0,AK22/AK$32,0)</f>
        <v>1</v>
      </c>
      <c r="AO22" s="591">
        <f>IF($AK$32&lt;&gt;0,AL22/$AK$32,0)</f>
        <v>7.126124167183989E-3</v>
      </c>
      <c r="AP22" s="604">
        <f>AK$32*AS22</f>
        <v>121112435</v>
      </c>
      <c r="AQ22" s="603">
        <f>AP22*AR22</f>
        <v>363337.30499999999</v>
      </c>
      <c r="AR22" s="607">
        <v>3.0000000000000001E-3</v>
      </c>
      <c r="AS22" s="606">
        <f>1</f>
        <v>1</v>
      </c>
      <c r="AT22" s="601">
        <f>IF($AK$32&lt;&gt;0,AQ22/$AK$32,AR22*AS22)</f>
        <v>3.0000000000000001E-3</v>
      </c>
      <c r="AU22" s="600">
        <f>AK22*AR22</f>
        <v>363337.30499999999</v>
      </c>
      <c r="AV22" s="599">
        <f>IF($AK$32&lt;&gt;0,AU22/$AK$32,0)</f>
        <v>3.0000000000000001E-3</v>
      </c>
      <c r="AW22" s="598">
        <f t="shared" si="95"/>
        <v>0</v>
      </c>
      <c r="AX22" s="597">
        <f t="shared" si="95"/>
        <v>499724.94500000001</v>
      </c>
      <c r="AY22" s="597">
        <f>AW22*AR22</f>
        <v>0</v>
      </c>
      <c r="AZ22" s="596">
        <f>+AL22-AU22</f>
        <v>499724.94500000001</v>
      </c>
      <c r="BA22" s="568">
        <v>630366</v>
      </c>
      <c r="BB22" s="161">
        <v>4940.63</v>
      </c>
      <c r="BC22" s="592">
        <f>IF(BA22&lt;&gt;0,BB22/BA22,0)</f>
        <v>7.8377165012072352E-3</v>
      </c>
      <c r="BD22" s="605">
        <f>IF(BA$32&lt;&gt;0,BA22/BA$32,0)</f>
        <v>1</v>
      </c>
      <c r="BE22" s="591">
        <f>IF($BA$32&lt;&gt;0,BB22/$BA$32,0)</f>
        <v>7.8377165012072352E-3</v>
      </c>
      <c r="BF22" s="604">
        <f>BA$32*BI22</f>
        <v>630366</v>
      </c>
      <c r="BG22" s="603">
        <f>BF22*BH22</f>
        <v>1891.098</v>
      </c>
      <c r="BH22" s="607">
        <v>3.0000000000000001E-3</v>
      </c>
      <c r="BI22" s="606">
        <f>1</f>
        <v>1</v>
      </c>
      <c r="BJ22" s="601">
        <f>IF($BA$32&lt;&gt;0,BG22/$BA$32,BH22*BI22)</f>
        <v>3.0000000000000001E-3</v>
      </c>
      <c r="BK22" s="600">
        <f>BA22*BH22</f>
        <v>1891.098</v>
      </c>
      <c r="BL22" s="599">
        <f>IF($BA$32&lt;&gt;0,BK22/$BA$32,0)</f>
        <v>3.0000000000000001E-3</v>
      </c>
      <c r="BM22" s="598">
        <f t="shared" si="96"/>
        <v>0</v>
      </c>
      <c r="BN22" s="597">
        <f t="shared" si="96"/>
        <v>3049.5320000000002</v>
      </c>
      <c r="BO22" s="597">
        <f>BM22*BH22</f>
        <v>0</v>
      </c>
      <c r="BP22" s="596">
        <f>+BB22-BK22</f>
        <v>3049.5320000000002</v>
      </c>
      <c r="BQ22" s="568">
        <v>1071400</v>
      </c>
      <c r="BR22" s="161">
        <v>12445.839999999998</v>
      </c>
      <c r="BS22" s="592">
        <f>IF(BQ22&lt;&gt;0,BR22/BQ22,0)</f>
        <v>1.1616427104722792E-2</v>
      </c>
      <c r="BT22" s="605">
        <f>IF(BQ$32&lt;&gt;0,BQ22/BQ$32,0)</f>
        <v>1</v>
      </c>
      <c r="BU22" s="591">
        <f>IF($BQ$32&lt;&gt;0,BR22/$BQ$32,0)</f>
        <v>1.1616427104722792E-2</v>
      </c>
      <c r="BV22" s="604">
        <f>BQ$32*BY22</f>
        <v>1071400</v>
      </c>
      <c r="BW22" s="603">
        <f>BV22*BX22</f>
        <v>3214.2000000000003</v>
      </c>
      <c r="BX22" s="607">
        <v>3.0000000000000001E-3</v>
      </c>
      <c r="BY22" s="606">
        <f>1</f>
        <v>1</v>
      </c>
      <c r="BZ22" s="601">
        <f>IF($BQ$32&lt;&gt;0,BW22/$BQ$32,BX22*BY22)</f>
        <v>3.0000000000000001E-3</v>
      </c>
      <c r="CA22" s="600">
        <f>BQ22*BX22</f>
        <v>3214.2000000000003</v>
      </c>
      <c r="CB22" s="599">
        <f>IF($BQ$32&lt;&gt;0,CA22/$BQ$32,0)</f>
        <v>3.0000000000000001E-3</v>
      </c>
      <c r="CC22" s="598">
        <f t="shared" si="97"/>
        <v>0</v>
      </c>
      <c r="CD22" s="597">
        <f t="shared" si="97"/>
        <v>9231.6399999999976</v>
      </c>
      <c r="CE22" s="597">
        <f>CC22*BX22</f>
        <v>0</v>
      </c>
      <c r="CF22" s="596">
        <f>BR22-CA22</f>
        <v>9231.6399999999976</v>
      </c>
      <c r="CG22" s="568">
        <v>0</v>
      </c>
      <c r="CH22" s="161">
        <v>0</v>
      </c>
      <c r="CI22" s="592">
        <f>IF(CG22&lt;&gt;0,CH22/CG22,0)</f>
        <v>0</v>
      </c>
      <c r="CJ22" s="605">
        <f>IF(CG$32&lt;&gt;0,CG22/CG$32,0)</f>
        <v>0</v>
      </c>
      <c r="CK22" s="591">
        <f>IF($CG$32&lt;&gt;0,CH22/$CG$32,0)</f>
        <v>0</v>
      </c>
      <c r="CL22" s="604">
        <f>CG$32*CO22</f>
        <v>0</v>
      </c>
      <c r="CM22" s="603">
        <f>CL22*CN22</f>
        <v>0</v>
      </c>
      <c r="CN22" s="607">
        <v>3.0000000000000001E-3</v>
      </c>
      <c r="CO22" s="606">
        <v>0</v>
      </c>
      <c r="CP22" s="601">
        <f>IF($CG$32&lt;&gt;0,CM22/$CG$32,CN22*CO22)</f>
        <v>0</v>
      </c>
      <c r="CQ22" s="600">
        <f>CG22*CN22</f>
        <v>0</v>
      </c>
      <c r="CR22" s="599">
        <f>IF($CG$32&lt;&gt;0,CQ22/$CG$32,0)</f>
        <v>0</v>
      </c>
      <c r="CS22" s="598">
        <f t="shared" si="98"/>
        <v>0</v>
      </c>
      <c r="CT22" s="597">
        <f t="shared" si="98"/>
        <v>0</v>
      </c>
      <c r="CU22" s="597">
        <f>CS22*CN22</f>
        <v>0</v>
      </c>
      <c r="CV22" s="596">
        <f>CH22-CQ22</f>
        <v>0</v>
      </c>
      <c r="CW22" s="568">
        <f t="shared" si="99"/>
        <v>146644637</v>
      </c>
      <c r="CX22" s="161">
        <f t="shared" si="99"/>
        <v>1059687.3999999999</v>
      </c>
      <c r="CY22" s="592">
        <f>IF(CW22&lt;&gt;0,CX22/CW22,0)</f>
        <v>7.2262267593188557E-3</v>
      </c>
      <c r="CZ22" s="605">
        <f>IF(CW$32&lt;&gt;0,CW22/CW$32,0)</f>
        <v>0.99450530137505067</v>
      </c>
      <c r="DA22" s="591">
        <f>IF($CW$32&lt;&gt;0,CX22/$CW$32,0)</f>
        <v>7.1865208210808535E-3</v>
      </c>
      <c r="DB22" s="604">
        <f t="shared" si="100"/>
        <v>146644637</v>
      </c>
      <c r="DC22" s="603">
        <f t="shared" si="100"/>
        <v>554528.82766666659</v>
      </c>
      <c r="DD22" s="602">
        <v>2.3E-3</v>
      </c>
      <c r="DE22" s="575">
        <f>IF(CW$32&lt;&gt;0,DB22/CW$32,0)</f>
        <v>0.99450530137505067</v>
      </c>
      <c r="DF22" s="601">
        <f>IF($CW$32&lt;&gt;0,DC22/$CW$32,0)</f>
        <v>3.7606684442186029E-3</v>
      </c>
      <c r="DG22" s="600">
        <f>O22+AE22+AU22+BK22+CA22+CQ22</f>
        <v>554528.82766666659</v>
      </c>
      <c r="DH22" s="599">
        <f>IF($CW$32&lt;&gt;0,DG22/$CW$32,0)</f>
        <v>3.7606684442186029E-3</v>
      </c>
      <c r="DI22" s="598">
        <f t="shared" si="101"/>
        <v>0</v>
      </c>
      <c r="DJ22" s="597">
        <f t="shared" si="101"/>
        <v>505158.57233333337</v>
      </c>
      <c r="DK22" s="597">
        <f t="shared" si="101"/>
        <v>0</v>
      </c>
      <c r="DL22" s="596">
        <f t="shared" si="101"/>
        <v>505158.57233333337</v>
      </c>
      <c r="DM22" s="556"/>
      <c r="DO22" s="568">
        <f t="shared" si="102"/>
        <v>122814201</v>
      </c>
      <c r="DP22" s="161">
        <f t="shared" si="103"/>
        <v>880448.72</v>
      </c>
      <c r="DQ22" s="592">
        <f>IF(DO22&lt;&gt;0,DP22/DO22,0)</f>
        <v>7.1689488091039241E-3</v>
      </c>
      <c r="DR22" s="605">
        <f>IF(DO$32&lt;&gt;0,DO22/DO$32,0)</f>
        <v>1</v>
      </c>
      <c r="DS22" s="659">
        <f t="shared" si="104"/>
        <v>7.1689488091039241E-3</v>
      </c>
    </row>
    <row r="23" spans="1:123">
      <c r="A23" s="595" t="s">
        <v>395</v>
      </c>
      <c r="B23" s="594"/>
      <c r="C23" s="259">
        <f>SUM(C18:C22)</f>
        <v>9737727.4199999999</v>
      </c>
      <c r="D23" s="609"/>
      <c r="E23" s="568"/>
      <c r="F23" s="143">
        <f>SUM(F18:F22)+F16</f>
        <v>10439079.289999999</v>
      </c>
      <c r="G23" s="592"/>
      <c r="H23" s="579"/>
      <c r="I23" s="592">
        <f>SUM(I18:I22)+I16</f>
        <v>0.67562483269691287</v>
      </c>
      <c r="J23" s="621"/>
      <c r="K23" s="621">
        <f>SUM(K18:K22)+K16</f>
        <v>9522426.154529687</v>
      </c>
      <c r="L23" s="625"/>
      <c r="M23" s="624"/>
      <c r="N23" s="589">
        <f>SUM(N18:N22)+N16</f>
        <v>0.61629837256680386</v>
      </c>
      <c r="O23" s="623">
        <f>SUM(O18:O22)+O16</f>
        <v>9825714.1111437194</v>
      </c>
      <c r="P23" s="622">
        <f>SUM(P18:P22)+P16</f>
        <v>0.63592739053418679</v>
      </c>
      <c r="Q23" s="598"/>
      <c r="R23" s="598">
        <f>SUM(R18:R22)+R16</f>
        <v>916653.13547031349</v>
      </c>
      <c r="S23" s="598">
        <f>SUM(S18:S22)+S16</f>
        <v>303287.95661403349</v>
      </c>
      <c r="T23" s="620">
        <f>SUM(T18:T22)+T16</f>
        <v>613365.17885628028</v>
      </c>
      <c r="U23" s="568"/>
      <c r="V23" s="143">
        <f>SUM(V18:V22)+V16</f>
        <v>2075722.15</v>
      </c>
      <c r="W23" s="592"/>
      <c r="X23" s="579"/>
      <c r="Y23" s="592">
        <f>SUM(Y18:Y22)+Y16</f>
        <v>0.24771621264247379</v>
      </c>
      <c r="Z23" s="621"/>
      <c r="AA23" s="621">
        <f>SUM(AA18:AA22)+AA16</f>
        <v>1527867.5634513199</v>
      </c>
      <c r="AB23" s="625"/>
      <c r="AC23" s="624"/>
      <c r="AD23" s="589">
        <f>SUM(AD18:AD22)+AD16</f>
        <v>0.18233537</v>
      </c>
      <c r="AE23" s="623">
        <f>SUM(AE18:AE22)+AE16</f>
        <v>1570172.4542593199</v>
      </c>
      <c r="AF23" s="622">
        <f>SUM(AF18:AF22)+AF16</f>
        <v>0.18738402611575766</v>
      </c>
      <c r="AG23" s="598"/>
      <c r="AH23" s="598">
        <f>SUM(AH18:AH22)+AH16</f>
        <v>547854.58654867997</v>
      </c>
      <c r="AI23" s="598">
        <f>SUM(AI18:AI22)+AI16</f>
        <v>42304.890808000026</v>
      </c>
      <c r="AJ23" s="620">
        <f>SUM(AJ18:AJ22)+AJ16</f>
        <v>505549.69574068009</v>
      </c>
      <c r="AK23" s="568"/>
      <c r="AL23" s="143">
        <f>SUM(AL18:AL22)+AL16</f>
        <v>13261851.399999999</v>
      </c>
      <c r="AM23" s="592"/>
      <c r="AN23" s="579"/>
      <c r="AO23" s="592">
        <f>SUM(AO18:AO22)+AO16</f>
        <v>0.10950032835191531</v>
      </c>
      <c r="AP23" s="621"/>
      <c r="AQ23" s="621">
        <f>SUM(AQ18:AQ22)+AQ16</f>
        <v>8840672.4380372986</v>
      </c>
      <c r="AR23" s="625"/>
      <c r="AS23" s="624"/>
      <c r="AT23" s="589">
        <f>SUM(AT18:AT22)+AT16</f>
        <v>7.2995580000000004E-2</v>
      </c>
      <c r="AU23" s="623">
        <f>SUM(AU18:AU22)+AU16</f>
        <v>9692071.8279609215</v>
      </c>
      <c r="AV23" s="622">
        <f>SUM(AV18:AV22)+AV16</f>
        <v>8.0025406375166364E-2</v>
      </c>
      <c r="AW23" s="598"/>
      <c r="AX23" s="598">
        <f>SUM(AX18:AX22)+AX16</f>
        <v>4421178.961962699</v>
      </c>
      <c r="AY23" s="598">
        <f>SUM(AY18:AY22)+AY16</f>
        <v>851399.38992362074</v>
      </c>
      <c r="AZ23" s="620">
        <f>SUM(AZ18:AZ22)+AZ16</f>
        <v>3569779.572039078</v>
      </c>
      <c r="BA23" s="568"/>
      <c r="BB23" s="143">
        <f>SUM(BB18:BB22)+BB16</f>
        <v>217807.96</v>
      </c>
      <c r="BC23" s="592"/>
      <c r="BD23" s="579"/>
      <c r="BE23" s="592">
        <f>SUM(BE18:BE22)+BE16</f>
        <v>0.34552618637426513</v>
      </c>
      <c r="BF23" s="621"/>
      <c r="BG23" s="621">
        <f>SUM(BG18:BG22)+BG16</f>
        <v>84695.490378179995</v>
      </c>
      <c r="BH23" s="625"/>
      <c r="BI23" s="624"/>
      <c r="BJ23" s="589">
        <f>SUM(BJ18:BJ22)+BJ16</f>
        <v>0.13435923</v>
      </c>
      <c r="BK23" s="623">
        <f>SUM(BK18:BK22)+BK16</f>
        <v>205954.91145888</v>
      </c>
      <c r="BL23" s="622">
        <f>SUM(BL18:BL22)+BL16</f>
        <v>0.326722747513159</v>
      </c>
      <c r="BM23" s="598"/>
      <c r="BN23" s="598">
        <f>SUM(BN18:BN22)+BN16</f>
        <v>133112.46962182003</v>
      </c>
      <c r="BO23" s="598">
        <f>SUM(BO18:BO22)+BO16</f>
        <v>121259.42108069999</v>
      </c>
      <c r="BP23" s="620">
        <f>SUM(BP18:BP22)+BP16</f>
        <v>11853.048541120015</v>
      </c>
      <c r="BQ23" s="568"/>
      <c r="BR23" s="143">
        <f>SUM(BR18:BR22)+BR16</f>
        <v>266008.19</v>
      </c>
      <c r="BS23" s="592"/>
      <c r="BT23" s="579"/>
      <c r="BU23" s="592">
        <f>SUM(BU18:BU22)+BU16</f>
        <v>0.24828093149150646</v>
      </c>
      <c r="BV23" s="621"/>
      <c r="BW23" s="621">
        <f>SUM(BW18:BW22)+BW16</f>
        <v>78207.464412000001</v>
      </c>
      <c r="BX23" s="625"/>
      <c r="BY23" s="624"/>
      <c r="BZ23" s="589">
        <f>SUM(BZ18:BZ22)+BZ16</f>
        <v>7.2995580000000004E-2</v>
      </c>
      <c r="CA23" s="623">
        <f>SUM(CA18:CA22)+CA16</f>
        <v>228083.71536900001</v>
      </c>
      <c r="CB23" s="622">
        <f>SUM(CB18:CB22)+CB16</f>
        <v>0.21288381124603323</v>
      </c>
      <c r="CC23" s="598"/>
      <c r="CD23" s="598">
        <f>SUM(CD18:CD22)+CD16</f>
        <v>187800.72558800003</v>
      </c>
      <c r="CE23" s="598">
        <f>SUM(CE18:CE22)+CE16</f>
        <v>149876.25095700001</v>
      </c>
      <c r="CF23" s="620">
        <f>SUM(CF18:CF22)+CF16</f>
        <v>37924.47463099999</v>
      </c>
      <c r="CG23" s="568"/>
      <c r="CH23" s="143">
        <f>SUM(CH18:CH22)+CH16</f>
        <v>17148.13</v>
      </c>
      <c r="CI23" s="592"/>
      <c r="CJ23" s="579"/>
      <c r="CK23" s="592">
        <f>SUM(CK18:CK22)+CK16</f>
        <v>2.1164782404778947E-2</v>
      </c>
      <c r="CL23" s="621"/>
      <c r="CM23" s="621">
        <f>SUM(CM18:CM22)+CM16</f>
        <v>10900.849770700001</v>
      </c>
      <c r="CN23" s="625"/>
      <c r="CO23" s="624"/>
      <c r="CP23" s="589">
        <f>SUM(CP18:CP22)+CP16</f>
        <v>1.3454185E-2</v>
      </c>
      <c r="CQ23" s="623">
        <f>SUM(CQ18:CQ22)+CQ16</f>
        <v>13928.669827150003</v>
      </c>
      <c r="CR23" s="622">
        <f>SUM(CR18:CR22)+CR16</f>
        <v>1.719121945539483E-2</v>
      </c>
      <c r="CS23" s="598"/>
      <c r="CT23" s="598">
        <f>SUM(CT18:CT22)+CT16</f>
        <v>6247.2802293000004</v>
      </c>
      <c r="CU23" s="598">
        <f>SUM(CU18:CU22)+CU16</f>
        <v>3027.8200564499998</v>
      </c>
      <c r="CV23" s="620">
        <f>SUM(CV18:CV22)+CV16</f>
        <v>3219.4601728499993</v>
      </c>
      <c r="CW23" s="568"/>
      <c r="CX23" s="143">
        <f>SUM(CX18:CX22)+CX16</f>
        <v>26277617.120000001</v>
      </c>
      <c r="CY23" s="592"/>
      <c r="CZ23" s="579"/>
      <c r="DA23" s="592">
        <f>SUM(DA18:DA22)+DA16</f>
        <v>0.17820787768286261</v>
      </c>
      <c r="DB23" s="621"/>
      <c r="DC23" s="621">
        <f>SUM(DC18:DC22)+DC16</f>
        <v>20064769.960579187</v>
      </c>
      <c r="DD23" s="589"/>
      <c r="DE23" s="588"/>
      <c r="DF23" s="589">
        <f>SUM(DF18:DF22)+DF16</f>
        <v>0.13607398473540405</v>
      </c>
      <c r="DG23" s="623">
        <f>SUM(DG18:DG22)+DG16</f>
        <v>21535925.690018989</v>
      </c>
      <c r="DH23" s="622">
        <f>SUM(DH18:DH22)+DH16</f>
        <v>0.146050975384412</v>
      </c>
      <c r="DI23" s="598"/>
      <c r="DJ23" s="598">
        <f>SUM(DJ18:DJ22)+DJ16</f>
        <v>6212847.1594208125</v>
      </c>
      <c r="DK23" s="598">
        <f>SUM(DK18:DK22)+DK16</f>
        <v>1471155.7294398041</v>
      </c>
      <c r="DL23" s="620">
        <f>SUM(DL18:DL22)+DL16</f>
        <v>4741691.4299810091</v>
      </c>
      <c r="DM23" s="556"/>
      <c r="DO23" s="568"/>
      <c r="DP23" s="143">
        <f>SUM(DP18:DP22)+DP16</f>
        <v>13745667.549999999</v>
      </c>
      <c r="DQ23" s="592"/>
      <c r="DR23" s="579"/>
      <c r="DS23" s="658">
        <f>SUM(DS18:DS22)+DS16</f>
        <v>0.11192246041644645</v>
      </c>
    </row>
    <row r="24" spans="1:123" ht="7.15" customHeight="1">
      <c r="A24" s="556"/>
      <c r="D24" s="609"/>
      <c r="E24" s="568"/>
      <c r="F24" s="143"/>
      <c r="G24" s="592"/>
      <c r="H24" s="579"/>
      <c r="I24" s="592"/>
      <c r="J24" s="621"/>
      <c r="K24" s="617"/>
      <c r="L24" s="607"/>
      <c r="M24" s="606"/>
      <c r="N24" s="615"/>
      <c r="O24" s="614"/>
      <c r="P24" s="613"/>
      <c r="Q24" s="598"/>
      <c r="R24" s="612"/>
      <c r="S24" s="612"/>
      <c r="T24" s="620"/>
      <c r="U24" s="568"/>
      <c r="V24" s="143"/>
      <c r="W24" s="592"/>
      <c r="X24" s="579"/>
      <c r="Y24" s="592"/>
      <c r="Z24" s="621"/>
      <c r="AA24" s="617"/>
      <c r="AB24" s="607"/>
      <c r="AC24" s="606"/>
      <c r="AD24" s="615"/>
      <c r="AE24" s="614"/>
      <c r="AF24" s="613"/>
      <c r="AG24" s="598"/>
      <c r="AH24" s="612"/>
      <c r="AI24" s="612"/>
      <c r="AJ24" s="620"/>
      <c r="AK24" s="568"/>
      <c r="AL24" s="143"/>
      <c r="AM24" s="592"/>
      <c r="AN24" s="579"/>
      <c r="AO24" s="592"/>
      <c r="AP24" s="621"/>
      <c r="AQ24" s="617"/>
      <c r="AR24" s="607"/>
      <c r="AS24" s="606"/>
      <c r="AT24" s="615"/>
      <c r="AU24" s="614"/>
      <c r="AV24" s="613"/>
      <c r="AW24" s="598"/>
      <c r="AX24" s="612"/>
      <c r="AY24" s="612"/>
      <c r="AZ24" s="620"/>
      <c r="BA24" s="568"/>
      <c r="BB24" s="143"/>
      <c r="BC24" s="592"/>
      <c r="BD24" s="579"/>
      <c r="BE24" s="592"/>
      <c r="BF24" s="621"/>
      <c r="BG24" s="617"/>
      <c r="BH24" s="607"/>
      <c r="BI24" s="606"/>
      <c r="BJ24" s="615"/>
      <c r="BK24" s="614"/>
      <c r="BL24" s="613"/>
      <c r="BM24" s="598"/>
      <c r="BN24" s="612"/>
      <c r="BO24" s="612"/>
      <c r="BP24" s="620"/>
      <c r="BQ24" s="568"/>
      <c r="BR24" s="143"/>
      <c r="BS24" s="592"/>
      <c r="BT24" s="579"/>
      <c r="BU24" s="592"/>
      <c r="BV24" s="621"/>
      <c r="BW24" s="617"/>
      <c r="BX24" s="607"/>
      <c r="BY24" s="606"/>
      <c r="BZ24" s="615"/>
      <c r="CA24" s="614"/>
      <c r="CB24" s="613"/>
      <c r="CC24" s="598"/>
      <c r="CD24" s="612"/>
      <c r="CE24" s="612"/>
      <c r="CF24" s="620"/>
      <c r="CG24" s="568"/>
      <c r="CH24" s="143"/>
      <c r="CI24" s="592"/>
      <c r="CJ24" s="579"/>
      <c r="CK24" s="592"/>
      <c r="CL24" s="621"/>
      <c r="CM24" s="617"/>
      <c r="CN24" s="607"/>
      <c r="CO24" s="606"/>
      <c r="CP24" s="615"/>
      <c r="CQ24" s="614"/>
      <c r="CR24" s="613"/>
      <c r="CS24" s="598"/>
      <c r="CT24" s="612"/>
      <c r="CU24" s="612"/>
      <c r="CV24" s="620"/>
      <c r="CW24" s="568"/>
      <c r="CX24" s="143"/>
      <c r="CY24" s="592"/>
      <c r="CZ24" s="579"/>
      <c r="DA24" s="592"/>
      <c r="DB24" s="621"/>
      <c r="DC24" s="617"/>
      <c r="DD24" s="615"/>
      <c r="DE24" s="616"/>
      <c r="DF24" s="615"/>
      <c r="DG24" s="614"/>
      <c r="DH24" s="613"/>
      <c r="DI24" s="598"/>
      <c r="DJ24" s="612"/>
      <c r="DK24" s="612"/>
      <c r="DL24" s="620"/>
      <c r="DM24" s="556"/>
      <c r="DO24" s="568"/>
      <c r="DP24" s="143"/>
      <c r="DQ24" s="592"/>
      <c r="DR24" s="579"/>
      <c r="DS24" s="658"/>
    </row>
    <row r="25" spans="1:123">
      <c r="A25" s="619" t="s">
        <v>18</v>
      </c>
      <c r="B25" s="610">
        <v>81256</v>
      </c>
      <c r="C25" s="618">
        <v>2380814.25</v>
      </c>
      <c r="D25" s="609" t="s">
        <v>19</v>
      </c>
      <c r="E25" s="568">
        <v>18724.41</v>
      </c>
      <c r="F25" s="143">
        <v>552187.63</v>
      </c>
      <c r="G25" s="608">
        <f t="shared" ref="G25:G30" si="105">IF(E25&lt;&gt;0,F25/E25,0)</f>
        <v>29.490255233676255</v>
      </c>
      <c r="H25" s="605">
        <f t="shared" ref="H25:H30" si="106">IF(E$32&lt;&gt;0,E25/E$32,0)</f>
        <v>1.2118574849524302E-3</v>
      </c>
      <c r="I25" s="592">
        <f t="shared" ref="I25:I30" si="107">IF($E$32&lt;&gt;0,F25/$E$32,0)</f>
        <v>3.573798653808815E-2</v>
      </c>
      <c r="J25" s="617">
        <f t="shared" ref="J25:J30" si="108">E$32*M25</f>
        <v>26444.386499999997</v>
      </c>
      <c r="K25" s="617">
        <f t="shared" ref="K25:K30" si="109">J25*L25</f>
        <v>852269.12577831734</v>
      </c>
      <c r="L25" s="607">
        <v>32.228735039034369</v>
      </c>
      <c r="M25" s="606">
        <v>1.7114999999999999E-3</v>
      </c>
      <c r="N25" s="615">
        <f t="shared" ref="N25:N30" si="110">IF($E$32&lt;&gt;0,K25/$E$32,L25*M25)</f>
        <v>5.5159480019307316E-2</v>
      </c>
      <c r="O25" s="614">
        <f t="shared" ref="O25:O30" si="111">E25*L25</f>
        <v>603464.04865224555</v>
      </c>
      <c r="P25" s="613">
        <f t="shared" ref="P25:P30" si="112">IF($E$32&lt;&gt;0,O25/$E$32,0)</f>
        <v>3.9056633787602456E-2</v>
      </c>
      <c r="Q25" s="598">
        <f t="shared" ref="Q25:R30" si="113">E25-J25</f>
        <v>-7719.976499999997</v>
      </c>
      <c r="R25" s="612">
        <f t="shared" si="113"/>
        <v>-300081.49577831733</v>
      </c>
      <c r="S25" s="612">
        <f t="shared" ref="S25:S30" si="114">Q25*L25</f>
        <v>-248805.07712607182</v>
      </c>
      <c r="T25" s="611">
        <f t="shared" ref="T25:T30" si="115">F25-O25</f>
        <v>-51276.418652245542</v>
      </c>
      <c r="U25" s="568">
        <v>4394.1369999999997</v>
      </c>
      <c r="V25" s="143">
        <v>128336.22</v>
      </c>
      <c r="W25" s="592">
        <f t="shared" ref="W25:W30" si="116">IF(U25&lt;&gt;0,V25/U25,0)</f>
        <v>29.206240042128865</v>
      </c>
      <c r="X25" s="605">
        <f t="shared" ref="X25:X30" si="117">IF(U$32&lt;&gt;0,U25/U$32,0)</f>
        <v>5.2439531729820473E-4</v>
      </c>
      <c r="Y25" s="592">
        <f t="shared" ref="Y25:Y30" si="118">IF($U$32&lt;&gt;0,V25/$U$32,0)</f>
        <v>1.53156155139797E-2</v>
      </c>
      <c r="Z25" s="617">
        <f t="shared" ref="Z25:Z30" si="119">U$32*AC25</f>
        <v>4122.6825120000003</v>
      </c>
      <c r="AA25" s="617">
        <f t="shared" ref="AA25:AA30" si="120">Z25*AB25</f>
        <v>132868.69787449442</v>
      </c>
      <c r="AB25" s="607">
        <v>32.228700000000003</v>
      </c>
      <c r="AC25" s="606">
        <v>4.9200000000000003E-4</v>
      </c>
      <c r="AD25" s="615">
        <f t="shared" ref="AD25:AD30" si="121">IF($U$32&lt;&gt;0,AA25/$U$32,AB25*AC25)</f>
        <v>1.5856520400000001E-2</v>
      </c>
      <c r="AE25" s="614">
        <f t="shared" ref="AE25:AE30" si="122">U25*AB25</f>
        <v>141617.32313190002</v>
      </c>
      <c r="AF25" s="613">
        <f t="shared" ref="AF25:AF30" si="123">IF($U$32&lt;&gt;0,AE25/$U$32,0)</f>
        <v>1.6900579362608654E-2</v>
      </c>
      <c r="AG25" s="598">
        <f t="shared" ref="AG25:AH30" si="124">U25-Z25</f>
        <v>271.4544879999994</v>
      </c>
      <c r="AH25" s="612">
        <f t="shared" si="124"/>
        <v>-4532.4778744944197</v>
      </c>
      <c r="AI25" s="612">
        <f t="shared" ref="AI25:AI30" si="125">AG25*AB25</f>
        <v>8748.6252574055816</v>
      </c>
      <c r="AJ25" s="611">
        <f t="shared" ref="AJ25:AJ30" si="126">V25-AE25</f>
        <v>-13281.103131900018</v>
      </c>
      <c r="AK25" s="568">
        <v>54198.185999999994</v>
      </c>
      <c r="AL25" s="143">
        <v>1584574.56</v>
      </c>
      <c r="AM25" s="592">
        <f t="shared" ref="AM25:AM30" si="127">IF(AK25&lt;&gt;0,AL25/AK25,0)</f>
        <v>29.236671500407784</v>
      </c>
      <c r="AN25" s="605">
        <f t="shared" ref="AN25:AN30" si="128">IF(AK$32&lt;&gt;0,AK25/AK$32,0)</f>
        <v>4.4750306605593386E-4</v>
      </c>
      <c r="AO25" s="592">
        <f t="shared" ref="AO25:AO30" si="129">IF($AK$32&lt;&gt;0,AL25/$AK$32,0)</f>
        <v>1.3083500137702623E-2</v>
      </c>
      <c r="AP25" s="617">
        <f t="shared" ref="AP25:AP30" si="130">AK$32*AS25</f>
        <v>57770.631495000001</v>
      </c>
      <c r="AQ25" s="617">
        <f t="shared" ref="AQ25:AQ30" si="131">AP25*AR25</f>
        <v>1861872.3512629068</v>
      </c>
      <c r="AR25" s="607">
        <v>32.228700000000003</v>
      </c>
      <c r="AS25" s="606">
        <v>4.7699999999999999E-4</v>
      </c>
      <c r="AT25" s="615">
        <f t="shared" ref="AT25:AT30" si="132">IF($AK$32&lt;&gt;0,AQ25/$AK$32,AR25*AS25)</f>
        <v>1.5373089900000003E-2</v>
      </c>
      <c r="AU25" s="614">
        <f t="shared" ref="AU25:AU30" si="133">AK25*AR25</f>
        <v>1746737.0771381999</v>
      </c>
      <c r="AV25" s="613">
        <f t="shared" ref="AV25:AV30" si="134">IF($AK$32&lt;&gt;0,AU25/$AK$32,0)</f>
        <v>1.4422442064996877E-2</v>
      </c>
      <c r="AW25" s="598">
        <f t="shared" ref="AW25:AX30" si="135">AK25-AP25</f>
        <v>-3572.4454950000072</v>
      </c>
      <c r="AX25" s="612">
        <f t="shared" si="135"/>
        <v>-277297.79126290674</v>
      </c>
      <c r="AY25" s="612">
        <f t="shared" ref="AY25:AY30" si="136">AW25*AR25</f>
        <v>-115135.27412470675</v>
      </c>
      <c r="AZ25" s="611">
        <f t="shared" ref="AZ25:AZ30" si="137">+AL25-AU25</f>
        <v>-162162.51713819988</v>
      </c>
      <c r="BA25" s="568">
        <v>303.20499999999998</v>
      </c>
      <c r="BB25" s="143">
        <v>8882.06</v>
      </c>
      <c r="BC25" s="592">
        <f t="shared" ref="BC25:BC30" si="138">IF(BA25&lt;&gt;0,BB25/BA25,0)</f>
        <v>29.293910060849921</v>
      </c>
      <c r="BD25" s="605">
        <f t="shared" ref="BD25:BD30" si="139">IF(BA$32&lt;&gt;0,BA25/BA$32,0)</f>
        <v>4.8099834064654499E-4</v>
      </c>
      <c r="BE25" s="592">
        <f t="shared" ref="BE25:BE30" si="140">IF($BA$32&lt;&gt;0,BB25/$BA$32,0)</f>
        <v>1.4090322130317941E-2</v>
      </c>
      <c r="BF25" s="617">
        <f t="shared" ref="BF25:BF30" si="141">BA$32*BI25</f>
        <v>300.68458199999998</v>
      </c>
      <c r="BG25" s="617">
        <f t="shared" ref="BG25:BG30" si="142">BF25*BH25</f>
        <v>9690.6731879033996</v>
      </c>
      <c r="BH25" s="607">
        <v>32.228700000000003</v>
      </c>
      <c r="BI25" s="606">
        <v>4.7699999999999999E-4</v>
      </c>
      <c r="BJ25" s="615">
        <f t="shared" ref="BJ25:BJ30" si="143">IF($BA$32&lt;&gt;0,BG25/$BA$32,BH25*BI25)</f>
        <v>1.5373089899999999E-2</v>
      </c>
      <c r="BK25" s="614">
        <f t="shared" ref="BK25:BK30" si="144">BA25*BH25</f>
        <v>9771.9029835000001</v>
      </c>
      <c r="BL25" s="613">
        <f t="shared" ref="BL25:BL30" si="145">IF($BA$32&lt;&gt;0,BK25/$BA$32,0)</f>
        <v>1.5501951221195305E-2</v>
      </c>
      <c r="BM25" s="598">
        <f t="shared" ref="BM25:BN30" si="146">BA25-BF25</f>
        <v>2.5204180000000065</v>
      </c>
      <c r="BN25" s="612">
        <f t="shared" si="146"/>
        <v>-808.6131879034001</v>
      </c>
      <c r="BO25" s="612">
        <f t="shared" ref="BO25:BO30" si="147">BM25*BH25</f>
        <v>81.229795596600212</v>
      </c>
      <c r="BP25" s="611">
        <f t="shared" ref="BP25:BP30" si="148">+BB25-BK25</f>
        <v>-889.84298350000063</v>
      </c>
      <c r="BQ25" s="568">
        <v>500.76400000000001</v>
      </c>
      <c r="BR25" s="143">
        <v>14728.289999999999</v>
      </c>
      <c r="BS25" s="592">
        <f t="shared" ref="BS25:BS30" si="149">IF(BQ25&lt;&gt;0,BR25/BQ25,0)</f>
        <v>29.411639015584186</v>
      </c>
      <c r="BT25" s="605">
        <f t="shared" ref="BT25:BT30" si="150">IF(BQ$32&lt;&gt;0,BQ25/BQ$32,0)</f>
        <v>4.6739219712525667E-4</v>
      </c>
      <c r="BU25" s="592">
        <f t="shared" ref="BU25:BU30" si="151">IF($BQ$32&lt;&gt;0,BR25/$BQ$32,0)</f>
        <v>1.3746770580548814E-2</v>
      </c>
      <c r="BV25" s="617">
        <f t="shared" ref="BV25:BV30" si="152">BQ$32*BY25</f>
        <v>511.05779999999999</v>
      </c>
      <c r="BW25" s="617">
        <f t="shared" ref="BW25:BW30" si="153">BV25*BX25</f>
        <v>16470.72851886</v>
      </c>
      <c r="BX25" s="607">
        <v>32.228700000000003</v>
      </c>
      <c r="BY25" s="606">
        <v>4.7699999999999999E-4</v>
      </c>
      <c r="BZ25" s="615">
        <f t="shared" ref="BZ25:BZ30" si="154">IF($BQ$32&lt;&gt;0,BW25/$BQ$32,BX25*BY25)</f>
        <v>1.5373089899999999E-2</v>
      </c>
      <c r="CA25" s="614">
        <f t="shared" ref="CA25:CA30" si="155">BQ25*BX25</f>
        <v>16138.972726800002</v>
      </c>
      <c r="CB25" s="613">
        <f t="shared" ref="CB25:CB30" si="156">IF($BQ$32&lt;&gt;0,CA25/$BQ$32,0)</f>
        <v>1.5063442903490761E-2</v>
      </c>
      <c r="CC25" s="598">
        <f t="shared" ref="CC25:CD30" si="157">BQ25-BV25</f>
        <v>-10.293799999999976</v>
      </c>
      <c r="CD25" s="612">
        <f t="shared" si="157"/>
        <v>-1742.4385188600008</v>
      </c>
      <c r="CE25" s="612">
        <f t="shared" ref="CE25:CE30" si="158">CC25*BX25</f>
        <v>-331.75579205999924</v>
      </c>
      <c r="CF25" s="611">
        <f t="shared" ref="CF25:CF30" si="159">BR25-CA25</f>
        <v>-1410.6827268000034</v>
      </c>
      <c r="CG25" s="568">
        <v>556.27499999999998</v>
      </c>
      <c r="CH25" s="143">
        <v>16309.85</v>
      </c>
      <c r="CI25" s="592">
        <f t="shared" ref="CI25:CI30" si="160">IF(CG25&lt;&gt;0,CH25/CG25,0)</f>
        <v>29.31976090962204</v>
      </c>
      <c r="CJ25" s="605">
        <f t="shared" ref="CJ25:CJ30" si="161">IF(CG$32&lt;&gt;0,CG25/CG$32,0)</f>
        <v>6.8657278270099471E-4</v>
      </c>
      <c r="CK25" s="592">
        <f t="shared" ref="CK25:CK30" si="162">IF($CG$32&lt;&gt;0,CH25/$CG$32,0)</f>
        <v>2.0130149835847055E-2</v>
      </c>
      <c r="CL25" s="617">
        <f t="shared" ref="CL25:CL30" si="163">CG$32*CO25</f>
        <v>560.67223999999999</v>
      </c>
      <c r="CM25" s="617">
        <f t="shared" ref="CM25:CM30" si="164">CL25*CN25</f>
        <v>18069.737421288002</v>
      </c>
      <c r="CN25" s="607">
        <v>32.228700000000003</v>
      </c>
      <c r="CO25" s="606">
        <v>6.9200000000000002E-4</v>
      </c>
      <c r="CP25" s="615">
        <f t="shared" ref="CP25:CP30" si="165">IF($CG$32&lt;&gt;0,CM25/$CG$32,CN25*CO25)</f>
        <v>2.2302260400000003E-2</v>
      </c>
      <c r="CQ25" s="614">
        <f t="shared" ref="CQ25:CQ30" si="166">CG25*CN25</f>
        <v>17928.020092500003</v>
      </c>
      <c r="CR25" s="613">
        <f t="shared" ref="CR25:CR30" si="167">IF($CG$32&lt;&gt;0,CQ25/$CG$32,0)</f>
        <v>2.2127348241835553E-2</v>
      </c>
      <c r="CS25" s="598">
        <f t="shared" ref="CS25:CT30" si="168">CG25-CL25</f>
        <v>-4.3972400000000107</v>
      </c>
      <c r="CT25" s="612">
        <f t="shared" si="168"/>
        <v>-1759.8874212880019</v>
      </c>
      <c r="CU25" s="612">
        <f t="shared" ref="CU25:CU30" si="169">CS25*CN25</f>
        <v>-141.71732878800037</v>
      </c>
      <c r="CV25" s="611">
        <f t="shared" ref="CV25:CV30" si="170">CH25-CQ25</f>
        <v>-1618.1700925000023</v>
      </c>
      <c r="CW25" s="568">
        <f t="shared" ref="CW25:CX30" si="171">E25+U25+AK25+BA25+BQ25+CG25</f>
        <v>78676.976999999984</v>
      </c>
      <c r="CX25" s="143">
        <f t="shared" si="171"/>
        <v>2305018.6100000003</v>
      </c>
      <c r="CY25" s="592">
        <f t="shared" ref="CY25:CY30" si="172">IF(CW25&lt;&gt;0,CX25/CW25,0)</f>
        <v>29.297244224317375</v>
      </c>
      <c r="CZ25" s="605">
        <f t="shared" ref="CZ25:CZ30" si="173">IF(CW$32&lt;&gt;0,CW25/CW$32,0)</f>
        <v>5.3356653419697113E-4</v>
      </c>
      <c r="DA25" s="592">
        <f t="shared" ref="DA25:DA30" si="174">IF($CW$32&lt;&gt;0,CX25/$CW$32,0)</f>
        <v>1.5632029062291251E-2</v>
      </c>
      <c r="DB25" s="617">
        <f t="shared" ref="DB25:DC30" si="175">J25+Z25+AP25+BF25+BV25+CL25</f>
        <v>89710.115128999998</v>
      </c>
      <c r="DC25" s="617">
        <f t="shared" si="175"/>
        <v>2891241.3140437705</v>
      </c>
      <c r="DD25" s="615">
        <v>31.828700000000001</v>
      </c>
      <c r="DE25" s="616">
        <f t="shared" ref="DE25:DE30" si="176">IF(CW$32&lt;&gt;0,DB25/CW$32,0)</f>
        <v>6.0839037081701554E-4</v>
      </c>
      <c r="DF25" s="615">
        <f t="shared" ref="DF25:DF30" si="177">IF($CW$32&lt;&gt;0,DC25/$CW$32,0)</f>
        <v>1.9607637027810963E-2</v>
      </c>
      <c r="DG25" s="614">
        <f t="shared" ref="DG25:DG30" si="178">O25+AE25+AU25+BK25+CA25+CQ25</f>
        <v>2535657.3447251455</v>
      </c>
      <c r="DH25" s="613">
        <f t="shared" ref="DH25:DH30" si="179">IF($CW$32&lt;&gt;0,DG25/$CW$32,0)</f>
        <v>1.7196160210071247E-2</v>
      </c>
      <c r="DI25" s="598">
        <f t="shared" ref="DI25:DL30" si="180">Q25+AG25+AW25+BM25+CC25+CS25</f>
        <v>-11033.138129000004</v>
      </c>
      <c r="DJ25" s="612">
        <f t="shared" si="180"/>
        <v>-586222.70404376986</v>
      </c>
      <c r="DK25" s="612">
        <f t="shared" si="180"/>
        <v>-355583.96931862435</v>
      </c>
      <c r="DL25" s="611">
        <f t="shared" si="180"/>
        <v>-230638.73472514545</v>
      </c>
      <c r="DM25" s="556"/>
      <c r="DO25" s="568">
        <f t="shared" ref="DO25:DO30" si="181">AK25+BA25+BQ25</f>
        <v>55002.154999999999</v>
      </c>
      <c r="DP25" s="143">
        <f t="shared" ref="DP25:DP30" si="182">AL25+BB25+BR25</f>
        <v>1608184.9100000001</v>
      </c>
      <c r="DQ25" s="592">
        <f t="shared" ref="DQ25:DQ30" si="183">IF(DO25&lt;&gt;0,DP25/DO25,0)</f>
        <v>29.238580015637574</v>
      </c>
      <c r="DR25" s="605">
        <f t="shared" ref="DR25:DR30" si="184">IF(DO$32&lt;&gt;0,DO25/DO$32,0)</f>
        <v>4.4784849432843684E-4</v>
      </c>
      <c r="DS25" s="658">
        <f t="shared" ref="DS25:DS30" si="185">IF($DO$32&lt;&gt;0,DP25/$DO$32,0)</f>
        <v>1.309445403630481E-2</v>
      </c>
    </row>
    <row r="26" spans="1:123">
      <c r="A26" s="619" t="s">
        <v>47</v>
      </c>
      <c r="B26" s="610">
        <v>30978</v>
      </c>
      <c r="C26" s="618">
        <v>963976</v>
      </c>
      <c r="D26" s="609" t="s">
        <v>19</v>
      </c>
      <c r="E26" s="568">
        <v>6806.8509999999997</v>
      </c>
      <c r="F26" s="143">
        <v>228301.06000000003</v>
      </c>
      <c r="G26" s="608">
        <f t="shared" si="105"/>
        <v>33.539893851062708</v>
      </c>
      <c r="H26" s="605">
        <f t="shared" si="106"/>
        <v>4.4054436606044911E-4</v>
      </c>
      <c r="I26" s="592">
        <f t="shared" si="107"/>
        <v>1.4775811274351177E-2</v>
      </c>
      <c r="J26" s="617">
        <f t="shared" si="108"/>
        <v>8474.8735000000015</v>
      </c>
      <c r="K26" s="617">
        <f t="shared" si="109"/>
        <v>296371.11122357799</v>
      </c>
      <c r="L26" s="607">
        <v>34.970564601769915</v>
      </c>
      <c r="M26" s="606">
        <v>5.4850000000000005E-4</v>
      </c>
      <c r="N26" s="615">
        <f t="shared" si="110"/>
        <v>1.9181354684070805E-2</v>
      </c>
      <c r="O26" s="614">
        <f t="shared" si="111"/>
        <v>238039.42263012214</v>
      </c>
      <c r="P26" s="613">
        <f t="shared" si="112"/>
        <v>1.5406085213262709E-2</v>
      </c>
      <c r="Q26" s="598">
        <f t="shared" si="113"/>
        <v>-1668.0225000000019</v>
      </c>
      <c r="R26" s="612">
        <f t="shared" si="113"/>
        <v>-68070.051223577961</v>
      </c>
      <c r="S26" s="612">
        <f t="shared" si="114"/>
        <v>-58331.688593455823</v>
      </c>
      <c r="T26" s="611">
        <f t="shared" si="115"/>
        <v>-9738.3626301221084</v>
      </c>
      <c r="U26" s="568">
        <v>1367.1039999999998</v>
      </c>
      <c r="V26" s="143">
        <v>53796.979999999996</v>
      </c>
      <c r="W26" s="592">
        <f t="shared" si="116"/>
        <v>39.351051565937929</v>
      </c>
      <c r="X26" s="605">
        <f t="shared" si="117"/>
        <v>1.6314988264126606E-4</v>
      </c>
      <c r="Y26" s="592">
        <f t="shared" si="118"/>
        <v>6.4201194447931816E-3</v>
      </c>
      <c r="Z26" s="617">
        <f t="shared" si="119"/>
        <v>1349.0891960000001</v>
      </c>
      <c r="AA26" s="617">
        <f t="shared" si="120"/>
        <v>47178.323728718009</v>
      </c>
      <c r="AB26" s="607">
        <v>34.970500000000001</v>
      </c>
      <c r="AC26" s="606">
        <v>1.6100000000000001E-4</v>
      </c>
      <c r="AD26" s="615">
        <f t="shared" si="121"/>
        <v>5.6302505000000013E-3</v>
      </c>
      <c r="AE26" s="614">
        <f t="shared" si="122"/>
        <v>47808.310431999998</v>
      </c>
      <c r="AF26" s="613">
        <f t="shared" si="123"/>
        <v>5.7054329709063951E-3</v>
      </c>
      <c r="AG26" s="598">
        <f t="shared" si="124"/>
        <v>18.014803999999685</v>
      </c>
      <c r="AH26" s="612">
        <f t="shared" si="124"/>
        <v>6618.6562712819868</v>
      </c>
      <c r="AI26" s="612">
        <f t="shared" si="125"/>
        <v>629.98670328198898</v>
      </c>
      <c r="AJ26" s="611">
        <f t="shared" si="126"/>
        <v>5988.6695679999975</v>
      </c>
      <c r="AK26" s="568">
        <v>22576.235000000001</v>
      </c>
      <c r="AL26" s="143">
        <v>671332.68</v>
      </c>
      <c r="AM26" s="592">
        <f t="shared" si="127"/>
        <v>29.736254960138396</v>
      </c>
      <c r="AN26" s="605">
        <f t="shared" si="128"/>
        <v>1.8640724216303635E-4</v>
      </c>
      <c r="AO26" s="592">
        <f t="shared" si="129"/>
        <v>5.5430532793763086E-3</v>
      </c>
      <c r="AP26" s="617">
        <f t="shared" si="130"/>
        <v>19014.652295</v>
      </c>
      <c r="AQ26" s="617">
        <f t="shared" si="131"/>
        <v>664951.89808229753</v>
      </c>
      <c r="AR26" s="607">
        <v>34.970500000000001</v>
      </c>
      <c r="AS26" s="606">
        <v>1.5699999999999999E-4</v>
      </c>
      <c r="AT26" s="615">
        <f t="shared" si="132"/>
        <v>5.4903685000000004E-3</v>
      </c>
      <c r="AU26" s="614">
        <f t="shared" si="133"/>
        <v>789502.22606750007</v>
      </c>
      <c r="AV26" s="613">
        <f t="shared" si="134"/>
        <v>6.5187544620624637E-3</v>
      </c>
      <c r="AW26" s="598">
        <f t="shared" si="135"/>
        <v>3561.5827050000007</v>
      </c>
      <c r="AX26" s="612">
        <f t="shared" si="135"/>
        <v>6380.7819177025231</v>
      </c>
      <c r="AY26" s="612">
        <f t="shared" si="136"/>
        <v>124550.32798520253</v>
      </c>
      <c r="AZ26" s="611">
        <f t="shared" si="137"/>
        <v>-118169.54606750002</v>
      </c>
      <c r="BA26" s="568">
        <v>115.425</v>
      </c>
      <c r="BB26" s="143">
        <v>3873.35</v>
      </c>
      <c r="BC26" s="592">
        <f t="shared" si="138"/>
        <v>33.557288282434484</v>
      </c>
      <c r="BD26" s="605">
        <f t="shared" si="139"/>
        <v>1.8310790873873274E-4</v>
      </c>
      <c r="BE26" s="592">
        <f t="shared" si="140"/>
        <v>6.1446048803393584E-3</v>
      </c>
      <c r="BF26" s="617">
        <f t="shared" si="141"/>
        <v>98.967461999999998</v>
      </c>
      <c r="BG26" s="617">
        <f t="shared" si="142"/>
        <v>3460.9416298710003</v>
      </c>
      <c r="BH26" s="607">
        <v>34.970500000000001</v>
      </c>
      <c r="BI26" s="606">
        <v>1.5699999999999999E-4</v>
      </c>
      <c r="BJ26" s="615">
        <f t="shared" si="143"/>
        <v>5.4903685000000004E-3</v>
      </c>
      <c r="BK26" s="614">
        <f t="shared" si="144"/>
        <v>4036.4699624999998</v>
      </c>
      <c r="BL26" s="613">
        <f t="shared" si="145"/>
        <v>6.4033751225478532E-3</v>
      </c>
      <c r="BM26" s="598">
        <f t="shared" si="146"/>
        <v>16.457538</v>
      </c>
      <c r="BN26" s="612">
        <f t="shared" si="146"/>
        <v>412.40837012899965</v>
      </c>
      <c r="BO26" s="612">
        <f t="shared" si="147"/>
        <v>575.52833262900003</v>
      </c>
      <c r="BP26" s="611">
        <f t="shared" si="148"/>
        <v>-163.11996249999993</v>
      </c>
      <c r="BQ26" s="568">
        <v>112.38500000000001</v>
      </c>
      <c r="BR26" s="143">
        <v>6671.9400000000005</v>
      </c>
      <c r="BS26" s="592">
        <f t="shared" si="149"/>
        <v>59.366819415402411</v>
      </c>
      <c r="BT26" s="605">
        <f t="shared" si="150"/>
        <v>1.0489546387903678E-4</v>
      </c>
      <c r="BU26" s="592">
        <f t="shared" si="151"/>
        <v>6.2273100616016428E-3</v>
      </c>
      <c r="BV26" s="617">
        <f t="shared" si="152"/>
        <v>168.2098</v>
      </c>
      <c r="BW26" s="617">
        <f t="shared" si="153"/>
        <v>5882.3808109000001</v>
      </c>
      <c r="BX26" s="607">
        <v>34.970500000000001</v>
      </c>
      <c r="BY26" s="606">
        <v>1.5699999999999999E-4</v>
      </c>
      <c r="BZ26" s="615">
        <f t="shared" si="154"/>
        <v>5.4903685000000004E-3</v>
      </c>
      <c r="CA26" s="614">
        <f t="shared" si="155"/>
        <v>3930.1596425000002</v>
      </c>
      <c r="CB26" s="613">
        <f t="shared" si="156"/>
        <v>3.6682468195818559E-3</v>
      </c>
      <c r="CC26" s="598">
        <f t="shared" si="157"/>
        <v>-55.824799999999996</v>
      </c>
      <c r="CD26" s="612">
        <f t="shared" si="157"/>
        <v>789.55918910000037</v>
      </c>
      <c r="CE26" s="612">
        <f t="shared" si="158"/>
        <v>-1952.2211683999999</v>
      </c>
      <c r="CF26" s="611">
        <f t="shared" si="159"/>
        <v>2741.7803575000003</v>
      </c>
      <c r="CG26" s="568">
        <v>0</v>
      </c>
      <c r="CH26" s="143">
        <v>0</v>
      </c>
      <c r="CI26" s="592">
        <f t="shared" si="160"/>
        <v>0</v>
      </c>
      <c r="CJ26" s="605">
        <f t="shared" si="161"/>
        <v>0</v>
      </c>
      <c r="CK26" s="592">
        <f t="shared" si="162"/>
        <v>0</v>
      </c>
      <c r="CL26" s="617">
        <f t="shared" si="163"/>
        <v>0</v>
      </c>
      <c r="CM26" s="617">
        <f t="shared" si="164"/>
        <v>0</v>
      </c>
      <c r="CN26" s="607">
        <v>34.970500000000001</v>
      </c>
      <c r="CO26" s="606">
        <v>0</v>
      </c>
      <c r="CP26" s="615">
        <f t="shared" si="165"/>
        <v>0</v>
      </c>
      <c r="CQ26" s="614">
        <f t="shared" si="166"/>
        <v>0</v>
      </c>
      <c r="CR26" s="613">
        <f t="shared" si="167"/>
        <v>0</v>
      </c>
      <c r="CS26" s="598">
        <f t="shared" si="168"/>
        <v>0</v>
      </c>
      <c r="CT26" s="612">
        <f t="shared" si="168"/>
        <v>0</v>
      </c>
      <c r="CU26" s="612">
        <f t="shared" si="169"/>
        <v>0</v>
      </c>
      <c r="CV26" s="611">
        <f t="shared" si="170"/>
        <v>0</v>
      </c>
      <c r="CW26" s="568">
        <f t="shared" si="171"/>
        <v>30978</v>
      </c>
      <c r="CX26" s="143">
        <f t="shared" si="171"/>
        <v>963976.01</v>
      </c>
      <c r="CY26" s="592">
        <f t="shared" si="172"/>
        <v>31.118084124217187</v>
      </c>
      <c r="CZ26" s="605">
        <f t="shared" si="173"/>
        <v>2.100846362761723E-4</v>
      </c>
      <c r="DA26" s="592">
        <f t="shared" si="174"/>
        <v>6.5374313848474992E-3</v>
      </c>
      <c r="DB26" s="617">
        <f t="shared" si="175"/>
        <v>29105.792253000003</v>
      </c>
      <c r="DC26" s="617">
        <f t="shared" si="175"/>
        <v>1017844.6554753645</v>
      </c>
      <c r="DD26" s="615">
        <v>34.284599999999998</v>
      </c>
      <c r="DE26" s="616">
        <f t="shared" si="176"/>
        <v>1.9738781648270836E-4</v>
      </c>
      <c r="DF26" s="615">
        <f t="shared" si="177"/>
        <v>6.902754349253918E-3</v>
      </c>
      <c r="DG26" s="614">
        <f t="shared" si="178"/>
        <v>1083316.5887346223</v>
      </c>
      <c r="DH26" s="613">
        <f t="shared" si="179"/>
        <v>7.3467677550602649E-3</v>
      </c>
      <c r="DI26" s="598">
        <f t="shared" si="180"/>
        <v>1872.2077469999983</v>
      </c>
      <c r="DJ26" s="612">
        <f t="shared" si="180"/>
        <v>-53868.64547536445</v>
      </c>
      <c r="DK26" s="612">
        <f t="shared" si="180"/>
        <v>65471.93325925769</v>
      </c>
      <c r="DL26" s="611">
        <f t="shared" si="180"/>
        <v>-119340.57873462213</v>
      </c>
      <c r="DM26" s="556"/>
      <c r="DO26" s="568">
        <f t="shared" si="181"/>
        <v>22804.044999999998</v>
      </c>
      <c r="DP26" s="143">
        <f t="shared" si="182"/>
        <v>681877.97</v>
      </c>
      <c r="DQ26" s="592">
        <f t="shared" si="183"/>
        <v>29.901623593533518</v>
      </c>
      <c r="DR26" s="605">
        <f t="shared" si="184"/>
        <v>1.8567921962053883E-4</v>
      </c>
      <c r="DS26" s="658">
        <f t="shared" si="185"/>
        <v>5.5521101342343952E-3</v>
      </c>
    </row>
    <row r="27" spans="1:123">
      <c r="A27" s="619" t="s">
        <v>353</v>
      </c>
      <c r="B27" s="610">
        <v>81256</v>
      </c>
      <c r="C27" s="618">
        <v>1255980.8700000001</v>
      </c>
      <c r="D27" s="609" t="s">
        <v>19</v>
      </c>
      <c r="E27" s="568">
        <v>19161.867999999999</v>
      </c>
      <c r="F27" s="143">
        <v>298555.44999999995</v>
      </c>
      <c r="G27" s="608">
        <f t="shared" si="105"/>
        <v>15.580706954040179</v>
      </c>
      <c r="H27" s="605">
        <f t="shared" si="106"/>
        <v>1.2401700860785708E-3</v>
      </c>
      <c r="I27" s="592">
        <f t="shared" si="107"/>
        <v>1.9322726684356997E-2</v>
      </c>
      <c r="J27" s="617">
        <f t="shared" si="108"/>
        <v>26444.386499999997</v>
      </c>
      <c r="K27" s="617">
        <f t="shared" si="109"/>
        <v>515661.97151905543</v>
      </c>
      <c r="L27" s="607">
        <v>19.499865180047021</v>
      </c>
      <c r="M27" s="606">
        <v>1.7114999999999999E-3</v>
      </c>
      <c r="N27" s="615">
        <f t="shared" si="110"/>
        <v>3.3374019255650471E-2</v>
      </c>
      <c r="O27" s="614">
        <f t="shared" si="111"/>
        <v>373653.84259785723</v>
      </c>
      <c r="P27" s="613">
        <f t="shared" si="112"/>
        <v>2.4183149478859443E-2</v>
      </c>
      <c r="Q27" s="598">
        <f t="shared" si="113"/>
        <v>-7282.5184999999983</v>
      </c>
      <c r="R27" s="612">
        <f t="shared" si="113"/>
        <v>-217106.52151905547</v>
      </c>
      <c r="S27" s="612">
        <f t="shared" si="114"/>
        <v>-142008.12892119822</v>
      </c>
      <c r="T27" s="611">
        <f t="shared" si="115"/>
        <v>-75098.392597857281</v>
      </c>
      <c r="U27" s="568">
        <v>4510.9089999999997</v>
      </c>
      <c r="V27" s="143">
        <v>69138.62</v>
      </c>
      <c r="W27" s="592">
        <f t="shared" si="116"/>
        <v>15.326981767976255</v>
      </c>
      <c r="X27" s="605">
        <f t="shared" si="117"/>
        <v>5.3833086140881077E-4</v>
      </c>
      <c r="Y27" s="592">
        <f t="shared" si="118"/>
        <v>8.2509872979517947E-3</v>
      </c>
      <c r="Z27" s="617">
        <f t="shared" si="119"/>
        <v>4122.6825120000003</v>
      </c>
      <c r="AA27" s="617">
        <f t="shared" si="120"/>
        <v>80388.186301488007</v>
      </c>
      <c r="AB27" s="607">
        <v>19.498999999999999</v>
      </c>
      <c r="AC27" s="606">
        <v>4.9200000000000003E-4</v>
      </c>
      <c r="AD27" s="615">
        <f t="shared" si="121"/>
        <v>9.5935080000000006E-3</v>
      </c>
      <c r="AE27" s="614">
        <f t="shared" si="122"/>
        <v>87958.214590999982</v>
      </c>
      <c r="AF27" s="613">
        <f t="shared" si="123"/>
        <v>1.04969134666104E-2</v>
      </c>
      <c r="AG27" s="598">
        <f t="shared" si="124"/>
        <v>388.22648799999934</v>
      </c>
      <c r="AH27" s="612">
        <f t="shared" si="124"/>
        <v>-11249.566301488012</v>
      </c>
      <c r="AI27" s="612">
        <f t="shared" si="125"/>
        <v>7570.0282895119863</v>
      </c>
      <c r="AJ27" s="611">
        <f t="shared" si="126"/>
        <v>-18819.594590999986</v>
      </c>
      <c r="AK27" s="568">
        <v>56175.896000000001</v>
      </c>
      <c r="AL27" s="143">
        <v>865871.78</v>
      </c>
      <c r="AM27" s="592">
        <f t="shared" si="127"/>
        <v>15.413582010334112</v>
      </c>
      <c r="AN27" s="605">
        <f t="shared" si="128"/>
        <v>4.6383260315094815E-4</v>
      </c>
      <c r="AO27" s="592">
        <f t="shared" si="129"/>
        <v>7.1493218677338953E-3</v>
      </c>
      <c r="AP27" s="617">
        <f t="shared" si="130"/>
        <v>57770.631495000001</v>
      </c>
      <c r="AQ27" s="617">
        <f t="shared" si="131"/>
        <v>1126469.543521005</v>
      </c>
      <c r="AR27" s="607">
        <v>19.498999999999999</v>
      </c>
      <c r="AS27" s="606">
        <v>4.7699999999999999E-4</v>
      </c>
      <c r="AT27" s="615">
        <f t="shared" si="132"/>
        <v>9.3010230000000003E-3</v>
      </c>
      <c r="AU27" s="614">
        <f t="shared" si="133"/>
        <v>1095373.7961039999</v>
      </c>
      <c r="AV27" s="613">
        <f t="shared" si="134"/>
        <v>9.0442719288403375E-3</v>
      </c>
      <c r="AW27" s="598">
        <f t="shared" si="135"/>
        <v>-1594.7354950000008</v>
      </c>
      <c r="AX27" s="612">
        <f t="shared" si="135"/>
        <v>-260597.76352100493</v>
      </c>
      <c r="AY27" s="612">
        <f t="shared" si="136"/>
        <v>-31095.747417005015</v>
      </c>
      <c r="AZ27" s="611">
        <f t="shared" si="137"/>
        <v>-229502.01610399992</v>
      </c>
      <c r="BA27" s="568">
        <v>311.53899999999999</v>
      </c>
      <c r="BB27" s="143">
        <v>5053.21</v>
      </c>
      <c r="BC27" s="592">
        <f t="shared" si="138"/>
        <v>16.220152212082596</v>
      </c>
      <c r="BD27" s="605">
        <f t="shared" si="139"/>
        <v>4.9421923136717396E-4</v>
      </c>
      <c r="BE27" s="592">
        <f t="shared" si="140"/>
        <v>8.0163111589140277E-3</v>
      </c>
      <c r="BF27" s="617">
        <f t="shared" si="141"/>
        <v>300.68458199999998</v>
      </c>
      <c r="BG27" s="617">
        <f t="shared" si="142"/>
        <v>5863.0486644179991</v>
      </c>
      <c r="BH27" s="607">
        <v>19.498999999999999</v>
      </c>
      <c r="BI27" s="606">
        <v>4.7699999999999999E-4</v>
      </c>
      <c r="BJ27" s="615">
        <f t="shared" si="143"/>
        <v>9.3010229999999985E-3</v>
      </c>
      <c r="BK27" s="614">
        <f t="shared" si="144"/>
        <v>6074.6989609999991</v>
      </c>
      <c r="BL27" s="613">
        <f t="shared" si="145"/>
        <v>9.6367807924285249E-3</v>
      </c>
      <c r="BM27" s="598">
        <f t="shared" si="146"/>
        <v>10.85441800000001</v>
      </c>
      <c r="BN27" s="612">
        <f t="shared" si="146"/>
        <v>-809.8386644179991</v>
      </c>
      <c r="BO27" s="612">
        <f t="shared" si="147"/>
        <v>211.65029658200018</v>
      </c>
      <c r="BP27" s="611">
        <f t="shared" si="148"/>
        <v>-1021.4889609999991</v>
      </c>
      <c r="BQ27" s="568">
        <v>525.89599999999996</v>
      </c>
      <c r="BR27" s="143">
        <v>7996.84</v>
      </c>
      <c r="BS27" s="592">
        <f t="shared" si="149"/>
        <v>15.206124404825291</v>
      </c>
      <c r="BT27" s="605">
        <f t="shared" si="150"/>
        <v>4.9084935598282613E-4</v>
      </c>
      <c r="BU27" s="592">
        <f t="shared" si="151"/>
        <v>7.4639163711032299E-3</v>
      </c>
      <c r="BV27" s="617">
        <f t="shared" si="152"/>
        <v>511.05779999999999</v>
      </c>
      <c r="BW27" s="617">
        <f t="shared" si="153"/>
        <v>9965.1160421999994</v>
      </c>
      <c r="BX27" s="607">
        <v>19.498999999999999</v>
      </c>
      <c r="BY27" s="606">
        <v>4.7699999999999999E-4</v>
      </c>
      <c r="BZ27" s="615">
        <f t="shared" si="154"/>
        <v>9.3010229999999985E-3</v>
      </c>
      <c r="CA27" s="614">
        <f t="shared" si="155"/>
        <v>10254.446103999999</v>
      </c>
      <c r="CB27" s="613">
        <f t="shared" si="156"/>
        <v>9.5710715923091275E-3</v>
      </c>
      <c r="CC27" s="598">
        <f t="shared" si="157"/>
        <v>14.838199999999972</v>
      </c>
      <c r="CD27" s="612">
        <f t="shared" si="157"/>
        <v>-1968.2760421999992</v>
      </c>
      <c r="CE27" s="612">
        <f t="shared" si="158"/>
        <v>289.33006179999944</v>
      </c>
      <c r="CF27" s="611">
        <f t="shared" si="159"/>
        <v>-2257.6061039999986</v>
      </c>
      <c r="CG27" s="568">
        <v>569.89200000000005</v>
      </c>
      <c r="CH27" s="143">
        <v>9364.9599999999991</v>
      </c>
      <c r="CI27" s="592">
        <f t="shared" si="160"/>
        <v>16.432867982003604</v>
      </c>
      <c r="CJ27" s="605">
        <f t="shared" si="161"/>
        <v>7.0337932907111656E-4</v>
      </c>
      <c r="CK27" s="592">
        <f t="shared" si="162"/>
        <v>1.1558539655895929E-2</v>
      </c>
      <c r="CL27" s="617">
        <f t="shared" si="163"/>
        <v>560.67223999999999</v>
      </c>
      <c r="CM27" s="617">
        <f t="shared" si="164"/>
        <v>10932.548007759999</v>
      </c>
      <c r="CN27" s="607">
        <v>19.498999999999999</v>
      </c>
      <c r="CO27" s="606">
        <v>6.9200000000000002E-4</v>
      </c>
      <c r="CP27" s="615">
        <f t="shared" si="165"/>
        <v>1.3493307999999999E-2</v>
      </c>
      <c r="CQ27" s="614">
        <f t="shared" si="166"/>
        <v>11112.324108000001</v>
      </c>
      <c r="CR27" s="613">
        <f t="shared" si="167"/>
        <v>1.3715193537557702E-2</v>
      </c>
      <c r="CS27" s="598">
        <f t="shared" si="168"/>
        <v>9.2197600000000648</v>
      </c>
      <c r="CT27" s="612">
        <f t="shared" si="168"/>
        <v>-1567.5880077599995</v>
      </c>
      <c r="CU27" s="612">
        <f t="shared" si="169"/>
        <v>179.77610024000126</v>
      </c>
      <c r="CV27" s="611">
        <f t="shared" si="170"/>
        <v>-1747.3641080000016</v>
      </c>
      <c r="CW27" s="568">
        <f t="shared" si="171"/>
        <v>81256</v>
      </c>
      <c r="CX27" s="143">
        <f t="shared" si="171"/>
        <v>1255980.8600000001</v>
      </c>
      <c r="CY27" s="592">
        <f t="shared" si="172"/>
        <v>15.457084522989073</v>
      </c>
      <c r="CZ27" s="605">
        <f t="shared" si="173"/>
        <v>5.5105678885843687E-4</v>
      </c>
      <c r="DA27" s="592">
        <f t="shared" si="174"/>
        <v>8.5177313623518019E-3</v>
      </c>
      <c r="DB27" s="617">
        <f t="shared" si="175"/>
        <v>89710.115128999998</v>
      </c>
      <c r="DC27" s="617">
        <f t="shared" si="175"/>
        <v>1749280.4140559265</v>
      </c>
      <c r="DD27" s="615">
        <v>19.897400000000001</v>
      </c>
      <c r="DE27" s="616">
        <f t="shared" si="176"/>
        <v>6.0839037081701554E-4</v>
      </c>
      <c r="DF27" s="615">
        <f t="shared" si="177"/>
        <v>1.1863159000967505E-2</v>
      </c>
      <c r="DG27" s="614">
        <f t="shared" si="178"/>
        <v>1584427.3224658573</v>
      </c>
      <c r="DH27" s="613">
        <f t="shared" si="179"/>
        <v>1.0745168756739273E-2</v>
      </c>
      <c r="DI27" s="598">
        <f t="shared" si="180"/>
        <v>-8454.115128999998</v>
      </c>
      <c r="DJ27" s="612">
        <f t="shared" si="180"/>
        <v>-493299.55405592645</v>
      </c>
      <c r="DK27" s="612">
        <f t="shared" si="180"/>
        <v>-164853.09159006926</v>
      </c>
      <c r="DL27" s="611">
        <f t="shared" si="180"/>
        <v>-328446.46246585721</v>
      </c>
      <c r="DM27" s="556"/>
      <c r="DO27" s="568">
        <f t="shared" si="181"/>
        <v>57013.330999999998</v>
      </c>
      <c r="DP27" s="143">
        <f t="shared" si="182"/>
        <v>878921.83</v>
      </c>
      <c r="DQ27" s="592">
        <f t="shared" si="183"/>
        <v>15.416075759544729</v>
      </c>
      <c r="DR27" s="605">
        <f t="shared" si="184"/>
        <v>4.6422425530415657E-4</v>
      </c>
      <c r="DS27" s="658">
        <f t="shared" si="185"/>
        <v>7.1565162891871108E-3</v>
      </c>
    </row>
    <row r="28" spans="1:123">
      <c r="A28" s="619" t="s">
        <v>25</v>
      </c>
      <c r="B28" s="610">
        <v>146644637</v>
      </c>
      <c r="C28" s="618">
        <v>307370.82</v>
      </c>
      <c r="D28" s="609" t="s">
        <v>12</v>
      </c>
      <c r="E28" s="568">
        <v>15451000</v>
      </c>
      <c r="F28" s="143">
        <v>30516.82</v>
      </c>
      <c r="G28" s="608">
        <f t="shared" si="105"/>
        <v>1.9750708691994045E-3</v>
      </c>
      <c r="H28" s="605">
        <f t="shared" si="106"/>
        <v>1</v>
      </c>
      <c r="I28" s="592">
        <f t="shared" si="107"/>
        <v>1.9750708691994045E-3</v>
      </c>
      <c r="J28" s="617">
        <f t="shared" si="108"/>
        <v>15451000</v>
      </c>
      <c r="K28" s="617">
        <f t="shared" si="109"/>
        <v>79347.322916666672</v>
      </c>
      <c r="L28" s="607">
        <v>5.1354166666666666E-3</v>
      </c>
      <c r="M28" s="606">
        <f>1</f>
        <v>1</v>
      </c>
      <c r="N28" s="615">
        <f t="shared" si="110"/>
        <v>5.1354166666666666E-3</v>
      </c>
      <c r="O28" s="614">
        <f t="shared" si="111"/>
        <v>79347.322916666672</v>
      </c>
      <c r="P28" s="613">
        <f t="shared" si="112"/>
        <v>5.1354166666666666E-3</v>
      </c>
      <c r="Q28" s="598">
        <f t="shared" si="113"/>
        <v>0</v>
      </c>
      <c r="R28" s="612">
        <f t="shared" si="113"/>
        <v>-48830.502916666672</v>
      </c>
      <c r="S28" s="612">
        <f t="shared" si="114"/>
        <v>0</v>
      </c>
      <c r="T28" s="611">
        <f t="shared" si="115"/>
        <v>-48830.502916666672</v>
      </c>
      <c r="U28" s="568">
        <v>8379436</v>
      </c>
      <c r="V28" s="143">
        <v>18899.599999999999</v>
      </c>
      <c r="W28" s="592">
        <f t="shared" si="116"/>
        <v>2.2554739961018855E-3</v>
      </c>
      <c r="X28" s="605">
        <f t="shared" si="117"/>
        <v>1</v>
      </c>
      <c r="Y28" s="592">
        <f t="shared" si="118"/>
        <v>2.2554739961018855E-3</v>
      </c>
      <c r="Z28" s="617">
        <f t="shared" si="119"/>
        <v>8379436</v>
      </c>
      <c r="AA28" s="617">
        <f t="shared" si="120"/>
        <v>13071.92016</v>
      </c>
      <c r="AB28" s="607">
        <v>1.56E-3</v>
      </c>
      <c r="AC28" s="606">
        <f>1</f>
        <v>1</v>
      </c>
      <c r="AD28" s="615">
        <f t="shared" si="121"/>
        <v>1.56E-3</v>
      </c>
      <c r="AE28" s="614">
        <f t="shared" si="122"/>
        <v>13071.92016</v>
      </c>
      <c r="AF28" s="613">
        <f t="shared" si="123"/>
        <v>1.56E-3</v>
      </c>
      <c r="AG28" s="598">
        <f t="shared" si="124"/>
        <v>0</v>
      </c>
      <c r="AH28" s="612">
        <f t="shared" si="124"/>
        <v>5827.6798399999989</v>
      </c>
      <c r="AI28" s="612">
        <f t="shared" si="125"/>
        <v>0</v>
      </c>
      <c r="AJ28" s="611">
        <f t="shared" si="126"/>
        <v>5827.6798399999989</v>
      </c>
      <c r="AK28" s="568">
        <v>121112435</v>
      </c>
      <c r="AL28" s="143">
        <v>253628.08000000002</v>
      </c>
      <c r="AM28" s="592">
        <f t="shared" si="127"/>
        <v>2.0941539157395359E-3</v>
      </c>
      <c r="AN28" s="605">
        <f t="shared" si="128"/>
        <v>1</v>
      </c>
      <c r="AO28" s="592">
        <f t="shared" si="129"/>
        <v>2.0941539157395359E-3</v>
      </c>
      <c r="AP28" s="617">
        <f t="shared" si="130"/>
        <v>121112435</v>
      </c>
      <c r="AQ28" s="617">
        <f t="shared" si="131"/>
        <v>188935.39859999999</v>
      </c>
      <c r="AR28" s="607">
        <v>1.56E-3</v>
      </c>
      <c r="AS28" s="606">
        <f>1</f>
        <v>1</v>
      </c>
      <c r="AT28" s="615">
        <f t="shared" si="132"/>
        <v>1.56E-3</v>
      </c>
      <c r="AU28" s="614">
        <f t="shared" si="133"/>
        <v>188935.39859999999</v>
      </c>
      <c r="AV28" s="613">
        <f t="shared" si="134"/>
        <v>1.56E-3</v>
      </c>
      <c r="AW28" s="598">
        <f t="shared" si="135"/>
        <v>0</v>
      </c>
      <c r="AX28" s="612">
        <f t="shared" si="135"/>
        <v>64692.68140000003</v>
      </c>
      <c r="AY28" s="612">
        <f t="shared" si="136"/>
        <v>0</v>
      </c>
      <c r="AZ28" s="611">
        <f t="shared" si="137"/>
        <v>64692.68140000003</v>
      </c>
      <c r="BA28" s="568">
        <v>630366</v>
      </c>
      <c r="BB28" s="143">
        <v>1565.04</v>
      </c>
      <c r="BC28" s="592">
        <f t="shared" si="138"/>
        <v>2.4827481177601583E-3</v>
      </c>
      <c r="BD28" s="605">
        <f t="shared" si="139"/>
        <v>1</v>
      </c>
      <c r="BE28" s="592">
        <f t="shared" si="140"/>
        <v>2.4827481177601583E-3</v>
      </c>
      <c r="BF28" s="617">
        <f t="shared" si="141"/>
        <v>630366</v>
      </c>
      <c r="BG28" s="617">
        <f t="shared" si="142"/>
        <v>983.37095999999997</v>
      </c>
      <c r="BH28" s="607">
        <v>1.56E-3</v>
      </c>
      <c r="BI28" s="606">
        <f>1</f>
        <v>1</v>
      </c>
      <c r="BJ28" s="615">
        <f t="shared" si="143"/>
        <v>1.56E-3</v>
      </c>
      <c r="BK28" s="614">
        <f t="shared" si="144"/>
        <v>983.37095999999997</v>
      </c>
      <c r="BL28" s="613">
        <f t="shared" si="145"/>
        <v>1.56E-3</v>
      </c>
      <c r="BM28" s="598">
        <f t="shared" si="146"/>
        <v>0</v>
      </c>
      <c r="BN28" s="612">
        <f t="shared" si="146"/>
        <v>581.66904</v>
      </c>
      <c r="BO28" s="612">
        <f t="shared" si="147"/>
        <v>0</v>
      </c>
      <c r="BP28" s="611">
        <f t="shared" si="148"/>
        <v>581.66904</v>
      </c>
      <c r="BQ28" s="568">
        <v>1071400</v>
      </c>
      <c r="BR28" s="143">
        <v>2761.3</v>
      </c>
      <c r="BS28" s="592">
        <f t="shared" si="149"/>
        <v>2.5772820608549562E-3</v>
      </c>
      <c r="BT28" s="605">
        <f t="shared" si="150"/>
        <v>1</v>
      </c>
      <c r="BU28" s="592">
        <f t="shared" si="151"/>
        <v>2.5772820608549562E-3</v>
      </c>
      <c r="BV28" s="617">
        <f t="shared" si="152"/>
        <v>1071400</v>
      </c>
      <c r="BW28" s="617">
        <f t="shared" si="153"/>
        <v>1671.384</v>
      </c>
      <c r="BX28" s="607">
        <v>1.56E-3</v>
      </c>
      <c r="BY28" s="606">
        <f>1</f>
        <v>1</v>
      </c>
      <c r="BZ28" s="615">
        <f t="shared" si="154"/>
        <v>1.56E-3</v>
      </c>
      <c r="CA28" s="614">
        <f t="shared" si="155"/>
        <v>1671.384</v>
      </c>
      <c r="CB28" s="613">
        <f t="shared" si="156"/>
        <v>1.56E-3</v>
      </c>
      <c r="CC28" s="598">
        <f t="shared" si="157"/>
        <v>0</v>
      </c>
      <c r="CD28" s="612">
        <f t="shared" si="157"/>
        <v>1089.9160000000002</v>
      </c>
      <c r="CE28" s="612">
        <f t="shared" si="158"/>
        <v>0</v>
      </c>
      <c r="CF28" s="611">
        <f t="shared" si="159"/>
        <v>1089.9160000000002</v>
      </c>
      <c r="CG28" s="568">
        <v>0</v>
      </c>
      <c r="CH28" s="143">
        <v>0</v>
      </c>
      <c r="CI28" s="592">
        <f t="shared" si="160"/>
        <v>0</v>
      </c>
      <c r="CJ28" s="605">
        <f t="shared" si="161"/>
        <v>0</v>
      </c>
      <c r="CK28" s="592">
        <f t="shared" si="162"/>
        <v>0</v>
      </c>
      <c r="CL28" s="617">
        <f t="shared" si="163"/>
        <v>0</v>
      </c>
      <c r="CM28" s="617">
        <f t="shared" si="164"/>
        <v>0</v>
      </c>
      <c r="CN28" s="607">
        <v>1.56E-3</v>
      </c>
      <c r="CO28" s="606">
        <v>0</v>
      </c>
      <c r="CP28" s="615">
        <f t="shared" si="165"/>
        <v>0</v>
      </c>
      <c r="CQ28" s="614">
        <f t="shared" si="166"/>
        <v>0</v>
      </c>
      <c r="CR28" s="613">
        <f t="shared" si="167"/>
        <v>0</v>
      </c>
      <c r="CS28" s="598">
        <f t="shared" si="168"/>
        <v>0</v>
      </c>
      <c r="CT28" s="612">
        <f t="shared" si="168"/>
        <v>0</v>
      </c>
      <c r="CU28" s="612">
        <f t="shared" si="169"/>
        <v>0</v>
      </c>
      <c r="CV28" s="611">
        <f t="shared" si="170"/>
        <v>0</v>
      </c>
      <c r="CW28" s="568">
        <f t="shared" si="171"/>
        <v>146644637</v>
      </c>
      <c r="CX28" s="143">
        <f t="shared" si="171"/>
        <v>307370.83999999997</v>
      </c>
      <c r="CY28" s="592">
        <f t="shared" si="172"/>
        <v>2.0960251004610553E-3</v>
      </c>
      <c r="CZ28" s="605">
        <f t="shared" si="173"/>
        <v>0.99450530137505067</v>
      </c>
      <c r="DA28" s="592">
        <f t="shared" si="174"/>
        <v>2.0845080742236924E-3</v>
      </c>
      <c r="DB28" s="617">
        <f t="shared" si="175"/>
        <v>146644637</v>
      </c>
      <c r="DC28" s="617">
        <f t="shared" si="175"/>
        <v>284009.39663666667</v>
      </c>
      <c r="DD28" s="615">
        <v>1.67E-3</v>
      </c>
      <c r="DE28" s="616">
        <f t="shared" si="176"/>
        <v>0.99450530137505067</v>
      </c>
      <c r="DF28" s="615">
        <f t="shared" si="177"/>
        <v>1.9260769188272086E-3</v>
      </c>
      <c r="DG28" s="614">
        <f t="shared" si="178"/>
        <v>284009.39663666667</v>
      </c>
      <c r="DH28" s="613">
        <f t="shared" si="179"/>
        <v>1.9260769188272086E-3</v>
      </c>
      <c r="DI28" s="598">
        <f t="shared" si="180"/>
        <v>0</v>
      </c>
      <c r="DJ28" s="612">
        <f t="shared" si="180"/>
        <v>23361.443363333357</v>
      </c>
      <c r="DK28" s="612">
        <f t="shared" si="180"/>
        <v>0</v>
      </c>
      <c r="DL28" s="611">
        <f t="shared" si="180"/>
        <v>23361.443363333357</v>
      </c>
      <c r="DM28" s="556"/>
      <c r="DO28" s="568">
        <f t="shared" si="181"/>
        <v>122814201</v>
      </c>
      <c r="DP28" s="143">
        <f t="shared" si="182"/>
        <v>257954.42</v>
      </c>
      <c r="DQ28" s="592">
        <f t="shared" si="183"/>
        <v>2.1003631330875168E-3</v>
      </c>
      <c r="DR28" s="605">
        <f t="shared" si="184"/>
        <v>1</v>
      </c>
      <c r="DS28" s="658">
        <f t="shared" si="185"/>
        <v>2.1003631330875168E-3</v>
      </c>
    </row>
    <row r="29" spans="1:123">
      <c r="A29" s="556" t="s">
        <v>29</v>
      </c>
      <c r="B29" s="610">
        <v>146345190.477</v>
      </c>
      <c r="C29" s="259">
        <v>3987892.9200000004</v>
      </c>
      <c r="D29" s="609" t="s">
        <v>12</v>
      </c>
      <c r="E29" s="568">
        <v>15451000</v>
      </c>
      <c r="F29" s="143">
        <v>405257.66</v>
      </c>
      <c r="G29" s="608">
        <f t="shared" si="105"/>
        <v>2.6228571613487798E-2</v>
      </c>
      <c r="H29" s="605">
        <f t="shared" si="106"/>
        <v>1</v>
      </c>
      <c r="I29" s="592">
        <f t="shared" si="107"/>
        <v>2.6228571613487798E-2</v>
      </c>
      <c r="J29" s="617">
        <f t="shared" si="108"/>
        <v>15451000</v>
      </c>
      <c r="K29" s="617">
        <f t="shared" si="109"/>
        <v>1019766</v>
      </c>
      <c r="L29" s="607">
        <v>6.6000000000000003E-2</v>
      </c>
      <c r="M29" s="606">
        <v>1</v>
      </c>
      <c r="N29" s="615">
        <f t="shared" si="110"/>
        <v>6.6000000000000003E-2</v>
      </c>
      <c r="O29" s="614">
        <f t="shared" si="111"/>
        <v>1019766</v>
      </c>
      <c r="P29" s="613">
        <f t="shared" si="112"/>
        <v>6.6000000000000003E-2</v>
      </c>
      <c r="Q29" s="598">
        <f t="shared" si="113"/>
        <v>0</v>
      </c>
      <c r="R29" s="612">
        <f t="shared" si="113"/>
        <v>-614508.34000000008</v>
      </c>
      <c r="S29" s="612">
        <f t="shared" si="114"/>
        <v>0</v>
      </c>
      <c r="T29" s="611">
        <f t="shared" si="115"/>
        <v>-614508.34000000008</v>
      </c>
      <c r="U29" s="568">
        <v>24562186.789999999</v>
      </c>
      <c r="V29" s="143">
        <v>666775.24</v>
      </c>
      <c r="W29" s="592">
        <f t="shared" si="116"/>
        <v>2.7146411909523632E-2</v>
      </c>
      <c r="X29" s="605">
        <f t="shared" si="117"/>
        <v>2.9312458248980002</v>
      </c>
      <c r="Y29" s="592">
        <f t="shared" si="118"/>
        <v>7.9572806570752497E-2</v>
      </c>
      <c r="Z29" s="617">
        <f t="shared" si="119"/>
        <v>21108980.784475997</v>
      </c>
      <c r="AA29" s="617">
        <f t="shared" si="120"/>
        <v>422179.61568951997</v>
      </c>
      <c r="AB29" s="607">
        <v>0.02</v>
      </c>
      <c r="AC29" s="606">
        <v>2.5191409999999999</v>
      </c>
      <c r="AD29" s="615">
        <f t="shared" si="121"/>
        <v>5.0382819999999995E-2</v>
      </c>
      <c r="AE29" s="614">
        <f t="shared" si="122"/>
        <v>491243.73579999997</v>
      </c>
      <c r="AF29" s="613">
        <f t="shared" si="123"/>
        <v>5.8624916497959999E-2</v>
      </c>
      <c r="AG29" s="598">
        <f t="shared" si="124"/>
        <v>3453206.005524002</v>
      </c>
      <c r="AH29" s="612">
        <f t="shared" si="124"/>
        <v>244595.62431048002</v>
      </c>
      <c r="AI29" s="612">
        <f t="shared" si="125"/>
        <v>69064.120110480042</v>
      </c>
      <c r="AJ29" s="611">
        <f t="shared" si="126"/>
        <v>175531.50420000002</v>
      </c>
      <c r="AK29" s="568">
        <v>104843966.57099999</v>
      </c>
      <c r="AL29" s="143">
        <v>2869977.96</v>
      </c>
      <c r="AM29" s="592">
        <f t="shared" si="127"/>
        <v>2.7373801791984474E-2</v>
      </c>
      <c r="AN29" s="605">
        <f t="shared" si="128"/>
        <v>0.86567466479391642</v>
      </c>
      <c r="AO29" s="592">
        <f t="shared" si="129"/>
        <v>2.3696806690411271E-2</v>
      </c>
      <c r="AP29" s="617">
        <f t="shared" si="130"/>
        <v>82378377.150735006</v>
      </c>
      <c r="AQ29" s="617">
        <f t="shared" si="131"/>
        <v>1647567.5430147001</v>
      </c>
      <c r="AR29" s="607">
        <v>0.02</v>
      </c>
      <c r="AS29" s="606">
        <v>0.68018100000000004</v>
      </c>
      <c r="AT29" s="615">
        <f t="shared" si="132"/>
        <v>1.360362E-2</v>
      </c>
      <c r="AU29" s="614">
        <f t="shared" si="133"/>
        <v>2096879.3314199999</v>
      </c>
      <c r="AV29" s="613">
        <f t="shared" si="134"/>
        <v>1.7313493295878328E-2</v>
      </c>
      <c r="AW29" s="598">
        <f t="shared" si="135"/>
        <v>22465589.420264989</v>
      </c>
      <c r="AX29" s="612">
        <f t="shared" si="135"/>
        <v>1222410.4169852999</v>
      </c>
      <c r="AY29" s="612">
        <f t="shared" si="136"/>
        <v>449311.78840529977</v>
      </c>
      <c r="AZ29" s="611">
        <f t="shared" si="137"/>
        <v>773098.62858000002</v>
      </c>
      <c r="BA29" s="568">
        <v>452335.875</v>
      </c>
      <c r="BB29" s="143">
        <v>13255.84</v>
      </c>
      <c r="BC29" s="592">
        <f t="shared" si="138"/>
        <v>2.9305303277127864E-2</v>
      </c>
      <c r="BD29" s="605">
        <f t="shared" si="139"/>
        <v>0.7175765745614453</v>
      </c>
      <c r="BE29" s="592">
        <f t="shared" si="140"/>
        <v>2.1028799142085709E-2</v>
      </c>
      <c r="BF29" s="617">
        <f t="shared" si="141"/>
        <v>428762.97624600003</v>
      </c>
      <c r="BG29" s="617">
        <f t="shared" si="142"/>
        <v>8575.2595249200003</v>
      </c>
      <c r="BH29" s="607">
        <v>0.02</v>
      </c>
      <c r="BI29" s="606">
        <v>0.68018100000000004</v>
      </c>
      <c r="BJ29" s="615">
        <f t="shared" si="143"/>
        <v>1.360362E-2</v>
      </c>
      <c r="BK29" s="614">
        <f t="shared" si="144"/>
        <v>9046.7175000000007</v>
      </c>
      <c r="BL29" s="613">
        <f t="shared" si="145"/>
        <v>1.4351531491228905E-2</v>
      </c>
      <c r="BM29" s="598">
        <f t="shared" si="146"/>
        <v>23572.898753999965</v>
      </c>
      <c r="BN29" s="612">
        <f t="shared" si="146"/>
        <v>4680.5804750799998</v>
      </c>
      <c r="BO29" s="612">
        <f t="shared" si="147"/>
        <v>471.4579750799993</v>
      </c>
      <c r="BP29" s="611">
        <f t="shared" si="148"/>
        <v>4209.1224999999995</v>
      </c>
      <c r="BQ29" s="568">
        <v>1035701.241</v>
      </c>
      <c r="BR29" s="143">
        <v>32626.2</v>
      </c>
      <c r="BS29" s="592">
        <f t="shared" si="149"/>
        <v>3.1501555379520881E-2</v>
      </c>
      <c r="BT29" s="605">
        <f t="shared" si="150"/>
        <v>0.96668026974052645</v>
      </c>
      <c r="BU29" s="592">
        <f t="shared" si="151"/>
        <v>3.0451932051521375E-2</v>
      </c>
      <c r="BV29" s="617">
        <f t="shared" si="152"/>
        <v>728745.92340000009</v>
      </c>
      <c r="BW29" s="617">
        <f t="shared" si="153"/>
        <v>14574.918468000002</v>
      </c>
      <c r="BX29" s="607">
        <v>0.02</v>
      </c>
      <c r="BY29" s="606">
        <v>0.68018100000000004</v>
      </c>
      <c r="BZ29" s="615">
        <f t="shared" si="154"/>
        <v>1.3603620000000002E-2</v>
      </c>
      <c r="CA29" s="614">
        <f t="shared" si="155"/>
        <v>20714.024820000002</v>
      </c>
      <c r="CB29" s="613">
        <f t="shared" si="156"/>
        <v>1.9333605394810532E-2</v>
      </c>
      <c r="CC29" s="598">
        <f t="shared" si="157"/>
        <v>306955.31759999995</v>
      </c>
      <c r="CD29" s="612">
        <f t="shared" si="157"/>
        <v>18051.281532000001</v>
      </c>
      <c r="CE29" s="612">
        <f t="shared" si="158"/>
        <v>6139.1063519999989</v>
      </c>
      <c r="CF29" s="611">
        <f t="shared" si="159"/>
        <v>11912.175179999998</v>
      </c>
      <c r="CG29" s="568">
        <v>0</v>
      </c>
      <c r="CH29" s="143">
        <v>0</v>
      </c>
      <c r="CI29" s="592">
        <f t="shared" si="160"/>
        <v>0</v>
      </c>
      <c r="CJ29" s="605">
        <f t="shared" si="161"/>
        <v>0</v>
      </c>
      <c r="CK29" s="592">
        <f t="shared" si="162"/>
        <v>0</v>
      </c>
      <c r="CL29" s="617">
        <f t="shared" si="163"/>
        <v>0</v>
      </c>
      <c r="CM29" s="617">
        <f t="shared" si="164"/>
        <v>0</v>
      </c>
      <c r="CN29" s="607">
        <v>0.02</v>
      </c>
      <c r="CO29" s="606">
        <v>0</v>
      </c>
      <c r="CP29" s="615">
        <f t="shared" si="165"/>
        <v>0</v>
      </c>
      <c r="CQ29" s="614">
        <f t="shared" si="166"/>
        <v>0</v>
      </c>
      <c r="CR29" s="613">
        <f t="shared" si="167"/>
        <v>0</v>
      </c>
      <c r="CS29" s="598">
        <f t="shared" si="168"/>
        <v>0</v>
      </c>
      <c r="CT29" s="612">
        <f t="shared" si="168"/>
        <v>0</v>
      </c>
      <c r="CU29" s="612">
        <f t="shared" si="169"/>
        <v>0</v>
      </c>
      <c r="CV29" s="611">
        <f t="shared" si="170"/>
        <v>0</v>
      </c>
      <c r="CW29" s="568">
        <f t="shared" si="171"/>
        <v>146345190.477</v>
      </c>
      <c r="CX29" s="143">
        <f t="shared" si="171"/>
        <v>3987892.9</v>
      </c>
      <c r="CY29" s="592">
        <f t="shared" si="172"/>
        <v>2.7249907475618392E-2</v>
      </c>
      <c r="CZ29" s="605">
        <f t="shared" si="173"/>
        <v>0.99247453393142548</v>
      </c>
      <c r="DA29" s="592">
        <f t="shared" si="174"/>
        <v>2.7044839221538833E-2</v>
      </c>
      <c r="DB29" s="617">
        <f t="shared" si="175"/>
        <v>120095866.834857</v>
      </c>
      <c r="DC29" s="617">
        <f t="shared" si="175"/>
        <v>3112663.3366971402</v>
      </c>
      <c r="DD29" s="615">
        <v>2.0698999999999999E-2</v>
      </c>
      <c r="DE29" s="616">
        <f t="shared" si="176"/>
        <v>0.81445853516277866</v>
      </c>
      <c r="DF29" s="615">
        <f t="shared" si="177"/>
        <v>2.1109262862037431E-2</v>
      </c>
      <c r="DG29" s="614">
        <f t="shared" si="178"/>
        <v>3637649.8095399993</v>
      </c>
      <c r="DH29" s="613">
        <f t="shared" si="179"/>
        <v>2.4669582837410362E-2</v>
      </c>
      <c r="DI29" s="598">
        <f t="shared" si="180"/>
        <v>26249323.642142992</v>
      </c>
      <c r="DJ29" s="612">
        <f t="shared" si="180"/>
        <v>875229.56330285978</v>
      </c>
      <c r="DK29" s="612">
        <f t="shared" si="180"/>
        <v>524986.4728428598</v>
      </c>
      <c r="DL29" s="611">
        <f t="shared" si="180"/>
        <v>350243.09045999998</v>
      </c>
      <c r="DM29" s="556"/>
      <c r="DO29" s="568">
        <f t="shared" si="181"/>
        <v>106332003.68699999</v>
      </c>
      <c r="DP29" s="143">
        <f t="shared" si="182"/>
        <v>2915860</v>
      </c>
      <c r="DQ29" s="592">
        <f t="shared" si="183"/>
        <v>2.7422223779241067E-2</v>
      </c>
      <c r="DR29" s="605">
        <f t="shared" si="184"/>
        <v>0.8657956720086466</v>
      </c>
      <c r="DS29" s="658">
        <f t="shared" si="185"/>
        <v>2.3742042664919506E-2</v>
      </c>
    </row>
    <row r="30" spans="1:123" ht="17.25">
      <c r="A30" s="556" t="s">
        <v>27</v>
      </c>
      <c r="B30" s="610">
        <v>146644637</v>
      </c>
      <c r="C30" s="463">
        <v>323423.40999999997</v>
      </c>
      <c r="D30" s="609" t="s">
        <v>12</v>
      </c>
      <c r="E30" s="568">
        <v>15451000</v>
      </c>
      <c r="F30" s="161">
        <v>26872.84</v>
      </c>
      <c r="G30" s="608">
        <f t="shared" si="105"/>
        <v>1.7392298233124069E-3</v>
      </c>
      <c r="H30" s="605">
        <f t="shared" si="106"/>
        <v>1</v>
      </c>
      <c r="I30" s="591">
        <f t="shared" si="107"/>
        <v>1.7392298233124069E-3</v>
      </c>
      <c r="J30" s="604">
        <f t="shared" si="108"/>
        <v>15451000</v>
      </c>
      <c r="K30" s="603">
        <f t="shared" si="109"/>
        <v>61160.208333333336</v>
      </c>
      <c r="L30" s="607">
        <v>3.9583333333333337E-3</v>
      </c>
      <c r="M30" s="606">
        <f>1</f>
        <v>1</v>
      </c>
      <c r="N30" s="601">
        <f t="shared" si="110"/>
        <v>3.9583333333333337E-3</v>
      </c>
      <c r="O30" s="600">
        <f t="shared" si="111"/>
        <v>61160.208333333336</v>
      </c>
      <c r="P30" s="599">
        <f t="shared" si="112"/>
        <v>3.9583333333333337E-3</v>
      </c>
      <c r="Q30" s="598">
        <f t="shared" si="113"/>
        <v>0</v>
      </c>
      <c r="R30" s="597">
        <f t="shared" si="113"/>
        <v>-34287.368333333332</v>
      </c>
      <c r="S30" s="597">
        <f t="shared" si="114"/>
        <v>0</v>
      </c>
      <c r="T30" s="596">
        <f t="shared" si="115"/>
        <v>-34287.368333333332</v>
      </c>
      <c r="U30" s="568">
        <v>8379436</v>
      </c>
      <c r="V30" s="161">
        <v>21261.800000000003</v>
      </c>
      <c r="W30" s="592">
        <f t="shared" si="116"/>
        <v>2.5373784106710764E-3</v>
      </c>
      <c r="X30" s="605">
        <f t="shared" si="117"/>
        <v>1</v>
      </c>
      <c r="Y30" s="591">
        <f t="shared" si="118"/>
        <v>2.5373784106710764E-3</v>
      </c>
      <c r="Z30" s="604">
        <f t="shared" si="119"/>
        <v>8379436</v>
      </c>
      <c r="AA30" s="603">
        <f t="shared" si="120"/>
        <v>8379.4359999999997</v>
      </c>
      <c r="AB30" s="607">
        <v>1E-3</v>
      </c>
      <c r="AC30" s="606">
        <f>1</f>
        <v>1</v>
      </c>
      <c r="AD30" s="601">
        <f t="shared" si="121"/>
        <v>1E-3</v>
      </c>
      <c r="AE30" s="600">
        <f t="shared" si="122"/>
        <v>8379.4359999999997</v>
      </c>
      <c r="AF30" s="599">
        <f t="shared" si="123"/>
        <v>1E-3</v>
      </c>
      <c r="AG30" s="598">
        <f t="shared" si="124"/>
        <v>0</v>
      </c>
      <c r="AH30" s="597">
        <f t="shared" si="124"/>
        <v>12882.364000000003</v>
      </c>
      <c r="AI30" s="597">
        <f t="shared" si="125"/>
        <v>0</v>
      </c>
      <c r="AJ30" s="596">
        <f t="shared" si="126"/>
        <v>12882.364000000003</v>
      </c>
      <c r="AK30" s="568">
        <v>121112435</v>
      </c>
      <c r="AL30" s="161">
        <v>269421.58</v>
      </c>
      <c r="AM30" s="592">
        <f t="shared" si="127"/>
        <v>2.2245575361439971E-3</v>
      </c>
      <c r="AN30" s="605">
        <f t="shared" si="128"/>
        <v>1</v>
      </c>
      <c r="AO30" s="591">
        <f t="shared" si="129"/>
        <v>2.2245575361439971E-3</v>
      </c>
      <c r="AP30" s="604">
        <f t="shared" si="130"/>
        <v>121112435</v>
      </c>
      <c r="AQ30" s="603">
        <f t="shared" si="131"/>
        <v>121112.435</v>
      </c>
      <c r="AR30" s="607">
        <v>1E-3</v>
      </c>
      <c r="AS30" s="606">
        <f>1</f>
        <v>1</v>
      </c>
      <c r="AT30" s="601">
        <f t="shared" si="132"/>
        <v>1E-3</v>
      </c>
      <c r="AU30" s="600">
        <f t="shared" si="133"/>
        <v>121112.435</v>
      </c>
      <c r="AV30" s="599">
        <f t="shared" si="134"/>
        <v>1E-3</v>
      </c>
      <c r="AW30" s="598">
        <f t="shared" si="135"/>
        <v>0</v>
      </c>
      <c r="AX30" s="597">
        <f t="shared" si="135"/>
        <v>148309.14500000002</v>
      </c>
      <c r="AY30" s="597">
        <f t="shared" si="136"/>
        <v>0</v>
      </c>
      <c r="AZ30" s="596">
        <f t="shared" si="137"/>
        <v>148309.14500000002</v>
      </c>
      <c r="BA30" s="568">
        <v>630366</v>
      </c>
      <c r="BB30" s="161">
        <v>1327.2800000000002</v>
      </c>
      <c r="BC30" s="592">
        <f t="shared" si="138"/>
        <v>2.1055704146479984E-3</v>
      </c>
      <c r="BD30" s="605">
        <f t="shared" si="139"/>
        <v>1</v>
      </c>
      <c r="BE30" s="591">
        <f t="shared" si="140"/>
        <v>2.1055704146479984E-3</v>
      </c>
      <c r="BF30" s="604">
        <f t="shared" si="141"/>
        <v>630366</v>
      </c>
      <c r="BG30" s="603">
        <f t="shared" si="142"/>
        <v>630.36599999999999</v>
      </c>
      <c r="BH30" s="607">
        <v>1E-3</v>
      </c>
      <c r="BI30" s="606">
        <f>1</f>
        <v>1</v>
      </c>
      <c r="BJ30" s="601">
        <f t="shared" si="143"/>
        <v>1E-3</v>
      </c>
      <c r="BK30" s="600">
        <f t="shared" si="144"/>
        <v>630.36599999999999</v>
      </c>
      <c r="BL30" s="599">
        <f t="shared" si="145"/>
        <v>1E-3</v>
      </c>
      <c r="BM30" s="598">
        <f t="shared" si="146"/>
        <v>0</v>
      </c>
      <c r="BN30" s="597">
        <f t="shared" si="146"/>
        <v>696.91400000000021</v>
      </c>
      <c r="BO30" s="597">
        <f t="shared" si="147"/>
        <v>0</v>
      </c>
      <c r="BP30" s="596">
        <f t="shared" si="148"/>
        <v>696.91400000000021</v>
      </c>
      <c r="BQ30" s="568">
        <v>1071400</v>
      </c>
      <c r="BR30" s="161">
        <v>4539.92</v>
      </c>
      <c r="BS30" s="592">
        <f t="shared" si="149"/>
        <v>4.2373716632443529E-3</v>
      </c>
      <c r="BT30" s="605">
        <f t="shared" si="150"/>
        <v>1</v>
      </c>
      <c r="BU30" s="591">
        <f t="shared" si="151"/>
        <v>4.2373716632443529E-3</v>
      </c>
      <c r="BV30" s="604">
        <f t="shared" si="152"/>
        <v>1071400</v>
      </c>
      <c r="BW30" s="603">
        <f t="shared" si="153"/>
        <v>1071.4000000000001</v>
      </c>
      <c r="BX30" s="607">
        <v>1E-3</v>
      </c>
      <c r="BY30" s="606">
        <f>1</f>
        <v>1</v>
      </c>
      <c r="BZ30" s="601">
        <f t="shared" si="154"/>
        <v>1E-3</v>
      </c>
      <c r="CA30" s="600">
        <f t="shared" si="155"/>
        <v>1071.4000000000001</v>
      </c>
      <c r="CB30" s="599">
        <f t="shared" si="156"/>
        <v>1E-3</v>
      </c>
      <c r="CC30" s="598">
        <f t="shared" si="157"/>
        <v>0</v>
      </c>
      <c r="CD30" s="597">
        <f t="shared" si="157"/>
        <v>3468.52</v>
      </c>
      <c r="CE30" s="597">
        <f t="shared" si="158"/>
        <v>0</v>
      </c>
      <c r="CF30" s="596">
        <f t="shared" si="159"/>
        <v>3468.52</v>
      </c>
      <c r="CG30" s="568">
        <v>0</v>
      </c>
      <c r="CH30" s="161">
        <v>0</v>
      </c>
      <c r="CI30" s="592">
        <f t="shared" si="160"/>
        <v>0</v>
      </c>
      <c r="CJ30" s="605">
        <f t="shared" si="161"/>
        <v>0</v>
      </c>
      <c r="CK30" s="591">
        <f t="shared" si="162"/>
        <v>0</v>
      </c>
      <c r="CL30" s="604">
        <f t="shared" si="163"/>
        <v>0</v>
      </c>
      <c r="CM30" s="603">
        <f t="shared" si="164"/>
        <v>0</v>
      </c>
      <c r="CN30" s="607">
        <v>1E-3</v>
      </c>
      <c r="CO30" s="606">
        <v>0</v>
      </c>
      <c r="CP30" s="601">
        <f t="shared" si="165"/>
        <v>0</v>
      </c>
      <c r="CQ30" s="600">
        <f t="shared" si="166"/>
        <v>0</v>
      </c>
      <c r="CR30" s="599">
        <f t="shared" si="167"/>
        <v>0</v>
      </c>
      <c r="CS30" s="598">
        <f t="shared" si="168"/>
        <v>0</v>
      </c>
      <c r="CT30" s="597">
        <f t="shared" si="168"/>
        <v>0</v>
      </c>
      <c r="CU30" s="597">
        <f t="shared" si="169"/>
        <v>0</v>
      </c>
      <c r="CV30" s="596">
        <f t="shared" si="170"/>
        <v>0</v>
      </c>
      <c r="CW30" s="568">
        <f t="shared" si="171"/>
        <v>146644637</v>
      </c>
      <c r="CX30" s="161">
        <f t="shared" si="171"/>
        <v>323423.42000000004</v>
      </c>
      <c r="CY30" s="592">
        <f t="shared" si="172"/>
        <v>2.2054909515715876E-3</v>
      </c>
      <c r="CZ30" s="605">
        <f t="shared" si="173"/>
        <v>0.99450530137505067</v>
      </c>
      <c r="DA30" s="591">
        <f t="shared" si="174"/>
        <v>2.1933724434726491E-3</v>
      </c>
      <c r="DB30" s="604">
        <f t="shared" si="175"/>
        <v>146644637</v>
      </c>
      <c r="DC30" s="603">
        <f t="shared" si="175"/>
        <v>192353.84533333333</v>
      </c>
      <c r="DD30" s="602">
        <v>1.6559999999999999E-3</v>
      </c>
      <c r="DE30" s="575">
        <f t="shared" si="176"/>
        <v>0.99450530137505067</v>
      </c>
      <c r="DF30" s="601">
        <f t="shared" si="177"/>
        <v>1.3044931123112028E-3</v>
      </c>
      <c r="DG30" s="600">
        <f t="shared" si="178"/>
        <v>192353.84533333333</v>
      </c>
      <c r="DH30" s="599">
        <f t="shared" si="179"/>
        <v>1.3044931123112028E-3</v>
      </c>
      <c r="DI30" s="598">
        <f t="shared" si="180"/>
        <v>0</v>
      </c>
      <c r="DJ30" s="597">
        <f t="shared" si="180"/>
        <v>131069.5746666667</v>
      </c>
      <c r="DK30" s="597">
        <f t="shared" si="180"/>
        <v>0</v>
      </c>
      <c r="DL30" s="596">
        <f t="shared" si="180"/>
        <v>131069.5746666667</v>
      </c>
      <c r="DM30" s="556"/>
      <c r="DO30" s="568">
        <f t="shared" si="181"/>
        <v>122814201</v>
      </c>
      <c r="DP30" s="161">
        <f t="shared" si="182"/>
        <v>275288.78000000003</v>
      </c>
      <c r="DQ30" s="592">
        <f t="shared" si="183"/>
        <v>2.2415060942341677E-3</v>
      </c>
      <c r="DR30" s="605">
        <f t="shared" si="184"/>
        <v>1</v>
      </c>
      <c r="DS30" s="659">
        <f t="shared" si="185"/>
        <v>2.2415060942341677E-3</v>
      </c>
    </row>
    <row r="31" spans="1:123" ht="17.25">
      <c r="A31" s="595" t="s">
        <v>396</v>
      </c>
      <c r="B31" s="594"/>
      <c r="C31" s="593">
        <f>SUM(C25:C30)</f>
        <v>9219458.2700000014</v>
      </c>
      <c r="D31" s="569"/>
      <c r="E31" s="568"/>
      <c r="F31" s="161">
        <f>SUM(F25:F30)</f>
        <v>1541691.4600000002</v>
      </c>
      <c r="G31" s="592"/>
      <c r="H31" s="579"/>
      <c r="I31" s="591">
        <f>SUM(I25:I30)</f>
        <v>9.9779396802795933E-2</v>
      </c>
      <c r="J31" s="590"/>
      <c r="K31" s="590">
        <f>SUM(K25:K30)</f>
        <v>2824575.7397709512</v>
      </c>
      <c r="L31" s="589"/>
      <c r="M31" s="588"/>
      <c r="N31" s="587">
        <f>SUM(N25:N30)</f>
        <v>0.18280860395902862</v>
      </c>
      <c r="O31" s="586">
        <f>SUM(O25:O30)</f>
        <v>2375430.8451302252</v>
      </c>
      <c r="P31" s="585">
        <f>SUM(P25:P30)</f>
        <v>0.15373961847972462</v>
      </c>
      <c r="Q31" s="584"/>
      <c r="R31" s="583">
        <f>SUM(R25:R30)</f>
        <v>-1282884.279770951</v>
      </c>
      <c r="S31" s="583">
        <f>SUM(S25:S30)</f>
        <v>-449144.8946407258</v>
      </c>
      <c r="T31" s="582">
        <f>SUM(T25:T30)</f>
        <v>-833739.38513022498</v>
      </c>
      <c r="U31" s="568"/>
      <c r="V31" s="161">
        <f>SUM(V25:V30)</f>
        <v>958208.46</v>
      </c>
      <c r="W31" s="592"/>
      <c r="X31" s="579"/>
      <c r="Y31" s="591">
        <f>SUM(Y25:Y30)</f>
        <v>0.11435238123425014</v>
      </c>
      <c r="Z31" s="590"/>
      <c r="AA31" s="590">
        <f>SUM(AA25:AA30)</f>
        <v>704066.17975422041</v>
      </c>
      <c r="AB31" s="589"/>
      <c r="AC31" s="588"/>
      <c r="AD31" s="587">
        <f>SUM(AD25:AD30)</f>
        <v>8.4023098899999996E-2</v>
      </c>
      <c r="AE31" s="586">
        <f>SUM(AE25:AE30)</f>
        <v>790078.9401149</v>
      </c>
      <c r="AF31" s="585">
        <f>SUM(AF25:AF30)</f>
        <v>9.4287842298085456E-2</v>
      </c>
      <c r="AG31" s="584"/>
      <c r="AH31" s="583">
        <f>SUM(AH25:AH30)</f>
        <v>254142.28024577958</v>
      </c>
      <c r="AI31" s="583">
        <f>SUM(AI25:AI30)</f>
        <v>86012.760360679604</v>
      </c>
      <c r="AJ31" s="582">
        <f>SUM(AJ25:AJ30)</f>
        <v>168129.51988510002</v>
      </c>
      <c r="AK31" s="568"/>
      <c r="AL31" s="161">
        <f>SUM(AL25:AL30)</f>
        <v>6514806.6400000006</v>
      </c>
      <c r="AM31" s="592"/>
      <c r="AN31" s="579"/>
      <c r="AO31" s="591">
        <f>SUM(AO25:AO30)</f>
        <v>5.3791393427107634E-2</v>
      </c>
      <c r="AP31" s="590"/>
      <c r="AQ31" s="590">
        <f>SUM(AQ25:AQ30)</f>
        <v>5610909.1694809096</v>
      </c>
      <c r="AR31" s="589"/>
      <c r="AS31" s="588"/>
      <c r="AT31" s="587">
        <f>SUM(AT25:AT30)</f>
        <v>4.6328101400000002E-2</v>
      </c>
      <c r="AU31" s="586">
        <f>SUM(AU25:AU30)</f>
        <v>6038540.2643296998</v>
      </c>
      <c r="AV31" s="585">
        <f>SUM(AV25:AV30)</f>
        <v>4.9858961751778008E-2</v>
      </c>
      <c r="AW31" s="584"/>
      <c r="AX31" s="583">
        <f>SUM(AX25:AX30)</f>
        <v>903897.47051909077</v>
      </c>
      <c r="AY31" s="583">
        <f>SUM(AY25:AY30)</f>
        <v>427631.09484879056</v>
      </c>
      <c r="AZ31" s="582">
        <f>SUM(AZ25:AZ30)</f>
        <v>476266.37567030021</v>
      </c>
      <c r="BA31" s="568"/>
      <c r="BB31" s="161">
        <f>SUM(BB25:BB30)</f>
        <v>33956.78</v>
      </c>
      <c r="BC31" s="592"/>
      <c r="BD31" s="579"/>
      <c r="BE31" s="591">
        <f>SUM(BE25:BE30)</f>
        <v>5.3868355844065192E-2</v>
      </c>
      <c r="BF31" s="590"/>
      <c r="BG31" s="590">
        <f>SUM(BG25:BG30)</f>
        <v>29203.659967112399</v>
      </c>
      <c r="BH31" s="589"/>
      <c r="BI31" s="588"/>
      <c r="BJ31" s="587">
        <f>SUM(BJ25:BJ30)</f>
        <v>4.6328101400000002E-2</v>
      </c>
      <c r="BK31" s="586">
        <f>SUM(BK25:BK30)</f>
        <v>30543.526366999999</v>
      </c>
      <c r="BL31" s="585">
        <f>SUM(BL25:BL30)</f>
        <v>4.845363862740059E-2</v>
      </c>
      <c r="BM31" s="584"/>
      <c r="BN31" s="583">
        <f>SUM(BN25:BN30)</f>
        <v>4753.1200328876002</v>
      </c>
      <c r="BO31" s="583">
        <f>SUM(BO25:BO30)</f>
        <v>1339.8663998875995</v>
      </c>
      <c r="BP31" s="582">
        <f>SUM(BP25:BP30)</f>
        <v>3413.2536329999998</v>
      </c>
      <c r="BQ31" s="568"/>
      <c r="BR31" s="161">
        <f>SUM(BR25:BR30)</f>
        <v>69324.490000000005</v>
      </c>
      <c r="BS31" s="592"/>
      <c r="BT31" s="579"/>
      <c r="BU31" s="591">
        <f>SUM(BU25:BU30)</f>
        <v>6.4704582788874365E-2</v>
      </c>
      <c r="BV31" s="590"/>
      <c r="BW31" s="590">
        <f>SUM(BW25:BW30)</f>
        <v>49635.927839960008</v>
      </c>
      <c r="BX31" s="589"/>
      <c r="BY31" s="588"/>
      <c r="BZ31" s="587">
        <f>SUM(BZ25:BZ30)</f>
        <v>4.6328101400000002E-2</v>
      </c>
      <c r="CA31" s="586">
        <f>SUM(CA25:CA30)</f>
        <v>53780.387293300002</v>
      </c>
      <c r="CB31" s="585">
        <f>SUM(CB25:CB30)</f>
        <v>5.0196366710192272E-2</v>
      </c>
      <c r="CC31" s="584"/>
      <c r="CD31" s="583">
        <f>SUM(CD25:CD30)</f>
        <v>19688.562160040001</v>
      </c>
      <c r="CE31" s="583">
        <f>SUM(CE25:CE30)</f>
        <v>4144.4594533399995</v>
      </c>
      <c r="CF31" s="582">
        <f>SUM(CF25:CF30)</f>
        <v>15544.102706699998</v>
      </c>
      <c r="CG31" s="568"/>
      <c r="CH31" s="161">
        <f>SUM(CH25:CH30)</f>
        <v>25674.809999999998</v>
      </c>
      <c r="CI31" s="592"/>
      <c r="CJ31" s="579"/>
      <c r="CK31" s="591">
        <f>SUM(CK25:CK30)</f>
        <v>3.1688689491742986E-2</v>
      </c>
      <c r="CL31" s="590"/>
      <c r="CM31" s="590">
        <f>SUM(CM25:CM30)</f>
        <v>29002.285429048003</v>
      </c>
      <c r="CN31" s="589"/>
      <c r="CO31" s="588"/>
      <c r="CP31" s="587">
        <f>SUM(CP25:CP30)</f>
        <v>3.5795568400000005E-2</v>
      </c>
      <c r="CQ31" s="586">
        <f>SUM(CQ25:CQ30)</f>
        <v>29040.344200500003</v>
      </c>
      <c r="CR31" s="585">
        <f>SUM(CR25:CR30)</f>
        <v>3.5842541779393257E-2</v>
      </c>
      <c r="CS31" s="584"/>
      <c r="CT31" s="583">
        <f>SUM(CT25:CT30)</f>
        <v>-3327.4754290480014</v>
      </c>
      <c r="CU31" s="583">
        <f>SUM(CU25:CU30)</f>
        <v>38.058771452000883</v>
      </c>
      <c r="CV31" s="582">
        <f>SUM(CV25:CV30)</f>
        <v>-3365.5342005000039</v>
      </c>
      <c r="CW31" s="568"/>
      <c r="CX31" s="161">
        <f>SUM(CX25:CX30)</f>
        <v>9143662.6400000006</v>
      </c>
      <c r="CY31" s="592"/>
      <c r="CZ31" s="579"/>
      <c r="DA31" s="591">
        <f>SUM(DA25:DA30)</f>
        <v>6.2009911548725732E-2</v>
      </c>
      <c r="DB31" s="590"/>
      <c r="DC31" s="590">
        <f>SUM(DC25:DC30)</f>
        <v>9247392.9622422028</v>
      </c>
      <c r="DD31" s="589"/>
      <c r="DE31" s="588"/>
      <c r="DF31" s="587">
        <f>SUM(DF25:DF30)</f>
        <v>6.2713383271208234E-2</v>
      </c>
      <c r="DG31" s="586">
        <f>SUM(DG25:DG30)</f>
        <v>9317414.3074356262</v>
      </c>
      <c r="DH31" s="585">
        <f>SUM(DH25:DH30)</f>
        <v>6.3188249590419562E-2</v>
      </c>
      <c r="DI31" s="584"/>
      <c r="DJ31" s="583">
        <f>SUM(DJ25:DJ30)</f>
        <v>-103730.32224220083</v>
      </c>
      <c r="DK31" s="583">
        <f>SUM(DK25:DK30)</f>
        <v>70021.345193423913</v>
      </c>
      <c r="DL31" s="582">
        <f>SUM(DL25:DL30)</f>
        <v>-173751.66743562487</v>
      </c>
      <c r="DM31" s="556"/>
      <c r="DO31" s="568"/>
      <c r="DP31" s="161">
        <f>SUM(DP25:DP30)</f>
        <v>6618087.9100000001</v>
      </c>
      <c r="DQ31" s="592"/>
      <c r="DR31" s="579"/>
      <c r="DS31" s="659">
        <f>SUM(DS25:DS30)</f>
        <v>5.3886992351967505E-2</v>
      </c>
    </row>
    <row r="32" spans="1:123" ht="17.25">
      <c r="A32" s="527" t="s">
        <v>371</v>
      </c>
      <c r="B32" s="142"/>
      <c r="C32" s="160">
        <f>C23+C31</f>
        <v>18957185.690000001</v>
      </c>
      <c r="D32" s="555" t="s">
        <v>12</v>
      </c>
      <c r="E32" s="581">
        <v>15451000</v>
      </c>
      <c r="F32" s="160">
        <f>F23+F31</f>
        <v>11980770.75</v>
      </c>
      <c r="G32" s="580"/>
      <c r="H32" s="579"/>
      <c r="I32" s="578">
        <f>+I23+I31</f>
        <v>0.77540422949970877</v>
      </c>
      <c r="J32" s="564"/>
      <c r="K32" s="577">
        <f>+K23+K31</f>
        <v>12347001.894300638</v>
      </c>
      <c r="L32" s="576"/>
      <c r="M32" s="575"/>
      <c r="N32" s="574">
        <f>+N23+N31</f>
        <v>0.79910697652583251</v>
      </c>
      <c r="O32" s="573">
        <f>+O23+O31</f>
        <v>12201144.956273945</v>
      </c>
      <c r="P32" s="572">
        <f>+P23+P31</f>
        <v>0.7896670090139114</v>
      </c>
      <c r="Q32" s="559"/>
      <c r="R32" s="571">
        <f>+R23+R31</f>
        <v>-366231.14430063753</v>
      </c>
      <c r="S32" s="571">
        <f>+S23+S31</f>
        <v>-145856.93802669231</v>
      </c>
      <c r="T32" s="570">
        <f>+T23+T31</f>
        <v>-220374.2062739447</v>
      </c>
      <c r="U32" s="581">
        <v>8379436</v>
      </c>
      <c r="V32" s="160">
        <f>V23+V31</f>
        <v>3033930.61</v>
      </c>
      <c r="W32" s="580"/>
      <c r="X32" s="579"/>
      <c r="Y32" s="578">
        <f>Y23+Y31</f>
        <v>0.36206859387672391</v>
      </c>
      <c r="Z32" s="564"/>
      <c r="AA32" s="577">
        <f>+AA23+AA31</f>
        <v>2231933.7432055403</v>
      </c>
      <c r="AB32" s="576"/>
      <c r="AC32" s="575"/>
      <c r="AD32" s="574">
        <f>+AD23+AD31</f>
        <v>0.26635846889999998</v>
      </c>
      <c r="AE32" s="573">
        <f>+AE23+AE31</f>
        <v>2360251.3943742197</v>
      </c>
      <c r="AF32" s="572">
        <f>+AF23+AF31</f>
        <v>0.28167186841384312</v>
      </c>
      <c r="AG32" s="559"/>
      <c r="AH32" s="571">
        <f>+AH23+AH31</f>
        <v>801996.86679445952</v>
      </c>
      <c r="AI32" s="571">
        <f>+AI23+AI31</f>
        <v>128317.65116867963</v>
      </c>
      <c r="AJ32" s="570">
        <f>+AJ23+AJ31</f>
        <v>673679.21562578017</v>
      </c>
      <c r="AK32" s="581">
        <v>121112435</v>
      </c>
      <c r="AL32" s="160">
        <f>+AL23+AL31</f>
        <v>19776658.039999999</v>
      </c>
      <c r="AM32" s="580"/>
      <c r="AN32" s="579"/>
      <c r="AO32" s="578">
        <f>AO23+AO31</f>
        <v>0.16329172177902296</v>
      </c>
      <c r="AP32" s="564"/>
      <c r="AQ32" s="577">
        <f>+AQ23+AQ31</f>
        <v>14451581.607518207</v>
      </c>
      <c r="AR32" s="576"/>
      <c r="AS32" s="575"/>
      <c r="AT32" s="574">
        <f>+AT23+AT31</f>
        <v>0.11932368140000001</v>
      </c>
      <c r="AU32" s="573">
        <f>+AU23+AU31</f>
        <v>15730612.092290621</v>
      </c>
      <c r="AV32" s="572">
        <f>+AV23+AV31</f>
        <v>0.12988436812694437</v>
      </c>
      <c r="AW32" s="559"/>
      <c r="AX32" s="571">
        <f>+AX23+AX31</f>
        <v>5325076.43248179</v>
      </c>
      <c r="AY32" s="571">
        <f>+AY23+AY31</f>
        <v>1279030.4847724112</v>
      </c>
      <c r="AZ32" s="570">
        <f>+AZ23+AZ31</f>
        <v>4046045.9477093783</v>
      </c>
      <c r="BA32" s="581">
        <v>630366</v>
      </c>
      <c r="BB32" s="160">
        <f>+BB23+BB31</f>
        <v>251764.74</v>
      </c>
      <c r="BC32" s="580"/>
      <c r="BD32" s="579"/>
      <c r="BE32" s="578">
        <f>BE23+BE31</f>
        <v>0.39939454221833032</v>
      </c>
      <c r="BF32" s="564"/>
      <c r="BG32" s="577">
        <f>+BG23+BG31</f>
        <v>113899.15034529239</v>
      </c>
      <c r="BH32" s="576"/>
      <c r="BI32" s="575"/>
      <c r="BJ32" s="574">
        <f>+BJ23+BJ31</f>
        <v>0.18068733139999998</v>
      </c>
      <c r="BK32" s="573">
        <f>+BK23+BK31</f>
        <v>236498.43782588001</v>
      </c>
      <c r="BL32" s="572">
        <f>+BL23+BL31</f>
        <v>0.37517638614055959</v>
      </c>
      <c r="BM32" s="559"/>
      <c r="BN32" s="571">
        <f>+BN23+BN31</f>
        <v>137865.58965470764</v>
      </c>
      <c r="BO32" s="571">
        <f>+BO23+BO31</f>
        <v>122599.28748058759</v>
      </c>
      <c r="BP32" s="570">
        <f>+BP23+BP31</f>
        <v>15266.302174120015</v>
      </c>
      <c r="BQ32" s="581">
        <v>1071400</v>
      </c>
      <c r="BR32" s="160">
        <f>+BR23+BR31</f>
        <v>335332.68</v>
      </c>
      <c r="BS32" s="580"/>
      <c r="BT32" s="579"/>
      <c r="BU32" s="578">
        <f>BU23+BU31</f>
        <v>0.31298551428038079</v>
      </c>
      <c r="BV32" s="564"/>
      <c r="BW32" s="577">
        <f>+BW23+BW31</f>
        <v>127843.39225196</v>
      </c>
      <c r="BX32" s="576"/>
      <c r="BY32" s="575"/>
      <c r="BZ32" s="574">
        <f>+BZ23+BZ31</f>
        <v>0.11932368140000001</v>
      </c>
      <c r="CA32" s="573">
        <f>+CA23+CA31</f>
        <v>281864.10266229999</v>
      </c>
      <c r="CB32" s="572">
        <f>+CB23+CB31</f>
        <v>0.26308017795622551</v>
      </c>
      <c r="CC32" s="559"/>
      <c r="CD32" s="571">
        <f>+CD23+CD31</f>
        <v>207489.28774804002</v>
      </c>
      <c r="CE32" s="571">
        <f>+CE23+CE31</f>
        <v>154020.71041034002</v>
      </c>
      <c r="CF32" s="570">
        <f>+CF23+CF31</f>
        <v>53468.577337699986</v>
      </c>
      <c r="CG32" s="581">
        <v>810220</v>
      </c>
      <c r="CH32" s="160">
        <f>+CH23+CH31</f>
        <v>42822.94</v>
      </c>
      <c r="CI32" s="580"/>
      <c r="CJ32" s="579"/>
      <c r="CK32" s="578">
        <f>CK23+CK31</f>
        <v>5.2853471896521932E-2</v>
      </c>
      <c r="CL32" s="564"/>
      <c r="CM32" s="577">
        <f>+CM23+CM31</f>
        <v>39903.135199748001</v>
      </c>
      <c r="CN32" s="576"/>
      <c r="CO32" s="575"/>
      <c r="CP32" s="574">
        <f>+CP23+CP31</f>
        <v>4.9249753400000006E-2</v>
      </c>
      <c r="CQ32" s="573">
        <f>+CQ23+CQ31</f>
        <v>42969.014027650002</v>
      </c>
      <c r="CR32" s="572">
        <f>+CR23+CR31</f>
        <v>5.303376123478809E-2</v>
      </c>
      <c r="CS32" s="559"/>
      <c r="CT32" s="571">
        <f>+CT23+CT31</f>
        <v>2919.804800251999</v>
      </c>
      <c r="CU32" s="571">
        <f>+CU23+CU31</f>
        <v>3065.8788279020009</v>
      </c>
      <c r="CV32" s="570">
        <f>+CV23+CV31</f>
        <v>-146.07402765000461</v>
      </c>
      <c r="CW32" s="581">
        <f>E32+U32+AK32+BA32+BQ32+CG32</f>
        <v>147454857</v>
      </c>
      <c r="CX32" s="160">
        <f>CX23+CX31</f>
        <v>35421279.760000005</v>
      </c>
      <c r="CY32" s="580"/>
      <c r="CZ32" s="579"/>
      <c r="DA32" s="578">
        <f>DA23+DA31</f>
        <v>0.24021778923158835</v>
      </c>
      <c r="DB32" s="564"/>
      <c r="DC32" s="577">
        <f>+DC23+DC31</f>
        <v>29312162.922821388</v>
      </c>
      <c r="DD32" s="576"/>
      <c r="DE32" s="575"/>
      <c r="DF32" s="574">
        <f>+DF23+DF31</f>
        <v>0.19878736800661229</v>
      </c>
      <c r="DG32" s="573">
        <f>+DG23+DG31</f>
        <v>30853339.997454613</v>
      </c>
      <c r="DH32" s="572">
        <f>+DH23+DH31</f>
        <v>0.20923922497483155</v>
      </c>
      <c r="DI32" s="559"/>
      <c r="DJ32" s="571">
        <f>+DJ23+DJ31</f>
        <v>6109116.8371786121</v>
      </c>
      <c r="DK32" s="571">
        <f>+DK23+DK31</f>
        <v>1541177.0746332281</v>
      </c>
      <c r="DL32" s="570">
        <f>+DL23+DL31</f>
        <v>4567939.7625453845</v>
      </c>
      <c r="DM32" s="556"/>
      <c r="DO32" s="581">
        <f>AK32+BA32+BQ32</f>
        <v>122814201</v>
      </c>
      <c r="DP32" s="160">
        <f>DP23+DP31</f>
        <v>20363755.460000001</v>
      </c>
      <c r="DQ32" s="580"/>
      <c r="DR32" s="579"/>
      <c r="DS32" s="660">
        <f>DS23+DS31</f>
        <v>0.16580945276841397</v>
      </c>
    </row>
    <row r="33" spans="1:123" ht="17.25">
      <c r="A33" s="556" t="s">
        <v>429</v>
      </c>
      <c r="D33" s="569"/>
      <c r="E33" s="568"/>
      <c r="F33" s="567">
        <f>F34-F32</f>
        <v>-596767.28000000119</v>
      </c>
      <c r="H33" s="566"/>
      <c r="I33" s="565">
        <f>IF($E$32&lt;&gt;0,F33/$E$32,0)</f>
        <v>-3.8623214031454349E-2</v>
      </c>
      <c r="J33" s="564"/>
      <c r="K33" s="563"/>
      <c r="L33" s="562"/>
      <c r="M33" s="562"/>
      <c r="N33" s="562"/>
      <c r="O33" s="561"/>
      <c r="P33" s="560"/>
      <c r="Q33" s="559"/>
      <c r="R33" s="558"/>
      <c r="S33" s="558"/>
      <c r="T33" s="557"/>
      <c r="U33" s="568"/>
      <c r="V33" s="567">
        <f>V34-V32</f>
        <v>-535924.28999999957</v>
      </c>
      <c r="X33" s="566"/>
      <c r="Y33" s="565">
        <f>IF($U$32&lt;&gt;0,V33/$U$32,0)</f>
        <v>-6.3957083746447804E-2</v>
      </c>
      <c r="Z33" s="564"/>
      <c r="AA33" s="563"/>
      <c r="AB33" s="562"/>
      <c r="AC33" s="562"/>
      <c r="AD33" s="562"/>
      <c r="AE33" s="561"/>
      <c r="AF33" s="560"/>
      <c r="AG33" s="559"/>
      <c r="AH33" s="558"/>
      <c r="AI33" s="558"/>
      <c r="AJ33" s="557"/>
      <c r="AK33" s="568"/>
      <c r="AL33" s="567">
        <f>AL34-AL32</f>
        <v>-3993046.629999999</v>
      </c>
      <c r="AM33" s="522"/>
      <c r="AN33" s="566"/>
      <c r="AO33" s="565">
        <f>IF($AK$32&lt;&gt;0,AL33/$AK$32,0)</f>
        <v>-3.2969749390308264E-2</v>
      </c>
      <c r="AP33" s="564"/>
      <c r="AQ33" s="563"/>
      <c r="AR33" s="562"/>
      <c r="AS33" s="562"/>
      <c r="AT33" s="562"/>
      <c r="AU33" s="561"/>
      <c r="AV33" s="560"/>
      <c r="AW33" s="559"/>
      <c r="AX33" s="558"/>
      <c r="AY33" s="558"/>
      <c r="AZ33" s="557"/>
      <c r="BA33" s="568"/>
      <c r="BB33" s="567">
        <f>BB34-BB32</f>
        <v>-26027.78</v>
      </c>
      <c r="BC33" s="522"/>
      <c r="BD33" s="566"/>
      <c r="BE33" s="565">
        <f>IF($BA$32&lt;&gt;0,BB33/$BA$32,0)</f>
        <v>-4.1289949013747565E-2</v>
      </c>
      <c r="BF33" s="564"/>
      <c r="BG33" s="563"/>
      <c r="BH33" s="562"/>
      <c r="BI33" s="562"/>
      <c r="BJ33" s="562"/>
      <c r="BK33" s="561"/>
      <c r="BL33" s="560"/>
      <c r="BM33" s="559"/>
      <c r="BN33" s="558"/>
      <c r="BO33" s="558"/>
      <c r="BP33" s="557"/>
      <c r="BQ33" s="568"/>
      <c r="BR33" s="567">
        <f>BR34-BR32</f>
        <v>-56890.06</v>
      </c>
      <c r="BT33" s="566"/>
      <c r="BU33" s="565">
        <f>IF($BQ$32&lt;&gt;0,BR33/$BQ$32,0)</f>
        <v>-5.3098805301474705E-2</v>
      </c>
      <c r="BV33" s="564"/>
      <c r="BW33" s="563"/>
      <c r="BX33" s="562"/>
      <c r="BY33" s="562"/>
      <c r="BZ33" s="562"/>
      <c r="CA33" s="561"/>
      <c r="CB33" s="560"/>
      <c r="CC33" s="559"/>
      <c r="CD33" s="558"/>
      <c r="CE33" s="558"/>
      <c r="CF33" s="557"/>
      <c r="CG33" s="568"/>
      <c r="CH33" s="567">
        <f>CH34-CH32</f>
        <v>-12248.050000000003</v>
      </c>
      <c r="CJ33" s="566"/>
      <c r="CK33" s="565">
        <f>IF($CG$32&lt;&gt;0,CH33/$CG$32,0)</f>
        <v>-1.5116943546197333E-2</v>
      </c>
      <c r="CL33" s="564"/>
      <c r="CM33" s="563"/>
      <c r="CN33" s="562"/>
      <c r="CO33" s="562"/>
      <c r="CP33" s="562"/>
      <c r="CQ33" s="561"/>
      <c r="CR33" s="560"/>
      <c r="CS33" s="559"/>
      <c r="CT33" s="558"/>
      <c r="CU33" s="558"/>
      <c r="CV33" s="557"/>
      <c r="CW33" s="568"/>
      <c r="CX33" s="567">
        <f>CX34-CX32</f>
        <v>-5220904.0900000036</v>
      </c>
      <c r="CY33" s="522"/>
      <c r="CZ33" s="566"/>
      <c r="DA33" s="565">
        <f>IF($CW$32&lt;&gt;0,CX33/$CW$32,0)</f>
        <v>-3.5406796332249697E-2</v>
      </c>
      <c r="DB33" s="564"/>
      <c r="DC33" s="563"/>
      <c r="DD33" s="562"/>
      <c r="DE33" s="562"/>
      <c r="DF33" s="562"/>
      <c r="DG33" s="561"/>
      <c r="DH33" s="560"/>
      <c r="DI33" s="559"/>
      <c r="DJ33" s="558"/>
      <c r="DK33" s="558"/>
      <c r="DL33" s="557"/>
      <c r="DM33" s="556"/>
      <c r="DO33" s="568"/>
      <c r="DP33" s="567">
        <f>DP34-DP32</f>
        <v>-4075964.4700000007</v>
      </c>
      <c r="DQ33" s="522"/>
      <c r="DR33" s="566"/>
      <c r="DS33" s="661">
        <f t="shared" ref="DS33" si="186">IF($DO$32&lt;&gt;0,DP33/$DO$32,0)</f>
        <v>-3.3188055101217494E-2</v>
      </c>
    </row>
    <row r="34" spans="1:123" s="131" customFormat="1" ht="17.25">
      <c r="A34" s="527" t="s">
        <v>428</v>
      </c>
      <c r="B34" s="142"/>
      <c r="C34" s="160"/>
      <c r="D34" s="555"/>
      <c r="F34" s="462">
        <v>11384003.469999999</v>
      </c>
      <c r="G34" s="554"/>
      <c r="H34" s="553"/>
      <c r="I34" s="552">
        <f>IF(E32&lt;&gt;0,F34/E32,0)</f>
        <v>0.73678101546825436</v>
      </c>
      <c r="J34" s="551"/>
      <c r="K34" s="550"/>
      <c r="L34" s="549"/>
      <c r="M34" s="549"/>
      <c r="N34" s="549"/>
      <c r="O34" s="548"/>
      <c r="P34" s="547"/>
      <c r="Q34" s="546"/>
      <c r="R34" s="545"/>
      <c r="S34" s="545"/>
      <c r="T34" s="544"/>
      <c r="U34" s="527"/>
      <c r="V34" s="462">
        <v>2498006.3200000003</v>
      </c>
      <c r="W34" s="554"/>
      <c r="X34" s="553"/>
      <c r="Y34" s="552">
        <f>IF(U32&lt;&gt;0,V34/U32,0)</f>
        <v>0.29811151013027609</v>
      </c>
      <c r="Z34" s="551"/>
      <c r="AA34" s="550"/>
      <c r="AB34" s="549"/>
      <c r="AC34" s="549"/>
      <c r="AD34" s="549"/>
      <c r="AE34" s="548"/>
      <c r="AF34" s="547"/>
      <c r="AG34" s="546"/>
      <c r="AH34" s="545"/>
      <c r="AI34" s="545"/>
      <c r="AJ34" s="544"/>
      <c r="AK34" s="527"/>
      <c r="AL34" s="462">
        <v>15783611.41</v>
      </c>
      <c r="AM34" s="554"/>
      <c r="AN34" s="553"/>
      <c r="AO34" s="552">
        <f>IF(AK32&lt;&gt;0,AL34/AK32,0)</f>
        <v>0.13032197238871468</v>
      </c>
      <c r="AP34" s="551"/>
      <c r="AQ34" s="550"/>
      <c r="AR34" s="549"/>
      <c r="AS34" s="549"/>
      <c r="AT34" s="549"/>
      <c r="AU34" s="548"/>
      <c r="AV34" s="547"/>
      <c r="AW34" s="546"/>
      <c r="AX34" s="545"/>
      <c r="AY34" s="545"/>
      <c r="AZ34" s="544"/>
      <c r="BA34" s="527"/>
      <c r="BB34" s="462">
        <v>225736.95999999999</v>
      </c>
      <c r="BC34" s="554"/>
      <c r="BD34" s="553"/>
      <c r="BE34" s="552">
        <f>IF(BA32&lt;&gt;0,BB34/BA32,0)</f>
        <v>0.35810459320458271</v>
      </c>
      <c r="BF34" s="551"/>
      <c r="BG34" s="550"/>
      <c r="BH34" s="549"/>
      <c r="BI34" s="549"/>
      <c r="BJ34" s="549"/>
      <c r="BK34" s="548"/>
      <c r="BL34" s="547"/>
      <c r="BM34" s="546"/>
      <c r="BN34" s="545"/>
      <c r="BO34" s="545"/>
      <c r="BP34" s="544"/>
      <c r="BQ34" s="527"/>
      <c r="BR34" s="462">
        <v>278442.62</v>
      </c>
      <c r="BS34" s="554"/>
      <c r="BT34" s="553"/>
      <c r="BU34" s="552">
        <f>IF(BQ32&lt;&gt;0,BR34/BQ32,0)</f>
        <v>0.25988670897890609</v>
      </c>
      <c r="BV34" s="551"/>
      <c r="BW34" s="550"/>
      <c r="BX34" s="549"/>
      <c r="BY34" s="549"/>
      <c r="BZ34" s="549"/>
      <c r="CA34" s="548"/>
      <c r="CB34" s="547"/>
      <c r="CC34" s="546"/>
      <c r="CD34" s="545"/>
      <c r="CE34" s="545"/>
      <c r="CF34" s="544"/>
      <c r="CG34" s="527"/>
      <c r="CH34" s="462">
        <v>30574.89</v>
      </c>
      <c r="CI34" s="554"/>
      <c r="CJ34" s="553"/>
      <c r="CK34" s="552">
        <f>IF(CG32&lt;&gt;0,CH34/CG32,0)</f>
        <v>3.7736528350324601E-2</v>
      </c>
      <c r="CL34" s="551"/>
      <c r="CM34" s="550"/>
      <c r="CN34" s="549"/>
      <c r="CO34" s="549"/>
      <c r="CP34" s="549"/>
      <c r="CQ34" s="548"/>
      <c r="CR34" s="547"/>
      <c r="CS34" s="546"/>
      <c r="CT34" s="545"/>
      <c r="CU34" s="545"/>
      <c r="CV34" s="544"/>
      <c r="CW34" s="527"/>
      <c r="CX34" s="462">
        <f>F34+V34+AL34+BB34+BR34+CH34</f>
        <v>30200375.670000002</v>
      </c>
      <c r="CY34" s="554"/>
      <c r="CZ34" s="553"/>
      <c r="DA34" s="552">
        <f>IF(CW32&lt;&gt;0,CX34/CW32,0)</f>
        <v>0.20481099289933868</v>
      </c>
      <c r="DB34" s="551"/>
      <c r="DC34" s="550"/>
      <c r="DD34" s="549"/>
      <c r="DE34" s="549"/>
      <c r="DF34" s="549"/>
      <c r="DG34" s="548"/>
      <c r="DH34" s="547"/>
      <c r="DI34" s="546"/>
      <c r="DJ34" s="545"/>
      <c r="DK34" s="545"/>
      <c r="DL34" s="544"/>
      <c r="DM34" s="527"/>
      <c r="DO34" s="527"/>
      <c r="DP34" s="462">
        <f>AL34+BB34+BR34</f>
        <v>16287790.99</v>
      </c>
      <c r="DQ34" s="554"/>
      <c r="DR34" s="553"/>
      <c r="DS34" s="662">
        <f>IF(DO32&lt;&gt;0,DP34/DO32,0)</f>
        <v>0.13262139766719649</v>
      </c>
    </row>
    <row r="35" spans="1:123" s="131" customFormat="1" ht="15.75" thickBot="1">
      <c r="A35" s="543"/>
      <c r="B35" s="542"/>
      <c r="C35" s="541"/>
      <c r="D35" s="540"/>
      <c r="E35" s="539">
        <f>E32/$CW$32</f>
        <v>0.10478461214743168</v>
      </c>
      <c r="F35" s="537"/>
      <c r="G35" s="535"/>
      <c r="H35" s="536"/>
      <c r="I35" s="535"/>
      <c r="J35" s="534"/>
      <c r="K35" s="533"/>
      <c r="L35" s="532"/>
      <c r="M35" s="532"/>
      <c r="N35" s="532"/>
      <c r="O35" s="531"/>
      <c r="P35" s="531"/>
      <c r="Q35" s="530"/>
      <c r="R35" s="529"/>
      <c r="S35" s="529"/>
      <c r="T35" s="528"/>
      <c r="U35" s="538">
        <f>U32/$CW$32</f>
        <v>5.6827127776469241E-2</v>
      </c>
      <c r="V35" s="537"/>
      <c r="W35" s="535"/>
      <c r="X35" s="536"/>
      <c r="Y35" s="535"/>
      <c r="Z35" s="533"/>
      <c r="AA35" s="533"/>
      <c r="AB35" s="532"/>
      <c r="AC35" s="532"/>
      <c r="AD35" s="532"/>
      <c r="AE35" s="531"/>
      <c r="AF35" s="531"/>
      <c r="AG35" s="530"/>
      <c r="AH35" s="529"/>
      <c r="AI35" s="529"/>
      <c r="AJ35" s="528"/>
      <c r="AK35" s="538">
        <f>AK32/$CW$32</f>
        <v>0.82135263269083092</v>
      </c>
      <c r="AL35" s="537"/>
      <c r="AM35" s="535"/>
      <c r="AN35" s="536"/>
      <c r="AO35" s="535"/>
      <c r="AP35" s="533"/>
      <c r="AQ35" s="533"/>
      <c r="AR35" s="532"/>
      <c r="AS35" s="532"/>
      <c r="AT35" s="532"/>
      <c r="AU35" s="531"/>
      <c r="AV35" s="531"/>
      <c r="AW35" s="530"/>
      <c r="AX35" s="529"/>
      <c r="AY35" s="529"/>
      <c r="AZ35" s="528"/>
      <c r="BA35" s="538">
        <f>BA32/$CW$32</f>
        <v>4.2749761711816658E-3</v>
      </c>
      <c r="BB35" s="537"/>
      <c r="BC35" s="535"/>
      <c r="BD35" s="536"/>
      <c r="BE35" s="535"/>
      <c r="BF35" s="533"/>
      <c r="BG35" s="533"/>
      <c r="BH35" s="532"/>
      <c r="BI35" s="532"/>
      <c r="BJ35" s="532"/>
      <c r="BK35" s="531"/>
      <c r="BL35" s="531"/>
      <c r="BM35" s="530"/>
      <c r="BN35" s="529"/>
      <c r="BO35" s="529"/>
      <c r="BP35" s="528"/>
      <c r="BQ35" s="538">
        <f>BQ32/$CW$32</f>
        <v>7.2659525891371618E-3</v>
      </c>
      <c r="BR35" s="537"/>
      <c r="BS35" s="535"/>
      <c r="BT35" s="536"/>
      <c r="BU35" s="535"/>
      <c r="BV35" s="533"/>
      <c r="BW35" s="533"/>
      <c r="BX35" s="532"/>
      <c r="BY35" s="532"/>
      <c r="BZ35" s="532"/>
      <c r="CA35" s="531"/>
      <c r="CB35" s="531"/>
      <c r="CC35" s="530"/>
      <c r="CD35" s="529"/>
      <c r="CE35" s="529"/>
      <c r="CF35" s="528"/>
      <c r="CG35" s="538">
        <f>CG32/$CW$32</f>
        <v>5.4946986249493294E-3</v>
      </c>
      <c r="CH35" s="537"/>
      <c r="CI35" s="535"/>
      <c r="CJ35" s="536"/>
      <c r="CK35" s="535"/>
      <c r="CL35" s="534"/>
      <c r="CM35" s="533"/>
      <c r="CN35" s="532"/>
      <c r="CO35" s="532"/>
      <c r="CP35" s="532"/>
      <c r="CQ35" s="531"/>
      <c r="CR35" s="531"/>
      <c r="CS35" s="530"/>
      <c r="CT35" s="529"/>
      <c r="CU35" s="529"/>
      <c r="CV35" s="528"/>
      <c r="CW35" s="538">
        <f>CW32/$CW$32</f>
        <v>1</v>
      </c>
      <c r="CX35" s="537"/>
      <c r="CY35" s="535"/>
      <c r="CZ35" s="536"/>
      <c r="DA35" s="535"/>
      <c r="DB35" s="534"/>
      <c r="DC35" s="533"/>
      <c r="DD35" s="532"/>
      <c r="DE35" s="532"/>
      <c r="DF35" s="532"/>
      <c r="DG35" s="531"/>
      <c r="DH35" s="531"/>
      <c r="DI35" s="530"/>
      <c r="DJ35" s="529"/>
      <c r="DK35" s="529"/>
      <c r="DL35" s="528"/>
      <c r="DM35" s="527"/>
      <c r="DO35" s="538">
        <f>DO32/$CW$32</f>
        <v>0.83289356145114979</v>
      </c>
      <c r="DP35" s="537"/>
      <c r="DQ35" s="535"/>
      <c r="DR35" s="536"/>
      <c r="DS35" s="663"/>
    </row>
    <row r="36" spans="1:123">
      <c r="E36" s="143"/>
      <c r="F36" s="259"/>
      <c r="U36" s="143"/>
      <c r="V36" s="259"/>
      <c r="BQ36" s="143"/>
      <c r="BR36" s="259"/>
      <c r="CG36" s="143"/>
      <c r="CH36" s="259"/>
    </row>
    <row r="37" spans="1:123">
      <c r="E37" s="143"/>
      <c r="F37" s="526"/>
      <c r="U37" s="143"/>
      <c r="V37" s="526"/>
      <c r="AL37" s="526"/>
      <c r="BB37" s="526"/>
      <c r="BQ37" s="143"/>
      <c r="BR37" s="526"/>
      <c r="CG37" s="143"/>
      <c r="CH37" s="526"/>
      <c r="CX37" s="465"/>
    </row>
    <row r="38" spans="1:123">
      <c r="E38" s="143"/>
      <c r="F38" s="259"/>
      <c r="U38" s="143"/>
      <c r="V38" s="259"/>
      <c r="AL38" s="259"/>
      <c r="BB38" s="259"/>
      <c r="BQ38" s="143"/>
      <c r="BR38" s="259"/>
      <c r="CG38" s="143"/>
      <c r="CH38" s="259"/>
      <c r="CX38" s="143"/>
    </row>
    <row r="39" spans="1:123">
      <c r="E39" s="143"/>
      <c r="F39" s="259"/>
      <c r="U39" s="143"/>
      <c r="V39" s="259"/>
      <c r="BQ39" s="143"/>
      <c r="BR39" s="259"/>
      <c r="CG39" s="143"/>
      <c r="CH39" s="259"/>
      <c r="CX39" s="143"/>
    </row>
    <row r="40" spans="1:123">
      <c r="E40" s="143"/>
      <c r="F40" s="259"/>
      <c r="U40" s="143"/>
      <c r="V40" s="259"/>
      <c r="BQ40" s="143"/>
      <c r="BR40" s="259"/>
      <c r="CG40" s="143"/>
      <c r="CH40" s="259"/>
      <c r="CX40" s="143">
        <f>+CX38-CX39</f>
        <v>0</v>
      </c>
    </row>
    <row r="41" spans="1:123">
      <c r="E41" s="143"/>
      <c r="F41" s="259"/>
      <c r="U41" s="143"/>
      <c r="V41" s="259"/>
      <c r="AL41" s="523"/>
      <c r="BB41" s="523"/>
      <c r="BQ41" s="143"/>
      <c r="BR41" s="259"/>
      <c r="CG41" s="143"/>
      <c r="CH41" s="259"/>
    </row>
    <row r="42" spans="1:123">
      <c r="E42" s="143"/>
      <c r="F42" s="259"/>
      <c r="U42" s="143"/>
      <c r="V42" s="259"/>
      <c r="AL42" s="525"/>
      <c r="BB42" s="525"/>
      <c r="BQ42" s="143"/>
      <c r="BR42" s="259"/>
      <c r="CG42" s="143"/>
      <c r="CH42" s="259"/>
    </row>
    <row r="43" spans="1:123" ht="17.25">
      <c r="E43" s="143"/>
      <c r="F43" s="259"/>
      <c r="U43" s="143"/>
      <c r="V43" s="259"/>
      <c r="AL43" s="524"/>
      <c r="BB43" s="524"/>
      <c r="BQ43" s="143"/>
      <c r="BR43" s="259"/>
      <c r="CG43" s="143"/>
      <c r="CH43" s="259"/>
    </row>
    <row r="44" spans="1:123">
      <c r="E44" s="143"/>
      <c r="F44" s="259"/>
      <c r="U44" s="143"/>
      <c r="V44" s="259"/>
      <c r="AL44" s="523"/>
      <c r="BB44" s="523"/>
      <c r="BQ44" s="143"/>
      <c r="BR44" s="259"/>
      <c r="CG44" s="143"/>
      <c r="CH44" s="259"/>
    </row>
    <row r="45" spans="1:123">
      <c r="E45" s="143"/>
      <c r="F45" s="259"/>
      <c r="U45" s="143"/>
      <c r="V45" s="259"/>
      <c r="AL45" s="465"/>
      <c r="BB45" s="465"/>
      <c r="BQ45" s="143"/>
      <c r="BR45" s="259"/>
      <c r="CG45" s="143"/>
      <c r="CH45" s="259"/>
    </row>
    <row r="46" spans="1:123">
      <c r="E46" s="143"/>
      <c r="F46" s="259"/>
      <c r="U46" s="143"/>
      <c r="V46" s="259"/>
      <c r="AL46" s="465"/>
      <c r="BB46" s="465"/>
      <c r="BQ46" s="143"/>
      <c r="BR46" s="259"/>
      <c r="CG46" s="143"/>
      <c r="CH46" s="259"/>
    </row>
    <row r="47" spans="1:123">
      <c r="E47" s="143"/>
      <c r="F47" s="259"/>
      <c r="U47" s="143"/>
      <c r="V47" s="259"/>
      <c r="BQ47" s="143"/>
      <c r="BR47" s="259"/>
      <c r="CG47" s="143"/>
      <c r="CH47" s="259"/>
    </row>
    <row r="48" spans="1:123">
      <c r="E48" s="143"/>
      <c r="F48" s="259"/>
      <c r="U48" s="143"/>
      <c r="V48" s="259"/>
      <c r="BQ48" s="143"/>
      <c r="BR48" s="259"/>
      <c r="CG48" s="143"/>
      <c r="CH48" s="259"/>
    </row>
    <row r="49" spans="5:104">
      <c r="E49" s="143"/>
      <c r="F49" s="259"/>
      <c r="U49" s="143"/>
      <c r="V49" s="259"/>
      <c r="BQ49" s="143"/>
      <c r="BR49" s="259"/>
      <c r="CG49" s="143"/>
      <c r="CH49" s="259"/>
    </row>
    <row r="50" spans="5:104">
      <c r="E50" s="143"/>
      <c r="F50" s="259"/>
      <c r="U50" s="143"/>
      <c r="V50" s="259"/>
      <c r="BQ50" s="143"/>
      <c r="BR50" s="259"/>
      <c r="CG50" s="143"/>
      <c r="CH50" s="259"/>
    </row>
    <row r="51" spans="5:104">
      <c r="E51" s="143"/>
      <c r="F51" s="259"/>
      <c r="U51" s="143"/>
      <c r="V51" s="259"/>
      <c r="BQ51" s="143"/>
      <c r="BR51" s="259"/>
      <c r="CG51" s="143"/>
      <c r="CH51" s="259"/>
    </row>
    <row r="52" spans="5:104">
      <c r="E52" s="143"/>
      <c r="F52" s="259"/>
      <c r="U52" s="143"/>
      <c r="V52" s="259"/>
      <c r="BQ52" s="143"/>
      <c r="BR52" s="259"/>
      <c r="CG52" s="143"/>
      <c r="CH52" s="259"/>
    </row>
    <row r="53" spans="5:104">
      <c r="E53" s="143"/>
      <c r="F53" s="259"/>
      <c r="U53" s="143"/>
      <c r="V53" s="259"/>
      <c r="BQ53" s="143"/>
      <c r="BR53" s="259"/>
      <c r="CG53" s="143"/>
      <c r="CH53" s="259"/>
    </row>
    <row r="54" spans="5:104">
      <c r="E54" s="143"/>
      <c r="F54" s="259"/>
      <c r="G54"/>
      <c r="H54"/>
      <c r="U54" s="143"/>
      <c r="V54" s="259"/>
      <c r="W54"/>
      <c r="X54"/>
      <c r="AN54"/>
      <c r="BD54"/>
      <c r="BQ54" s="143"/>
      <c r="BR54" s="259"/>
      <c r="BS54"/>
      <c r="BT54"/>
      <c r="CG54" s="143"/>
      <c r="CH54" s="259"/>
      <c r="CI54"/>
      <c r="CJ54"/>
      <c r="CZ54"/>
    </row>
    <row r="55" spans="5:104">
      <c r="E55" s="143"/>
      <c r="F55" s="259"/>
      <c r="G55"/>
      <c r="H55"/>
      <c r="U55" s="143"/>
      <c r="V55" s="259"/>
      <c r="W55"/>
      <c r="X55"/>
      <c r="AN55"/>
      <c r="BD55"/>
      <c r="BQ55" s="143"/>
      <c r="BR55" s="259"/>
      <c r="BS55"/>
      <c r="BT55"/>
      <c r="CG55" s="143"/>
      <c r="CH55" s="259"/>
      <c r="CI55"/>
      <c r="CJ55"/>
      <c r="CZ55"/>
    </row>
    <row r="56" spans="5:104">
      <c r="E56" s="143"/>
      <c r="F56" s="259"/>
      <c r="G56"/>
      <c r="H56"/>
      <c r="U56" s="143"/>
      <c r="V56" s="259"/>
      <c r="W56"/>
      <c r="X56"/>
      <c r="AN56"/>
      <c r="BD56"/>
      <c r="BQ56" s="143"/>
      <c r="BR56" s="259"/>
      <c r="BS56"/>
      <c r="BT56"/>
      <c r="CG56" s="143"/>
      <c r="CH56" s="259"/>
      <c r="CI56"/>
      <c r="CJ56"/>
      <c r="CZ56"/>
    </row>
    <row r="57" spans="5:104">
      <c r="E57" s="143"/>
      <c r="F57" s="259"/>
      <c r="G57"/>
      <c r="H57"/>
      <c r="U57" s="143"/>
      <c r="V57" s="259"/>
      <c r="W57"/>
      <c r="X57"/>
      <c r="AN57"/>
      <c r="BD57"/>
      <c r="BQ57" s="143"/>
      <c r="BR57" s="259"/>
      <c r="BS57"/>
      <c r="BT57"/>
      <c r="CG57" s="143"/>
      <c r="CH57" s="259"/>
      <c r="CI57"/>
      <c r="CJ57"/>
      <c r="CZ57"/>
    </row>
    <row r="58" spans="5:104">
      <c r="E58" s="143"/>
      <c r="F58" s="259"/>
      <c r="G58"/>
      <c r="H58"/>
      <c r="U58" s="143"/>
      <c r="V58" s="259"/>
      <c r="W58"/>
      <c r="X58"/>
      <c r="AN58"/>
      <c r="BD58"/>
      <c r="BQ58" s="143"/>
      <c r="BR58" s="259"/>
      <c r="BS58"/>
      <c r="BT58"/>
      <c r="CG58" s="143"/>
      <c r="CH58" s="259"/>
      <c r="CI58"/>
      <c r="CJ58"/>
      <c r="CZ58"/>
    </row>
    <row r="59" spans="5:104">
      <c r="E59" s="143"/>
      <c r="F59" s="259"/>
      <c r="G59"/>
      <c r="H59"/>
      <c r="U59" s="143"/>
      <c r="V59" s="259"/>
      <c r="W59"/>
      <c r="X59"/>
      <c r="AN59"/>
      <c r="BD59"/>
      <c r="BQ59" s="143"/>
      <c r="BR59" s="259"/>
      <c r="BS59"/>
      <c r="BT59"/>
      <c r="CG59" s="143"/>
      <c r="CH59" s="259"/>
      <c r="CI59"/>
      <c r="CJ59"/>
      <c r="CZ59"/>
    </row>
    <row r="60" spans="5:104">
      <c r="E60" s="143"/>
      <c r="F60" s="259"/>
      <c r="G60"/>
      <c r="H60"/>
      <c r="U60" s="143"/>
      <c r="V60" s="259"/>
      <c r="W60"/>
      <c r="X60"/>
      <c r="AN60"/>
      <c r="BD60"/>
      <c r="BQ60" s="143"/>
      <c r="BR60" s="259"/>
      <c r="BS60"/>
      <c r="BT60"/>
      <c r="CG60" s="143"/>
      <c r="CH60" s="259"/>
      <c r="CI60"/>
      <c r="CJ60"/>
      <c r="CZ60"/>
    </row>
    <row r="61" spans="5:104">
      <c r="E61" s="143"/>
      <c r="F61" s="259"/>
      <c r="G61"/>
      <c r="H61"/>
      <c r="U61" s="143"/>
      <c r="V61" s="259"/>
      <c r="W61"/>
      <c r="X61"/>
      <c r="AN61"/>
      <c r="BD61"/>
      <c r="BQ61" s="143"/>
      <c r="BR61" s="259"/>
      <c r="BS61"/>
      <c r="BT61"/>
      <c r="CG61" s="143"/>
      <c r="CH61" s="259"/>
      <c r="CI61"/>
      <c r="CJ61"/>
      <c r="CZ61"/>
    </row>
    <row r="62" spans="5:104">
      <c r="E62" s="143"/>
      <c r="F62" s="259"/>
      <c r="G62"/>
      <c r="H62"/>
      <c r="U62" s="143"/>
      <c r="V62" s="259"/>
      <c r="W62"/>
      <c r="X62"/>
      <c r="AN62"/>
      <c r="BD62"/>
      <c r="BQ62" s="143"/>
      <c r="BR62" s="259"/>
      <c r="BS62"/>
      <c r="BT62"/>
      <c r="CG62" s="143"/>
      <c r="CH62" s="259"/>
      <c r="CI62"/>
      <c r="CJ62"/>
      <c r="CZ62"/>
    </row>
    <row r="63" spans="5:104">
      <c r="E63" s="143"/>
      <c r="F63" s="259"/>
      <c r="G63"/>
      <c r="H63"/>
      <c r="U63" s="143"/>
      <c r="V63" s="259"/>
      <c r="W63"/>
      <c r="X63"/>
      <c r="AN63"/>
      <c r="BD63"/>
      <c r="BQ63" s="143"/>
      <c r="BR63" s="259"/>
      <c r="BS63"/>
      <c r="BT63"/>
      <c r="CG63" s="143"/>
      <c r="CH63" s="259"/>
      <c r="CI63"/>
      <c r="CJ63"/>
      <c r="CZ63"/>
    </row>
    <row r="64" spans="5:104">
      <c r="E64" s="143"/>
      <c r="F64" s="259"/>
      <c r="G64"/>
      <c r="H64"/>
      <c r="U64" s="143"/>
      <c r="V64" s="259"/>
      <c r="W64"/>
      <c r="X64"/>
      <c r="AN64"/>
      <c r="BD64"/>
      <c r="BQ64" s="143"/>
      <c r="BR64" s="259"/>
      <c r="BS64"/>
      <c r="BT64"/>
      <c r="CG64" s="143"/>
      <c r="CH64" s="259"/>
      <c r="CI64"/>
      <c r="CJ64"/>
      <c r="CZ64"/>
    </row>
  </sheetData>
  <mergeCells count="11">
    <mergeCell ref="DO1:DS1"/>
    <mergeCell ref="BA1:BP1"/>
    <mergeCell ref="BQ1:CF1"/>
    <mergeCell ref="CG1:CV1"/>
    <mergeCell ref="CW1:DL1"/>
    <mergeCell ref="AK1:AZ1"/>
    <mergeCell ref="A1:A2"/>
    <mergeCell ref="B1:C1"/>
    <mergeCell ref="D1:D2"/>
    <mergeCell ref="E1:T1"/>
    <mergeCell ref="U1:AJ1"/>
  </mergeCells>
  <pageMargins left="0.2" right="0.2" top="0.5" bottom="0.5" header="0.3" footer="0.3"/>
  <pageSetup scale="44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R143"/>
  <sheetViews>
    <sheetView workbookViewId="0">
      <pane xSplit="1" ySplit="2" topLeftCell="B12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RowHeight="15"/>
  <cols>
    <col min="1" max="1" width="22.5703125" bestFit="1" customWidth="1"/>
    <col min="2" max="2" width="9.7109375" style="362" bestFit="1" customWidth="1"/>
    <col min="3" max="4" width="8.7109375" bestFit="1" customWidth="1"/>
    <col min="5" max="5" width="7.7109375" bestFit="1" customWidth="1"/>
    <col min="6" max="6" width="9.7109375" bestFit="1" customWidth="1"/>
    <col min="7" max="7" width="8.7109375" bestFit="1" customWidth="1"/>
    <col min="8" max="8" width="2.5703125" customWidth="1"/>
    <col min="9" max="11" width="8.7109375" bestFit="1" customWidth="1"/>
    <col min="12" max="12" width="9.5703125" bestFit="1" customWidth="1"/>
    <col min="14" max="14" width="2.7109375" customWidth="1"/>
    <col min="15" max="16" width="6.42578125" bestFit="1" customWidth="1"/>
    <col min="17" max="18" width="7.28515625" bestFit="1" customWidth="1"/>
    <col min="19" max="19" width="7" bestFit="1" customWidth="1"/>
    <col min="20" max="20" width="7.7109375" bestFit="1" customWidth="1"/>
    <col min="21" max="21" width="2.5703125" customWidth="1"/>
    <col min="22" max="22" width="8.7109375" hidden="1" customWidth="1"/>
    <col min="23" max="23" width="7.7109375" hidden="1" customWidth="1"/>
    <col min="24" max="24" width="8.7109375" hidden="1" customWidth="1"/>
    <col min="25" max="25" width="6.28515625" hidden="1" customWidth="1"/>
    <col min="26" max="26" width="8.7109375" hidden="1" customWidth="1"/>
    <col min="27" max="27" width="6.28515625" hidden="1" customWidth="1"/>
    <col min="28" max="28" width="8.7109375" hidden="1" customWidth="1"/>
    <col min="29" max="29" width="7.7109375" hidden="1" customWidth="1"/>
    <col min="30" max="30" width="8.7109375" hidden="1" customWidth="1"/>
    <col min="31" max="31" width="7.7109375" hidden="1" customWidth="1"/>
    <col min="32" max="32" width="8.7109375" hidden="1" customWidth="1"/>
    <col min="33" max="33" width="7.7109375" hidden="1" customWidth="1"/>
    <col min="34" max="34" width="11.5703125" hidden="1" customWidth="1"/>
    <col min="35" max="35" width="7.7109375" hidden="1" customWidth="1"/>
    <col min="36" max="36" width="2.5703125" customWidth="1"/>
    <col min="37" max="37" width="13.5703125" bestFit="1" customWidth="1"/>
    <col min="38" max="38" width="1.5703125" customWidth="1"/>
    <col min="39" max="39" width="12" bestFit="1" customWidth="1"/>
    <col min="40" max="41" width="11.42578125" bestFit="1" customWidth="1"/>
    <col min="42" max="43" width="9.7109375" bestFit="1" customWidth="1"/>
    <col min="44" max="46" width="11.42578125" bestFit="1" customWidth="1"/>
    <col min="47" max="47" width="10.28515625" bestFit="1" customWidth="1"/>
    <col min="48" max="48" width="9.7109375" bestFit="1" customWidth="1"/>
    <col min="49" max="49" width="11.42578125" bestFit="1" customWidth="1"/>
    <col min="50" max="50" width="12.42578125" bestFit="1" customWidth="1"/>
    <col min="51" max="51" width="1.5703125" customWidth="1"/>
    <col min="52" max="52" width="12.42578125" bestFit="1" customWidth="1"/>
    <col min="53" max="53" width="1.5703125" customWidth="1"/>
    <col min="54" max="54" width="11.42578125" bestFit="1" customWidth="1"/>
    <col min="55" max="58" width="12.42578125" bestFit="1" customWidth="1"/>
    <col min="59" max="59" width="10.42578125" bestFit="1" customWidth="1"/>
    <col min="60" max="60" width="10.7109375" bestFit="1" customWidth="1"/>
    <col min="61" max="61" width="10.42578125" bestFit="1" customWidth="1"/>
    <col min="62" max="64" width="12.42578125" bestFit="1" customWidth="1"/>
    <col min="65" max="65" width="1.5703125" customWidth="1"/>
    <col min="66" max="66" width="14.5703125" bestFit="1" customWidth="1"/>
    <col min="67" max="67" width="12.42578125" bestFit="1" customWidth="1"/>
    <col min="68" max="68" width="9.7109375" bestFit="1" customWidth="1"/>
    <col min="69" max="69" width="12.42578125" bestFit="1" customWidth="1"/>
    <col min="70" max="70" width="11.5703125" bestFit="1" customWidth="1"/>
    <col min="71" max="71" width="12.5703125" bestFit="1" customWidth="1"/>
    <col min="72" max="72" width="5.42578125" bestFit="1" customWidth="1"/>
    <col min="73" max="73" width="16.5703125" bestFit="1" customWidth="1"/>
    <col min="74" max="75" width="9.5703125" bestFit="1" customWidth="1"/>
    <col min="76" max="76" width="12.42578125" bestFit="1" customWidth="1"/>
    <col min="77" max="78" width="11.42578125" bestFit="1" customWidth="1"/>
    <col min="79" max="79" width="12.42578125" bestFit="1" customWidth="1"/>
    <col min="80" max="81" width="11.5703125" bestFit="1" customWidth="1"/>
    <col min="82" max="82" width="10.5703125" bestFit="1" customWidth="1"/>
    <col min="83" max="83" width="11.5703125" bestFit="1" customWidth="1"/>
    <col min="84" max="84" width="11.7109375" bestFit="1" customWidth="1"/>
    <col min="85" max="88" width="11.5703125" bestFit="1" customWidth="1"/>
    <col min="89" max="89" width="10.28515625" bestFit="1" customWidth="1"/>
    <col min="90" max="91" width="11.42578125" bestFit="1" customWidth="1"/>
    <col min="92" max="94" width="12.42578125" bestFit="1" customWidth="1"/>
    <col min="95" max="95" width="11.42578125" bestFit="1" customWidth="1"/>
    <col min="96" max="96" width="9.7109375" bestFit="1" customWidth="1"/>
  </cols>
  <sheetData>
    <row r="1" spans="1:96" s="373" customFormat="1" ht="32.65" customHeight="1">
      <c r="A1" s="471" t="s">
        <v>394</v>
      </c>
      <c r="B1" s="375" t="s">
        <v>321</v>
      </c>
      <c r="C1" s="376" t="s">
        <v>303</v>
      </c>
      <c r="D1" s="377" t="s">
        <v>326</v>
      </c>
      <c r="E1" s="376" t="s">
        <v>324</v>
      </c>
      <c r="F1" s="376" t="s">
        <v>322</v>
      </c>
      <c r="G1" s="376" t="s">
        <v>305</v>
      </c>
      <c r="I1" s="376" t="s">
        <v>310</v>
      </c>
      <c r="J1" s="376" t="s">
        <v>311</v>
      </c>
      <c r="K1" s="376" t="s">
        <v>107</v>
      </c>
      <c r="L1" s="376" t="s">
        <v>347</v>
      </c>
      <c r="M1" s="376" t="s">
        <v>348</v>
      </c>
      <c r="O1" s="376" t="s">
        <v>355</v>
      </c>
      <c r="P1" s="376" t="s">
        <v>356</v>
      </c>
      <c r="Q1" s="376" t="s">
        <v>357</v>
      </c>
      <c r="R1" s="376" t="s">
        <v>358</v>
      </c>
      <c r="S1" s="376" t="s">
        <v>359</v>
      </c>
      <c r="T1" s="376" t="s">
        <v>360</v>
      </c>
      <c r="V1" s="1059" t="s">
        <v>349</v>
      </c>
      <c r="W1" s="1060"/>
      <c r="X1" s="1059" t="s">
        <v>350</v>
      </c>
      <c r="Y1" s="1060"/>
      <c r="Z1" s="1059" t="s">
        <v>351</v>
      </c>
      <c r="AA1" s="1060"/>
      <c r="AB1" s="1059" t="s">
        <v>18</v>
      </c>
      <c r="AC1" s="1060"/>
      <c r="AD1" s="1059" t="s">
        <v>352</v>
      </c>
      <c r="AE1" s="1060"/>
      <c r="AF1" s="1059" t="s">
        <v>353</v>
      </c>
      <c r="AG1" s="1060"/>
      <c r="AH1" s="1059" t="s">
        <v>25</v>
      </c>
      <c r="AI1" s="1060"/>
      <c r="AK1" s="376" t="s">
        <v>373</v>
      </c>
      <c r="AM1" s="376" t="s">
        <v>5</v>
      </c>
      <c r="AN1" s="376" t="s">
        <v>8</v>
      </c>
      <c r="AO1" s="376" t="s">
        <v>349</v>
      </c>
      <c r="AP1" s="376" t="s">
        <v>374</v>
      </c>
      <c r="AQ1" s="376" t="s">
        <v>384</v>
      </c>
      <c r="AR1" s="376" t="s">
        <v>369</v>
      </c>
      <c r="AS1" s="376" t="s">
        <v>370</v>
      </c>
      <c r="AT1" s="376" t="s">
        <v>353</v>
      </c>
      <c r="AU1" s="376" t="s">
        <v>25</v>
      </c>
      <c r="AV1" s="376" t="s">
        <v>383</v>
      </c>
      <c r="AW1" s="376" t="s">
        <v>29</v>
      </c>
      <c r="AX1" s="376" t="s">
        <v>372</v>
      </c>
      <c r="AZ1" s="376" t="s">
        <v>371</v>
      </c>
      <c r="BB1" s="376" t="s">
        <v>375</v>
      </c>
      <c r="BC1" s="376" t="s">
        <v>376</v>
      </c>
      <c r="BD1" s="376" t="s">
        <v>377</v>
      </c>
      <c r="BE1" s="376" t="s">
        <v>378</v>
      </c>
      <c r="BF1" s="376" t="s">
        <v>385</v>
      </c>
      <c r="BG1" s="376" t="s">
        <v>386</v>
      </c>
      <c r="BH1" s="376" t="s">
        <v>387</v>
      </c>
      <c r="BI1" s="376" t="s">
        <v>379</v>
      </c>
      <c r="BJ1" s="376" t="s">
        <v>380</v>
      </c>
      <c r="BK1" s="376" t="s">
        <v>381</v>
      </c>
      <c r="BL1" s="376" t="s">
        <v>382</v>
      </c>
      <c r="BN1" s="467"/>
      <c r="BO1" s="1029" t="s">
        <v>216</v>
      </c>
      <c r="BP1" s="1029"/>
      <c r="BQ1" s="1029"/>
      <c r="BR1" s="1029"/>
      <c r="BS1" s="1029"/>
      <c r="BT1" s="245"/>
      <c r="BU1" s="246"/>
      <c r="BV1" s="128"/>
      <c r="BW1" s="128"/>
      <c r="BX1" s="1029" t="s">
        <v>225</v>
      </c>
      <c r="BY1" s="1029"/>
      <c r="BZ1" s="1029"/>
      <c r="CA1" s="1029"/>
      <c r="CB1" s="1029"/>
      <c r="CC1" s="1029"/>
      <c r="CD1" s="1029"/>
      <c r="CE1" s="1029"/>
      <c r="CF1" s="1029"/>
      <c r="CG1" s="248" t="s">
        <v>194</v>
      </c>
      <c r="CH1" s="248" t="s">
        <v>177</v>
      </c>
      <c r="CI1" s="248" t="s">
        <v>282</v>
      </c>
      <c r="CJ1" s="248" t="s">
        <v>194</v>
      </c>
      <c r="CK1" s="248" t="s">
        <v>177</v>
      </c>
      <c r="CL1" s="248" t="s">
        <v>282</v>
      </c>
      <c r="CM1" s="480" t="s">
        <v>107</v>
      </c>
      <c r="CN1" s="248" t="s">
        <v>107</v>
      </c>
      <c r="CO1" s="472" t="s">
        <v>392</v>
      </c>
      <c r="CP1" s="248" t="s">
        <v>194</v>
      </c>
      <c r="CQ1" s="248" t="s">
        <v>177</v>
      </c>
      <c r="CR1" s="248" t="s">
        <v>282</v>
      </c>
    </row>
    <row r="2" spans="1:96">
      <c r="A2" s="408" t="s">
        <v>345</v>
      </c>
      <c r="B2" s="379" t="s">
        <v>304</v>
      </c>
      <c r="F2" s="379" t="s">
        <v>304</v>
      </c>
      <c r="I2" s="1062" t="s">
        <v>346</v>
      </c>
      <c r="J2" s="1062"/>
      <c r="K2" s="1062"/>
      <c r="V2" s="450"/>
      <c r="W2" s="451"/>
      <c r="X2" s="450"/>
      <c r="Y2" s="451"/>
      <c r="Z2" s="450"/>
      <c r="AA2" s="451"/>
      <c r="AB2" s="450"/>
      <c r="AC2" s="451"/>
      <c r="AD2" s="450"/>
      <c r="AE2" s="451"/>
      <c r="AF2" s="450"/>
      <c r="AG2" s="451"/>
      <c r="AH2" s="450"/>
      <c r="AI2" s="451"/>
      <c r="AK2" s="457" t="s">
        <v>393</v>
      </c>
      <c r="AL2" s="457"/>
      <c r="AM2" s="457" t="s">
        <v>7</v>
      </c>
      <c r="AN2" s="457" t="s">
        <v>10</v>
      </c>
      <c r="AO2" s="457" t="s">
        <v>13</v>
      </c>
      <c r="AP2" s="457" t="s">
        <v>15</v>
      </c>
      <c r="AQ2" s="457" t="s">
        <v>17</v>
      </c>
      <c r="AR2" s="457" t="s">
        <v>20</v>
      </c>
      <c r="AS2" s="457" t="s">
        <v>22</v>
      </c>
      <c r="AT2" s="457" t="s">
        <v>24</v>
      </c>
      <c r="AU2" s="457" t="s">
        <v>26</v>
      </c>
      <c r="AV2" s="457" t="s">
        <v>28</v>
      </c>
      <c r="AW2" s="457" t="s">
        <v>30</v>
      </c>
      <c r="AX2" s="457">
        <v>10001002</v>
      </c>
      <c r="AY2" s="457"/>
      <c r="AZ2" s="457"/>
      <c r="BA2" s="457"/>
      <c r="BB2" s="457" t="s">
        <v>7</v>
      </c>
      <c r="BC2" s="457" t="s">
        <v>10</v>
      </c>
      <c r="BD2" s="457" t="s">
        <v>13</v>
      </c>
      <c r="BE2" s="457" t="s">
        <v>15</v>
      </c>
      <c r="BF2" s="457" t="s">
        <v>17</v>
      </c>
      <c r="BG2" s="457" t="s">
        <v>20</v>
      </c>
      <c r="BH2" s="457" t="s">
        <v>22</v>
      </c>
      <c r="BI2" s="457" t="s">
        <v>24</v>
      </c>
      <c r="BJ2" s="457" t="s">
        <v>26</v>
      </c>
      <c r="BK2" s="457" t="s">
        <v>28</v>
      </c>
      <c r="BL2" s="457" t="s">
        <v>30</v>
      </c>
      <c r="BM2" s="457"/>
      <c r="BN2" s="467"/>
      <c r="BO2" s="10" t="s">
        <v>190</v>
      </c>
      <c r="BP2" s="10" t="s">
        <v>55</v>
      </c>
      <c r="BQ2" s="10" t="s">
        <v>3</v>
      </c>
      <c r="BR2" s="140" t="s">
        <v>1</v>
      </c>
      <c r="BS2" s="140" t="s">
        <v>215</v>
      </c>
      <c r="BT2" s="249" t="s">
        <v>2</v>
      </c>
      <c r="BU2" s="9" t="s">
        <v>223</v>
      </c>
      <c r="BV2" s="129" t="s">
        <v>226</v>
      </c>
      <c r="BW2" s="129" t="s">
        <v>227</v>
      </c>
      <c r="BX2" s="10" t="s">
        <v>194</v>
      </c>
      <c r="BY2" s="10" t="s">
        <v>177</v>
      </c>
      <c r="BZ2" s="10" t="s">
        <v>282</v>
      </c>
      <c r="CA2" s="10" t="s">
        <v>3</v>
      </c>
      <c r="CB2" s="140" t="s">
        <v>228</v>
      </c>
      <c r="CC2" s="140" t="s">
        <v>229</v>
      </c>
      <c r="CD2" s="140" t="s">
        <v>283</v>
      </c>
      <c r="CE2" s="140" t="s">
        <v>230</v>
      </c>
      <c r="CF2" s="140" t="s">
        <v>215</v>
      </c>
      <c r="CG2" s="249" t="s">
        <v>222</v>
      </c>
      <c r="CH2" s="249" t="s">
        <v>222</v>
      </c>
      <c r="CI2" s="249" t="s">
        <v>222</v>
      </c>
      <c r="CJ2" s="249" t="s">
        <v>327</v>
      </c>
      <c r="CK2" s="249" t="s">
        <v>327</v>
      </c>
      <c r="CL2" s="249" t="s">
        <v>327</v>
      </c>
      <c r="CM2" s="481" t="s">
        <v>327</v>
      </c>
      <c r="CN2" s="249" t="s">
        <v>348</v>
      </c>
      <c r="CO2" s="249" t="s">
        <v>391</v>
      </c>
      <c r="CP2" s="249" t="s">
        <v>348</v>
      </c>
      <c r="CQ2" s="249" t="s">
        <v>348</v>
      </c>
      <c r="CR2" s="249" t="s">
        <v>348</v>
      </c>
    </row>
    <row r="3" spans="1:96">
      <c r="A3" s="404" t="s">
        <v>320</v>
      </c>
      <c r="B3" s="415">
        <v>6000</v>
      </c>
      <c r="C3" s="415">
        <v>1</v>
      </c>
      <c r="D3" s="416">
        <v>1</v>
      </c>
      <c r="E3" s="395">
        <f t="shared" ref="E3:E10" si="0">ROUND(C3*D3,0)</f>
        <v>1</v>
      </c>
      <c r="F3" s="395">
        <f t="shared" ref="F3:F10" si="1">B3*E3</f>
        <v>6000</v>
      </c>
      <c r="G3" s="396">
        <f t="shared" ref="G3:G11" si="2">F3/$F$11</f>
        <v>2.5423728813559324E-2</v>
      </c>
      <c r="H3" s="395"/>
      <c r="I3" s="429" t="e">
        <f>'KSHD 6.0'!H12</f>
        <v>#REF!</v>
      </c>
      <c r="J3" s="429">
        <f>'KSHD 6.0'!H20</f>
        <v>0.18347399881219473</v>
      </c>
      <c r="K3" s="409" t="e">
        <f>SUM(I3:J3)</f>
        <v>#REF!</v>
      </c>
      <c r="L3" s="429" t="e">
        <f>'KSHD 6.0'!AP21/'KSHD 6.0'!H24</f>
        <v>#REF!</v>
      </c>
      <c r="M3" s="409" t="e">
        <f>K3-L3</f>
        <v>#REF!</v>
      </c>
      <c r="O3" s="415">
        <v>33</v>
      </c>
      <c r="P3" s="415">
        <v>20</v>
      </c>
      <c r="Q3" s="415">
        <v>12</v>
      </c>
      <c r="R3" s="415">
        <v>4</v>
      </c>
      <c r="S3" s="415">
        <v>4</v>
      </c>
      <c r="T3" s="396">
        <v>0.02</v>
      </c>
      <c r="V3" s="452">
        <f>'KSHD 6.0'!$H$9</f>
        <v>3.1944442499999996E-2</v>
      </c>
      <c r="W3" s="453">
        <f t="shared" ref="W3:W10" si="3">V3*$F3</f>
        <v>191.66665499999999</v>
      </c>
      <c r="X3" s="452">
        <f>'KSHD 6.0'!$H$10</f>
        <v>2.7777777777777779E-3</v>
      </c>
      <c r="Y3" s="453">
        <f t="shared" ref="Y3:Y10" si="4">X3*$F3</f>
        <v>16.666666666666668</v>
      </c>
      <c r="Z3" s="452">
        <f>'KSHD 6.0'!$H$11</f>
        <v>1.0416666666666666E-2</v>
      </c>
      <c r="AA3" s="453">
        <f t="shared" ref="AA3:AA10" si="5">Z3*$F3</f>
        <v>62.5</v>
      </c>
      <c r="AB3" s="452">
        <f>'KSHD 6.0'!$H$14</f>
        <v>5.5160287540776363E-2</v>
      </c>
      <c r="AC3" s="453">
        <f t="shared" ref="AC3:AC10" si="6">AB3*$F3</f>
        <v>330.96172524465817</v>
      </c>
      <c r="AD3" s="452">
        <f>'KSHD 6.0'!$H$15</f>
        <v>1.9178790176000004E-2</v>
      </c>
      <c r="AE3" s="453">
        <f t="shared" ref="AE3:AE10" si="7">AD3*$F3</f>
        <v>115.07274105600003</v>
      </c>
      <c r="AF3" s="452">
        <f>'KSHD 6.0'!$H$16</f>
        <v>3.33745044287517E-2</v>
      </c>
      <c r="AG3" s="453">
        <f t="shared" ref="AG3:AG10" si="8">AF3*$F3</f>
        <v>200.24702657251021</v>
      </c>
      <c r="AH3" s="452">
        <f>'KSHD 6.0'!$H$17</f>
        <v>5.1354166666666666E-3</v>
      </c>
      <c r="AI3" s="453">
        <f t="shared" ref="AI3:AI10" si="9">AH3*$F3</f>
        <v>30.8125</v>
      </c>
      <c r="AK3" s="160" t="e">
        <f>'KSHD 6.0'!H$6*F3*1000</f>
        <v>#REF!</v>
      </c>
      <c r="AM3" s="259">
        <f>'KSHD 6.0'!$AC$7/12*$E3</f>
        <v>306876</v>
      </c>
      <c r="AN3" s="259">
        <f>'KSHD 6.0'!$AC$8/12*$E3</f>
        <v>74847</v>
      </c>
      <c r="AO3" s="259">
        <f>'KSHD 6.0'!$AC$9/12*$E3</f>
        <v>191666.655</v>
      </c>
      <c r="AP3" s="259">
        <f>'KSHD 6.0'!$AC$10/12*$E3</f>
        <v>16666.666666666668</v>
      </c>
      <c r="AQ3" s="259">
        <f>'KSHD 6.0'!$AC$11/12*$E3</f>
        <v>62500</v>
      </c>
      <c r="AR3" s="259">
        <f>'KSHD 6.0'!$AC$14/12*$E3</f>
        <v>330961.72524465818</v>
      </c>
      <c r="AS3" s="259">
        <f>'KSHD 6.0'!$AC$15/12*$E3</f>
        <v>115072.74105600001</v>
      </c>
      <c r="AT3" s="259">
        <f>'KSHD 6.0'!$AC$16/12*$E3</f>
        <v>200247.02657251022</v>
      </c>
      <c r="AU3" s="259">
        <f>'KSHD 6.0'!$AC$17/12*$E3</f>
        <v>30812.5</v>
      </c>
      <c r="AV3" s="259">
        <f>'KSHD 6.0'!$AC$18/12*$E3</f>
        <v>23750</v>
      </c>
      <c r="AW3" s="259">
        <f>'KSHD 6.0'!$AC$19/12*$E3</f>
        <v>400000</v>
      </c>
      <c r="AX3" s="160">
        <f>SUM(AM3:AW3)</f>
        <v>1753400.3145398351</v>
      </c>
      <c r="AY3" s="259"/>
      <c r="AZ3" s="160" t="e">
        <f>AK3+AX3</f>
        <v>#REF!</v>
      </c>
      <c r="BB3" s="143">
        <f>'KSHD 6.0'!$AG$7/12*$E3</f>
        <v>4514399.9999999991</v>
      </c>
      <c r="BC3" s="143">
        <f>'KSHD 6.0'!$AG$8/12*$E3</f>
        <v>14640000.000000002</v>
      </c>
      <c r="BD3" s="143">
        <f>'KSHD 6.0'!$AG$9/12*$E3</f>
        <v>6000000</v>
      </c>
      <c r="BE3" s="143">
        <f>'KSHD 6.0'!$AG$10/12*$E3</f>
        <v>6000000</v>
      </c>
      <c r="BF3" s="143">
        <f>'KSHD 6.0'!$AG$11/12*$E3</f>
        <v>6000000</v>
      </c>
      <c r="BG3" s="465">
        <f>'KSHD 6.0'!$AG$14/12*$E3</f>
        <v>10269.15</v>
      </c>
      <c r="BH3" s="465">
        <f>'KSHD 6.0'!$AG$15/12*$E3</f>
        <v>3290.56</v>
      </c>
      <c r="BI3" s="465">
        <f>'KSHD 6.0'!$AG$16/12*$E3</f>
        <v>10269.15</v>
      </c>
      <c r="BJ3" s="143">
        <f>'KSHD 6.0'!$AG$17/12*$E3</f>
        <v>6000000</v>
      </c>
      <c r="BK3" s="143">
        <f>'KSHD 6.0'!$AG$18/12*$E3</f>
        <v>6000000</v>
      </c>
      <c r="BL3" s="143">
        <f>'KSHD 6.0'!$AG$19/12*$E3</f>
        <v>6000000</v>
      </c>
      <c r="BN3" s="467"/>
      <c r="BO3" s="4"/>
      <c r="BP3" s="4"/>
      <c r="BQ3" s="4"/>
      <c r="BR3" s="4"/>
      <c r="BS3" s="5"/>
      <c r="BT3" s="265"/>
      <c r="BU3" s="3"/>
      <c r="BV3" s="125"/>
      <c r="BW3" s="126"/>
      <c r="BX3" s="242"/>
      <c r="BY3" s="242"/>
      <c r="BZ3" s="242"/>
      <c r="CA3" s="4"/>
      <c r="CB3" s="242"/>
      <c r="CC3" s="242"/>
      <c r="CD3" s="242"/>
      <c r="CE3" s="242"/>
      <c r="CF3" s="5"/>
      <c r="CG3" s="1025"/>
      <c r="CH3" s="1025"/>
      <c r="CI3" s="1025"/>
      <c r="CJ3" s="4"/>
      <c r="CK3" s="4"/>
      <c r="CL3" s="4"/>
      <c r="CM3" s="4"/>
      <c r="CN3" s="151"/>
      <c r="CO3" s="151"/>
      <c r="CP3" s="151"/>
      <c r="CQ3" s="151"/>
      <c r="CR3" s="151"/>
    </row>
    <row r="4" spans="1:96">
      <c r="A4" s="406" t="s">
        <v>343</v>
      </c>
      <c r="B4" s="417">
        <v>21500</v>
      </c>
      <c r="C4" s="417">
        <v>5</v>
      </c>
      <c r="D4" s="418">
        <v>1</v>
      </c>
      <c r="E4" s="399">
        <f t="shared" si="0"/>
        <v>5</v>
      </c>
      <c r="F4" s="399">
        <f t="shared" si="1"/>
        <v>107500</v>
      </c>
      <c r="G4" s="400">
        <f t="shared" si="2"/>
        <v>0.45550847457627119</v>
      </c>
      <c r="H4" s="399"/>
      <c r="I4" s="430" t="e">
        <f>'NIRO 21.5'!B12</f>
        <v>#REF!</v>
      </c>
      <c r="J4" s="430">
        <f>'NIRO 21.5'!B20</f>
        <v>5.061934756191875E-2</v>
      </c>
      <c r="K4" s="410" t="e">
        <f>SUM(I4:J4)</f>
        <v>#REF!</v>
      </c>
      <c r="L4" s="430" t="e">
        <f>'NIRO 21.5'!AN21/'NIRO 21.5'!B24</f>
        <v>#REF!</v>
      </c>
      <c r="M4" s="410" t="e">
        <f t="shared" ref="M4:M10" si="10">K4-L4</f>
        <v>#REF!</v>
      </c>
      <c r="O4" s="417">
        <v>33</v>
      </c>
      <c r="P4" s="417">
        <v>20</v>
      </c>
      <c r="Q4" s="417">
        <v>12</v>
      </c>
      <c r="R4" s="417">
        <v>4</v>
      </c>
      <c r="S4" s="417">
        <v>4</v>
      </c>
      <c r="T4" s="400">
        <f>$T$3</f>
        <v>0.02</v>
      </c>
      <c r="V4" s="452">
        <f>'NIRO 21.5'!$B$9</f>
        <v>8.9147281395348839E-3</v>
      </c>
      <c r="W4" s="453">
        <f t="shared" si="3"/>
        <v>958.33327500000007</v>
      </c>
      <c r="X4" s="452">
        <f>'NIRO 21.5'!$B$10</f>
        <v>7.7519379844961239E-4</v>
      </c>
      <c r="Y4" s="453">
        <f t="shared" si="4"/>
        <v>83.333333333333329</v>
      </c>
      <c r="Z4" s="452">
        <f>'NIRO 21.5'!$B$11</f>
        <v>2.9069767441860465E-3</v>
      </c>
      <c r="AA4" s="453">
        <f t="shared" si="5"/>
        <v>312.5</v>
      </c>
      <c r="AB4" s="452">
        <f>'NIRO 21.5'!$B$14</f>
        <v>1.5030526894058014E-2</v>
      </c>
      <c r="AC4" s="453">
        <f t="shared" si="6"/>
        <v>1615.7816411112365</v>
      </c>
      <c r="AD4" s="452">
        <f>'NIRO 21.5'!$B$15</f>
        <v>5.3522205142325589E-3</v>
      </c>
      <c r="AE4" s="453">
        <f t="shared" si="7"/>
        <v>575.36370528000009</v>
      </c>
      <c r="AF4" s="452">
        <f>'NIRO 21.5'!$B$16</f>
        <v>9.094158293163063E-3</v>
      </c>
      <c r="AG4" s="453">
        <f t="shared" si="8"/>
        <v>977.62201651502926</v>
      </c>
      <c r="AH4" s="452">
        <f>'NIRO 21.5'!$B$17</f>
        <v>1.433139534883721E-3</v>
      </c>
      <c r="AI4" s="453">
        <f t="shared" si="9"/>
        <v>154.0625</v>
      </c>
      <c r="AK4" s="160" t="e">
        <f>'NIRO 21.5'!B$6*F4*1000</f>
        <v>#REF!</v>
      </c>
      <c r="AM4" s="259">
        <f>'NIRO 21.5'!$AA$7/12*$E4</f>
        <v>688000</v>
      </c>
      <c r="AN4" s="259">
        <f>'NIRO 21.5'!$AA$8/12*$E4</f>
        <v>1847725.8333333335</v>
      </c>
      <c r="AO4" s="259">
        <f>'NIRO 21.5'!$AA$9/12*$E4</f>
        <v>958333.27500000002</v>
      </c>
      <c r="AP4" s="259">
        <f>'NIRO 21.5'!$AA$10/12*$E4</f>
        <v>83333.333333333343</v>
      </c>
      <c r="AQ4" s="259">
        <f>'NIRO 21.5'!$AA$11/12*$E4</f>
        <v>312500</v>
      </c>
      <c r="AR4" s="259">
        <f>'NIRO 21.5'!$AA$14/12*$E4</f>
        <v>1615781.6411112365</v>
      </c>
      <c r="AS4" s="259">
        <f>'NIRO 21.5'!$AA$15/12*$E4</f>
        <v>575363.70528000011</v>
      </c>
      <c r="AT4" s="259">
        <f>'NIRO 21.5'!$AA$16/12*$E4</f>
        <v>977622.01651502936</v>
      </c>
      <c r="AU4" s="259">
        <f>'NIRO 21.5'!$AA$17/12*$E4</f>
        <v>154062.5</v>
      </c>
      <c r="AV4" s="259">
        <f>'NIRO 21.5'!$AA$18/12*$E4</f>
        <v>118750</v>
      </c>
      <c r="AW4" s="259">
        <f>'NIRO 21.5'!$AA$19/12*$E4</f>
        <v>2000000</v>
      </c>
      <c r="AX4" s="160">
        <f>SUM(AM4:AW4)</f>
        <v>9331472.3045729324</v>
      </c>
      <c r="AY4" s="259"/>
      <c r="AZ4" s="160" t="e">
        <f t="shared" ref="AZ4:AZ10" si="11">AK4+AX4</f>
        <v>#REF!</v>
      </c>
      <c r="BB4" s="143">
        <f>'NIRO 21.5'!$AE$7/12*$E4</f>
        <v>6880000</v>
      </c>
      <c r="BC4" s="143">
        <f>'NIRO 21.5'!$AE$8/12*$E4</f>
        <v>470850000</v>
      </c>
      <c r="BD4" s="143">
        <f>'NIRO 21.5'!$AE$9/12*$E4</f>
        <v>107500000</v>
      </c>
      <c r="BE4" s="143">
        <f>'NIRO 21.5'!$AE$10/12*$E4</f>
        <v>107500000</v>
      </c>
      <c r="BF4" s="143">
        <f>'NIRO 21.5'!$AE$11/12*$E4</f>
        <v>107500000</v>
      </c>
      <c r="BG4" s="465">
        <f>'NIRO 21.5'!$AE$14/12*$E4</f>
        <v>50134.8125</v>
      </c>
      <c r="BH4" s="465">
        <f>'NIRO 21.5'!$AE$15/12*$E4</f>
        <v>16452.8</v>
      </c>
      <c r="BI4" s="465">
        <f>'NIRO 21.5'!$AE$16/12*$E4</f>
        <v>50134.8125</v>
      </c>
      <c r="BJ4" s="143">
        <f>'NIRO 21.5'!$AE$17/12*$E4</f>
        <v>107500000</v>
      </c>
      <c r="BK4" s="143">
        <f>'NIRO 21.5'!$AE$18/12*$E4</f>
        <v>107500000</v>
      </c>
      <c r="BL4" s="143">
        <f>'NIRO 21.5'!$AE$19/12*$E4</f>
        <v>107500000</v>
      </c>
      <c r="BN4" s="467"/>
      <c r="BO4" s="10"/>
      <c r="BP4" s="10"/>
      <c r="BQ4" s="10"/>
      <c r="BR4" s="5"/>
      <c r="BS4" s="5"/>
      <c r="BT4" s="256"/>
      <c r="BU4" s="9"/>
      <c r="BV4" s="125"/>
      <c r="BW4" s="126"/>
      <c r="BX4" s="243"/>
      <c r="BY4" s="243"/>
      <c r="BZ4" s="243"/>
      <c r="CA4" s="10"/>
      <c r="CB4" s="244"/>
      <c r="CC4" s="244"/>
      <c r="CD4" s="244"/>
      <c r="CE4" s="244"/>
      <c r="CF4" s="5"/>
      <c r="CG4" s="5"/>
      <c r="CH4" s="5"/>
      <c r="CI4" s="5"/>
      <c r="CJ4" s="10"/>
      <c r="CK4" s="10"/>
      <c r="CL4" s="10"/>
      <c r="CM4" s="10"/>
      <c r="CN4" s="151"/>
      <c r="CO4" s="151"/>
      <c r="CP4" s="151"/>
      <c r="CQ4" s="151"/>
      <c r="CR4" s="151"/>
    </row>
    <row r="5" spans="1:96">
      <c r="A5" s="407" t="s">
        <v>342</v>
      </c>
      <c r="B5" s="419">
        <v>6500</v>
      </c>
      <c r="C5" s="419">
        <v>1</v>
      </c>
      <c r="D5" s="420">
        <v>1</v>
      </c>
      <c r="E5" s="397">
        <f t="shared" si="0"/>
        <v>1</v>
      </c>
      <c r="F5" s="397">
        <f t="shared" si="1"/>
        <v>6500</v>
      </c>
      <c r="G5" s="398">
        <f t="shared" si="2"/>
        <v>2.7542372881355932E-2</v>
      </c>
      <c r="H5" s="397"/>
      <c r="I5" s="431" t="e">
        <f>'NIRO 4.5|KSLD 4.1'!E12</f>
        <v>#REF!</v>
      </c>
      <c r="J5" s="431">
        <f>'NIRO 4.5|KSLD 4.1'!E20</f>
        <v>8.5072571928241913E-2</v>
      </c>
      <c r="K5" s="411" t="e">
        <f>SUM(I5:J5)</f>
        <v>#REF!</v>
      </c>
      <c r="L5" s="431" t="e">
        <f>'NIRO 4.5|KSLD 4.1'!AO21/'NIRO 4.5|KSLD 4.1'!E24</f>
        <v>#REF!</v>
      </c>
      <c r="M5" s="411" t="e">
        <f t="shared" si="10"/>
        <v>#REF!</v>
      </c>
      <c r="O5" s="419">
        <v>33</v>
      </c>
      <c r="P5" s="419">
        <v>20</v>
      </c>
      <c r="Q5" s="419">
        <v>12</v>
      </c>
      <c r="R5" s="419">
        <v>4</v>
      </c>
      <c r="S5" s="419">
        <v>4</v>
      </c>
      <c r="T5" s="398">
        <f>$T$3</f>
        <v>0.02</v>
      </c>
      <c r="V5" s="452">
        <f>'NIRO 4.5|KSLD 4.1'!$E$9</f>
        <v>9.5833327499999996E-3</v>
      </c>
      <c r="W5" s="453">
        <f t="shared" si="3"/>
        <v>62.291662875</v>
      </c>
      <c r="X5" s="452">
        <f>'NIRO 4.5|KSLD 4.1'!$E$10</f>
        <v>8.3333333333333339E-4</v>
      </c>
      <c r="Y5" s="453">
        <f t="shared" si="4"/>
        <v>5.416666666666667</v>
      </c>
      <c r="Z5" s="452">
        <f>'NIRO 4.5|KSLD 4.1'!$E$11</f>
        <v>3.1250000000000002E-3</v>
      </c>
      <c r="AA5" s="453">
        <f t="shared" si="5"/>
        <v>20.3125</v>
      </c>
      <c r="AB5" s="452">
        <f>'NIRO 4.5|KSLD 4.1'!$E$14</f>
        <v>1.6195584461220807E-2</v>
      </c>
      <c r="AC5" s="453">
        <f t="shared" si="6"/>
        <v>105.27129899793525</v>
      </c>
      <c r="AD5" s="452">
        <f>'NIRO 4.5|KSLD 4.1'!$E$15</f>
        <v>5.7536370528000012E-3</v>
      </c>
      <c r="AE5" s="453">
        <f t="shared" si="7"/>
        <v>37.398640843200006</v>
      </c>
      <c r="AF5" s="452">
        <f>'NIRO 4.5|KSLD 4.1'!$E$16</f>
        <v>9.7990715680672507E-3</v>
      </c>
      <c r="AG5" s="453">
        <f t="shared" si="8"/>
        <v>63.693965192437126</v>
      </c>
      <c r="AH5" s="452">
        <f>'NIRO 4.5|KSLD 4.1'!$E$17</f>
        <v>1.5406249999999999E-3</v>
      </c>
      <c r="AI5" s="453">
        <f t="shared" si="9"/>
        <v>10.0140625</v>
      </c>
      <c r="AK5" s="160" t="e">
        <f>'NIRO 4.5|KSLD 4.1'!E$6*F5*1000</f>
        <v>#REF!</v>
      </c>
      <c r="AM5" s="259">
        <f>'NIRO 4.5|KSLD 4.1'!$AB$7/12*$E5</f>
        <v>355962.66666666669</v>
      </c>
      <c r="AN5" s="259">
        <f>'NIRO 4.5|KSLD 4.1'!$AB$8/12*$E5</f>
        <v>65797.666666666672</v>
      </c>
      <c r="AO5" s="259">
        <f>'NIRO 4.5|KSLD 4.1'!$AB$9/12*$E5</f>
        <v>62291.662875000002</v>
      </c>
      <c r="AP5" s="259">
        <f>'NIRO 4.5|KSLD 4.1'!$AB$10/12*$E5</f>
        <v>5416.666666666667</v>
      </c>
      <c r="AQ5" s="259">
        <f>'NIRO 4.5|KSLD 4.1'!$AB$11/12*$E5</f>
        <v>20312.5</v>
      </c>
      <c r="AR5" s="259">
        <f>'NIRO 4.5|KSLD 4.1'!$AB$14/12*$E5</f>
        <v>105271.29899793526</v>
      </c>
      <c r="AS5" s="259">
        <f>'NIRO 4.5|KSLD 4.1'!$AB$15/12*$E5</f>
        <v>37398.64084320001</v>
      </c>
      <c r="AT5" s="259">
        <f>'NIRO 4.5|KSLD 4.1'!$AB$16/12*$E5</f>
        <v>63693.965192437136</v>
      </c>
      <c r="AU5" s="259">
        <f>'NIRO 4.5|KSLD 4.1'!$AB$17/12*$E5</f>
        <v>10014.062499999998</v>
      </c>
      <c r="AV5" s="259">
        <f>'NIRO 4.5|KSLD 4.1'!$AB$18/12*$E5</f>
        <v>7718.75</v>
      </c>
      <c r="AW5" s="259">
        <f>'NIRO 4.5|KSLD 4.1'!$AB$19/12*$E5</f>
        <v>328875</v>
      </c>
      <c r="AX5" s="160">
        <f t="shared" ref="AX5:AX10" si="12">SUM(AM5:AW5)</f>
        <v>1062752.8804085725</v>
      </c>
      <c r="AY5" s="259"/>
      <c r="AZ5" s="160" t="e">
        <f t="shared" si="11"/>
        <v>#REF!</v>
      </c>
      <c r="BB5" s="143">
        <f>'NIRO 4.5|KSLD 4.1'!$AF$7/12*$E5</f>
        <v>4890600</v>
      </c>
      <c r="BC5" s="143">
        <f>'NIRO 4.5|KSLD 4.1'!$AF$8/12*$E5</f>
        <v>15860000.000000002</v>
      </c>
      <c r="BD5" s="143">
        <f>'NIRO 4.5|KSLD 4.1'!$AF$9/12*$E5</f>
        <v>6500000</v>
      </c>
      <c r="BE5" s="143">
        <f>'NIRO 4.5|KSLD 4.1'!$AF$10/12*$E5</f>
        <v>6500000</v>
      </c>
      <c r="BF5" s="143">
        <f>'NIRO 4.5|KSLD 4.1'!$AF$11/12*$E5</f>
        <v>6500000</v>
      </c>
      <c r="BG5" s="465">
        <f>'NIRO 4.5|KSLD 4.1'!$AF$14/12*$E5</f>
        <v>3266.3799999999997</v>
      </c>
      <c r="BH5" s="465">
        <f>'NIRO 4.5|KSLD 4.1'!$AF$15/12*$E5</f>
        <v>1069.432</v>
      </c>
      <c r="BI5" s="465">
        <f>'NIRO 4.5|KSLD 4.1'!$AF$16/12*$E5</f>
        <v>3266.3799999999997</v>
      </c>
      <c r="BJ5" s="143">
        <f>'NIRO 4.5|KSLD 4.1'!$AF$17/12*$E5</f>
        <v>6500000</v>
      </c>
      <c r="BK5" s="143">
        <f>'NIRO 4.5|KSLD 4.1'!$AF$18/12*$E5</f>
        <v>6500000</v>
      </c>
      <c r="BL5" s="143">
        <f>'NIRO 4.5|KSLD 4.1'!$AF$19/12*$E5</f>
        <v>16443750</v>
      </c>
      <c r="BN5" s="467"/>
      <c r="BO5" s="15"/>
      <c r="BP5" s="15"/>
      <c r="BQ5" s="15"/>
      <c r="BR5" s="16"/>
      <c r="BS5" s="16"/>
      <c r="BT5" s="159"/>
      <c r="BU5" s="14"/>
      <c r="BV5" s="125"/>
      <c r="BW5" s="126"/>
      <c r="BX5" s="15"/>
      <c r="BY5" s="15"/>
      <c r="BZ5" s="15"/>
      <c r="CA5" s="15"/>
      <c r="CB5" s="16"/>
      <c r="CC5" s="16"/>
      <c r="CD5" s="16"/>
      <c r="CE5" s="16"/>
      <c r="CF5" s="16"/>
      <c r="CG5" s="16"/>
      <c r="CH5" s="16"/>
      <c r="CI5" s="16"/>
      <c r="CJ5" s="15"/>
      <c r="CK5" s="15"/>
      <c r="CL5" s="15"/>
      <c r="CM5" s="15"/>
      <c r="CN5" s="151"/>
      <c r="CO5" s="151"/>
      <c r="CP5" s="151"/>
      <c r="CQ5" s="151"/>
      <c r="CR5" s="151"/>
    </row>
    <row r="6" spans="1:96">
      <c r="A6" s="407" t="s">
        <v>344</v>
      </c>
      <c r="B6" s="419">
        <v>13500</v>
      </c>
      <c r="C6" s="419">
        <v>1</v>
      </c>
      <c r="D6" s="420">
        <v>1</v>
      </c>
      <c r="E6" s="397">
        <f t="shared" si="0"/>
        <v>1</v>
      </c>
      <c r="F6" s="397">
        <f t="shared" si="1"/>
        <v>13500</v>
      </c>
      <c r="G6" s="398">
        <f t="shared" si="2"/>
        <v>5.7203389830508475E-2</v>
      </c>
      <c r="H6" s="397"/>
      <c r="I6" s="431" t="e">
        <f>'NIRO 4.5|KSLD 4.1'!B12</f>
        <v>#REF!</v>
      </c>
      <c r="J6" s="431">
        <f>'NIRO 4.5|KSLD 4.1'!B20</f>
        <v>3.9744936600606573E-2</v>
      </c>
      <c r="K6" s="411" t="e">
        <f t="shared" ref="K6:K10" si="13">SUM(I6:J6)</f>
        <v>#REF!</v>
      </c>
      <c r="L6" s="431" t="e">
        <f>'NIRO 4.5|KSLD 4.1'!AN21/'NIRO 4.5|KSLD 4.1'!B24</f>
        <v>#REF!</v>
      </c>
      <c r="M6" s="411" t="e">
        <f t="shared" si="10"/>
        <v>#REF!</v>
      </c>
      <c r="O6" s="419"/>
      <c r="P6" s="419"/>
      <c r="Q6" s="419"/>
      <c r="R6" s="419"/>
      <c r="S6" s="419"/>
      <c r="T6" s="398"/>
      <c r="V6" s="452">
        <f>'NIRO 4.5|KSLD 4.1'!$B$9</f>
        <v>9.5833327499999996E-3</v>
      </c>
      <c r="W6" s="453">
        <f t="shared" si="3"/>
        <v>129.37499212500001</v>
      </c>
      <c r="X6" s="452">
        <f>'NIRO 4.5|KSLD 4.1'!$B$10</f>
        <v>8.3333333333333339E-4</v>
      </c>
      <c r="Y6" s="453">
        <f t="shared" si="4"/>
        <v>11.25</v>
      </c>
      <c r="Z6" s="452">
        <f>'NIRO 4.5|KSLD 4.1'!$B$11</f>
        <v>3.1250000000000002E-3</v>
      </c>
      <c r="AA6" s="453">
        <f t="shared" si="5"/>
        <v>42.1875</v>
      </c>
      <c r="AB6" s="452">
        <f>'NIRO 4.5|KSLD 4.1'!$B$14</f>
        <v>1.6195584461220804E-2</v>
      </c>
      <c r="AC6" s="453">
        <f t="shared" si="6"/>
        <v>218.64039022648086</v>
      </c>
      <c r="AD6" s="452">
        <f>'NIRO 4.5|KSLD 4.1'!$B$15</f>
        <v>5.7536370528000003E-3</v>
      </c>
      <c r="AE6" s="453">
        <f t="shared" si="7"/>
        <v>77.674100212799999</v>
      </c>
      <c r="AF6" s="452">
        <f>'NIRO 4.5|KSLD 4.1'!$B$16</f>
        <v>9.799071568067249E-3</v>
      </c>
      <c r="AG6" s="453">
        <f t="shared" si="8"/>
        <v>132.28746616890786</v>
      </c>
      <c r="AH6" s="452">
        <f>'NIRO 4.5|KSLD 4.1'!$B$17</f>
        <v>1.5406249999999999E-3</v>
      </c>
      <c r="AI6" s="453">
        <f t="shared" si="9"/>
        <v>20.798437499999999</v>
      </c>
      <c r="AK6" s="160" t="e">
        <f>'NIRO 4.5|KSLD 4.1'!B$6*F6*1000</f>
        <v>#REF!</v>
      </c>
      <c r="AM6" s="259">
        <f>'NIRO 4.5|KSLD 4.1'!$AA$7/12*$E6</f>
        <v>62886.333333333336</v>
      </c>
      <c r="AN6" s="259">
        <f>'NIRO 4.5|KSLD 4.1'!$AA$8/12*$E6</f>
        <v>245309.91666666666</v>
      </c>
      <c r="AO6" s="259">
        <f>'NIRO 4.5|KSLD 4.1'!$AA$9/12*$E6</f>
        <v>129374.99212499999</v>
      </c>
      <c r="AP6" s="259">
        <f>'NIRO 4.5|KSLD 4.1'!$AA$10/12*$E6</f>
        <v>11250</v>
      </c>
      <c r="AQ6" s="259">
        <f>'NIRO 4.5|KSLD 4.1'!$AA$11/12*$E6</f>
        <v>42187.5</v>
      </c>
      <c r="AR6" s="259">
        <f>'NIRO 4.5|KSLD 4.1'!$AA$14/12*$E6</f>
        <v>218640.39022648087</v>
      </c>
      <c r="AS6" s="259">
        <f>'NIRO 4.5|KSLD 4.1'!$AA$15/12*$E6</f>
        <v>77674.100212800011</v>
      </c>
      <c r="AT6" s="259">
        <f>'NIRO 4.5|KSLD 4.1'!$AA$16/12*$E6</f>
        <v>132287.46616890788</v>
      </c>
      <c r="AU6" s="259">
        <f>'NIRO 4.5|KSLD 4.1'!$AA$17/12*$E6</f>
        <v>20798.437499999996</v>
      </c>
      <c r="AV6" s="259">
        <f>'NIRO 4.5|KSLD 4.1'!$AA$18/12*$E6</f>
        <v>16031.25</v>
      </c>
      <c r="AW6" s="259">
        <f>'NIRO 4.5|KSLD 4.1'!$AA$19/12*$E6</f>
        <v>71124.999999999985</v>
      </c>
      <c r="AX6" s="160">
        <f t="shared" si="12"/>
        <v>1027565.3862331887</v>
      </c>
      <c r="AY6" s="259"/>
      <c r="AZ6" s="160" t="e">
        <f t="shared" si="11"/>
        <v>#REF!</v>
      </c>
      <c r="BB6" s="143">
        <f>'NIRO 4.5|KSLD 4.1'!$AE$7/12*$E6</f>
        <v>864000</v>
      </c>
      <c r="BC6" s="143">
        <f>'NIRO 4.5|KSLD 4.1'!$AE$8/12*$E6</f>
        <v>59130000.000000007</v>
      </c>
      <c r="BD6" s="143">
        <f>'NIRO 4.5|KSLD 4.1'!$AE$9/12*$E6</f>
        <v>13500000</v>
      </c>
      <c r="BE6" s="143">
        <f>'NIRO 4.5|KSLD 4.1'!$AE$10/12*$E6</f>
        <v>13500000</v>
      </c>
      <c r="BF6" s="143">
        <f>'NIRO 4.5|KSLD 4.1'!$AE$11/12*$E6</f>
        <v>13500000</v>
      </c>
      <c r="BG6" s="465">
        <f>'NIRO 4.5|KSLD 4.1'!$AE$14/12*$E6</f>
        <v>6784.0199999999995</v>
      </c>
      <c r="BH6" s="465">
        <f>'NIRO 4.5|KSLD 4.1'!$AE$15/12*$E6</f>
        <v>2221.1280000000002</v>
      </c>
      <c r="BI6" s="465">
        <f>'NIRO 4.5|KSLD 4.1'!$AE$16/12*$E6</f>
        <v>6784.0199999999995</v>
      </c>
      <c r="BJ6" s="143">
        <f>'NIRO 4.5|KSLD 4.1'!$AE$17/12*$E6</f>
        <v>13500000</v>
      </c>
      <c r="BK6" s="143">
        <f>'NIRO 4.5|KSLD 4.1'!$AE$18/12*$E6</f>
        <v>13500000</v>
      </c>
      <c r="BL6" s="143">
        <f>'NIRO 4.5|KSLD 4.1'!$AE$19/12*$E6</f>
        <v>3556249.9999999995</v>
      </c>
      <c r="BN6" s="467"/>
      <c r="BO6" s="24"/>
      <c r="BP6" s="21"/>
      <c r="BQ6" s="21"/>
      <c r="BR6" s="2"/>
      <c r="BS6" s="2"/>
      <c r="BT6" s="159"/>
      <c r="BU6" s="20"/>
      <c r="BV6" s="125"/>
      <c r="BW6" s="126"/>
      <c r="BX6" s="21"/>
      <c r="BY6" s="21"/>
      <c r="BZ6" s="21"/>
      <c r="CA6" s="21"/>
      <c r="CB6" s="2"/>
      <c r="CC6" s="2"/>
      <c r="CD6" s="2"/>
      <c r="CE6" s="2"/>
      <c r="CF6" s="2"/>
      <c r="CG6" s="2"/>
      <c r="CH6" s="2"/>
      <c r="CI6" s="2"/>
      <c r="CJ6" s="21"/>
      <c r="CK6" s="21"/>
      <c r="CL6" s="21"/>
      <c r="CM6" s="21"/>
      <c r="CN6" s="151"/>
      <c r="CO6" s="151"/>
      <c r="CP6" s="151"/>
      <c r="CQ6" s="151"/>
      <c r="CR6" s="151"/>
    </row>
    <row r="7" spans="1:96">
      <c r="A7" s="405" t="s">
        <v>342</v>
      </c>
      <c r="B7" s="421">
        <v>7000</v>
      </c>
      <c r="C7" s="421">
        <v>4</v>
      </c>
      <c r="D7" s="422">
        <v>1</v>
      </c>
      <c r="E7" s="401">
        <f t="shared" si="0"/>
        <v>4</v>
      </c>
      <c r="F7" s="401">
        <f t="shared" si="1"/>
        <v>28000</v>
      </c>
      <c r="G7" s="402">
        <f t="shared" si="2"/>
        <v>0.11864406779661017</v>
      </c>
      <c r="H7" s="401"/>
      <c r="I7" s="432" t="e">
        <f>'NIRO 13.5|KSLD 7.0'!E12</f>
        <v>#REF!</v>
      </c>
      <c r="J7" s="432">
        <f>'NIRO 13.5|KSLD 7.0'!E20</f>
        <v>8.0837070548323869E-2</v>
      </c>
      <c r="K7" s="412" t="e">
        <f t="shared" si="13"/>
        <v>#REF!</v>
      </c>
      <c r="L7" s="432" t="e">
        <f>'NIRO 13.5|KSLD 7.0'!AO21/'NIRO 13.5|KSLD 7.0'!E24</f>
        <v>#REF!</v>
      </c>
      <c r="M7" s="412" t="e">
        <f t="shared" si="10"/>
        <v>#REF!</v>
      </c>
      <c r="O7" s="421">
        <v>33</v>
      </c>
      <c r="P7" s="421">
        <v>20</v>
      </c>
      <c r="Q7" s="421">
        <v>12</v>
      </c>
      <c r="R7" s="421">
        <v>4</v>
      </c>
      <c r="S7" s="421">
        <v>4</v>
      </c>
      <c r="T7" s="402">
        <f>$T$3</f>
        <v>0.02</v>
      </c>
      <c r="V7" s="452">
        <f>'NIRO 13.5|KSLD 7.0'!$E$9</f>
        <v>9.3495929268292682E-3</v>
      </c>
      <c r="W7" s="453">
        <f t="shared" si="3"/>
        <v>261.7886019512195</v>
      </c>
      <c r="X7" s="452">
        <f>'NIRO 13.5|KSLD 7.0'!$E$10</f>
        <v>8.1300813008130081E-4</v>
      </c>
      <c r="Y7" s="453">
        <f t="shared" si="4"/>
        <v>22.764227642276424</v>
      </c>
      <c r="Z7" s="452">
        <f>'NIRO 13.5|KSLD 7.0'!$E$11</f>
        <v>3.0487804878048782E-3</v>
      </c>
      <c r="AA7" s="453">
        <f t="shared" si="5"/>
        <v>85.365853658536594</v>
      </c>
      <c r="AB7" s="452">
        <f>'NIRO 13.5|KSLD 7.0'!$E$14</f>
        <v>1.5788287913350886E-2</v>
      </c>
      <c r="AC7" s="453">
        <f t="shared" si="6"/>
        <v>442.07206157382478</v>
      </c>
      <c r="AD7" s="452">
        <f>'NIRO 13.5|KSLD 7.0'!$E$15</f>
        <v>5.6133044417560982E-3</v>
      </c>
      <c r="AE7" s="453">
        <f t="shared" si="7"/>
        <v>157.17252436917076</v>
      </c>
      <c r="AF7" s="452">
        <f>'NIRO 13.5|KSLD 7.0'!$E$16</f>
        <v>9.5526384719625337E-3</v>
      </c>
      <c r="AG7" s="453">
        <f t="shared" si="8"/>
        <v>267.47387721495096</v>
      </c>
      <c r="AH7" s="452">
        <f>'NIRO 13.5|KSLD 7.0'!$E$17</f>
        <v>1.5030487804878047E-3</v>
      </c>
      <c r="AI7" s="453">
        <f t="shared" si="9"/>
        <v>42.08536585365853</v>
      </c>
      <c r="AK7" s="160" t="e">
        <f>'NIRO 13.5|KSLD 7.0'!E$6*F7*1000</f>
        <v>#REF!</v>
      </c>
      <c r="AM7" s="259">
        <f>'NIRO 13.5|KSLD 7.0'!$AB$7/12*$E7</f>
        <v>1247162.3333333333</v>
      </c>
      <c r="AN7" s="259">
        <f>'NIRO 13.5|KSLD 7.0'!$AB$8/12*$E7</f>
        <v>282231</v>
      </c>
      <c r="AO7" s="259">
        <f>'NIRO 13.5|KSLD 7.0'!$AB$9/12*$E7</f>
        <v>261788.60195121952</v>
      </c>
      <c r="AP7" s="259">
        <f>'NIRO 13.5|KSLD 7.0'!$AB$10/12*$E7</f>
        <v>22764.227642276426</v>
      </c>
      <c r="AQ7" s="259">
        <f>'NIRO 13.5|KSLD 7.0'!$AB$11/12*$E7</f>
        <v>85365.853658536595</v>
      </c>
      <c r="AR7" s="259">
        <f>'NIRO 13.5|KSLD 7.0'!$AB$14/12*$E7</f>
        <v>442072.06157382485</v>
      </c>
      <c r="AS7" s="259">
        <f>'NIRO 13.5|KSLD 7.0'!$AB$15/12*$E7</f>
        <v>157172.52436917074</v>
      </c>
      <c r="AT7" s="259">
        <f>'NIRO 13.5|KSLD 7.0'!$AB$16/12*$E7</f>
        <v>267473.87721495092</v>
      </c>
      <c r="AU7" s="259">
        <f>'NIRO 13.5|KSLD 7.0'!$AB$17/12*$E7</f>
        <v>42085.365853658528</v>
      </c>
      <c r="AV7" s="259">
        <f>'NIRO 13.5|KSLD 7.0'!$AB$18/12*$E7</f>
        <v>32439.0243902439</v>
      </c>
      <c r="AW7" s="259">
        <f>'NIRO 13.5|KSLD 7.0'!$AB$19/12*$E7</f>
        <v>1322195.1219512194</v>
      </c>
      <c r="AX7" s="160">
        <f t="shared" si="12"/>
        <v>4162749.9919384345</v>
      </c>
      <c r="AY7" s="259"/>
      <c r="AZ7" s="160" t="e">
        <f t="shared" si="11"/>
        <v>#REF!</v>
      </c>
      <c r="BB7" s="143">
        <f>'NIRO 13.5|KSLD 7.0'!$AF$7/12*$E7</f>
        <v>21067200</v>
      </c>
      <c r="BC7" s="143">
        <f>'NIRO 13.5|KSLD 7.0'!$AF$8/12*$E7</f>
        <v>68320000.000000015</v>
      </c>
      <c r="BD7" s="143">
        <f>'NIRO 13.5|KSLD 7.0'!$AF$9/12*$E7</f>
        <v>28000000</v>
      </c>
      <c r="BE7" s="143">
        <f>'NIRO 13.5|KSLD 7.0'!$AF$10/12*$E7</f>
        <v>28000000</v>
      </c>
      <c r="BF7" s="143">
        <f>'NIRO 13.5|KSLD 7.0'!$AF$11/12*$E7</f>
        <v>28000000</v>
      </c>
      <c r="BG7" s="465">
        <f>'NIRO 13.5|KSLD 7.0'!$AF$14/12*$E7</f>
        <v>13716.70487804878</v>
      </c>
      <c r="BH7" s="465">
        <f>'NIRO 13.5|KSLD 7.0'!$AF$15/12*$E7</f>
        <v>4494.4234146341469</v>
      </c>
      <c r="BI7" s="465">
        <f>'NIRO 13.5|KSLD 7.0'!$AF$16/12*$E7</f>
        <v>13716.704878048777</v>
      </c>
      <c r="BJ7" s="143">
        <f>'NIRO 13.5|KSLD 7.0'!$AF$17/12*$E7</f>
        <v>28000000</v>
      </c>
      <c r="BK7" s="143">
        <f>'NIRO 13.5|KSLD 7.0'!$AF$18/12*$E7</f>
        <v>28000000</v>
      </c>
      <c r="BL7" s="143">
        <f>'NIRO 13.5|KSLD 7.0'!$AF$19/12*$E7</f>
        <v>67762499.999999985</v>
      </c>
      <c r="BN7" s="482" t="s">
        <v>5</v>
      </c>
      <c r="BO7" s="24">
        <f>AM$11</f>
        <v>3233715.9999999995</v>
      </c>
      <c r="BP7" s="24">
        <f>AM$22</f>
        <v>0</v>
      </c>
      <c r="BQ7" s="473">
        <f>SUM(BO7:BP7)</f>
        <v>3233715.9999999995</v>
      </c>
      <c r="BR7" s="41">
        <f>BB24</f>
        <v>46770400</v>
      </c>
      <c r="BS7" s="25">
        <f>BQ7/BR7</f>
        <v>6.9140225441732373E-2</v>
      </c>
      <c r="BT7" s="256" t="s">
        <v>6</v>
      </c>
      <c r="BU7" s="130" t="s">
        <v>7</v>
      </c>
      <c r="BV7" s="484">
        <v>630010</v>
      </c>
      <c r="BW7" s="485">
        <v>1</v>
      </c>
      <c r="BX7" s="24">
        <f>$AM$15</f>
        <v>1072458.8333333333</v>
      </c>
      <c r="BY7" s="24">
        <f>$AM$14</f>
        <v>1854381.1666666667</v>
      </c>
      <c r="BZ7" s="24">
        <f>$AM$13</f>
        <v>306876</v>
      </c>
      <c r="CA7" s="24">
        <f>SUM(BX7:BZ7)</f>
        <v>3233716</v>
      </c>
      <c r="CB7" s="19">
        <f>$BB$15</f>
        <v>12160000</v>
      </c>
      <c r="CC7" s="19">
        <f>$BB$14</f>
        <v>30096000</v>
      </c>
      <c r="CD7" s="19">
        <f>$BB$13</f>
        <v>4514399.9999999991</v>
      </c>
      <c r="CE7" s="19">
        <f>SUM(CB7:CD7)</f>
        <v>46770400</v>
      </c>
      <c r="CF7" s="25">
        <f>CA7/CE7</f>
        <v>6.9140225441732373E-2</v>
      </c>
      <c r="CG7" s="56">
        <f t="shared" ref="CG7:CI11" si="14">ROUND(CB7/BX$24*1000,3)</f>
        <v>64</v>
      </c>
      <c r="CH7" s="56">
        <f t="shared" si="14"/>
        <v>752.4</v>
      </c>
      <c r="CI7" s="56">
        <f t="shared" si="14"/>
        <v>752.4</v>
      </c>
      <c r="CJ7" s="24" t="e">
        <f>'NIRO 4.5|KSLD 4.1'!AN7/12*$E$6*1000+'NIRO 13.5|KSLD 7.0'!AN7/12*$E$8*1000+'NIRO 15|KSLD 5.5'!AN7/12*$E$10*1000+'NIRO 21.5'!AN7/12*$E$4*1000</f>
        <v>#REF!</v>
      </c>
      <c r="CK7" s="24" t="e">
        <f>'NIRO 4.5|KSLD 4.1'!AO7/12*$E$5*1000+'NIRO 13.5|KSLD 7.0'!AO7/12*$E$7*1000+'NIRO 15|KSLD 5.5'!AO7/12*$E$9*1000</f>
        <v>#REF!</v>
      </c>
      <c r="CL7" s="24" t="e">
        <f>'KSHD 6.0'!AP7/12*$E$3*1000</f>
        <v>#REF!</v>
      </c>
      <c r="CM7" s="473" t="e">
        <f>SUM(CJ7:CL7)</f>
        <v>#REF!</v>
      </c>
      <c r="CN7" s="474" t="e">
        <f>BQ7-CM7</f>
        <v>#REF!</v>
      </c>
      <c r="CO7" s="487" t="e">
        <f>CN7/BR7*10000</f>
        <v>#REF!</v>
      </c>
      <c r="CP7" s="24" t="e">
        <f t="shared" ref="CP7:CR11" si="15">BX7-CJ7</f>
        <v>#REF!</v>
      </c>
      <c r="CQ7" s="24" t="e">
        <f t="shared" si="15"/>
        <v>#REF!</v>
      </c>
      <c r="CR7" s="24" t="e">
        <f t="shared" si="15"/>
        <v>#REF!</v>
      </c>
    </row>
    <row r="8" spans="1:96" ht="16.149999999999999" customHeight="1">
      <c r="A8" s="405" t="s">
        <v>344</v>
      </c>
      <c r="B8" s="421">
        <v>13500</v>
      </c>
      <c r="C8" s="421">
        <v>4</v>
      </c>
      <c r="D8" s="422">
        <v>1</v>
      </c>
      <c r="E8" s="401">
        <f t="shared" si="0"/>
        <v>4</v>
      </c>
      <c r="F8" s="401">
        <f t="shared" si="1"/>
        <v>54000</v>
      </c>
      <c r="G8" s="402">
        <f t="shared" si="2"/>
        <v>0.2288135593220339</v>
      </c>
      <c r="H8" s="401"/>
      <c r="I8" s="432" t="e">
        <f>'NIRO 13.5|KSLD 7.0'!B12</f>
        <v>#REF!</v>
      </c>
      <c r="J8" s="432">
        <f>'NIRO 13.5|KSLD 7.0'!B20</f>
        <v>3.876035097160431E-2</v>
      </c>
      <c r="K8" s="412" t="e">
        <f t="shared" si="13"/>
        <v>#REF!</v>
      </c>
      <c r="L8" s="432" t="e">
        <f>'NIRO 13.5|KSLD 7.0'!AN21/'NIRO 13.5|KSLD 7.0'!B24</f>
        <v>#REF!</v>
      </c>
      <c r="M8" s="412" t="e">
        <f t="shared" si="10"/>
        <v>#REF!</v>
      </c>
      <c r="O8" s="421"/>
      <c r="P8" s="421"/>
      <c r="Q8" s="421"/>
      <c r="R8" s="421"/>
      <c r="S8" s="421"/>
      <c r="T8" s="402"/>
      <c r="V8" s="452">
        <f>'NIRO 13.5|KSLD 7.0'!$B$9</f>
        <v>9.3495929268292682E-3</v>
      </c>
      <c r="W8" s="453">
        <f t="shared" si="3"/>
        <v>504.87801804878046</v>
      </c>
      <c r="X8" s="452">
        <f>'NIRO 13.5|KSLD 7.0'!$B$10</f>
        <v>8.1300813008130081E-4</v>
      </c>
      <c r="Y8" s="453">
        <f t="shared" si="4"/>
        <v>43.902439024390247</v>
      </c>
      <c r="Z8" s="452">
        <f>'NIRO 13.5|KSLD 7.0'!$B$11</f>
        <v>3.0487804878048782E-3</v>
      </c>
      <c r="AA8" s="453">
        <f t="shared" si="5"/>
        <v>164.63414634146341</v>
      </c>
      <c r="AB8" s="452">
        <f>'NIRO 13.5|KSLD 7.0'!$B$14</f>
        <v>1.578828791335089E-2</v>
      </c>
      <c r="AC8" s="453">
        <f t="shared" si="6"/>
        <v>852.56754732094805</v>
      </c>
      <c r="AD8" s="452">
        <f>'NIRO 13.5|KSLD 7.0'!$B$15</f>
        <v>5.6133044417560982E-3</v>
      </c>
      <c r="AE8" s="453">
        <f t="shared" si="7"/>
        <v>303.11843985482932</v>
      </c>
      <c r="AF8" s="452">
        <f>'NIRO 13.5|KSLD 7.0'!$B$16</f>
        <v>9.5526384719625389E-3</v>
      </c>
      <c r="AG8" s="453">
        <f t="shared" si="8"/>
        <v>515.84247748597716</v>
      </c>
      <c r="AH8" s="452">
        <f>'NIRO 13.5|KSLD 7.0'!$B$17</f>
        <v>1.5030487804878047E-3</v>
      </c>
      <c r="AI8" s="453">
        <f t="shared" si="9"/>
        <v>81.164634146341456</v>
      </c>
      <c r="AK8" s="160" t="e">
        <f>'NIRO 13.5|KSLD 7.0'!B$6*F8*1000</f>
        <v>#REF!</v>
      </c>
      <c r="AM8" s="259">
        <f>'NIRO 13.5|KSLD 7.0'!$AA$7/12*$E8</f>
        <v>250525.66666666666</v>
      </c>
      <c r="AN8" s="259">
        <f>'NIRO 13.5|KSLD 7.0'!$AA$8/12*$E8</f>
        <v>977067.66666666663</v>
      </c>
      <c r="AO8" s="259">
        <f>'NIRO 13.5|KSLD 7.0'!$AA$9/12*$E8</f>
        <v>504878.0180487805</v>
      </c>
      <c r="AP8" s="259">
        <f>'NIRO 13.5|KSLD 7.0'!$AA$10/12*$E8</f>
        <v>43902.439024390245</v>
      </c>
      <c r="AQ8" s="259">
        <f>'NIRO 13.5|KSLD 7.0'!$AA$11/12*$E8</f>
        <v>164634.14634146343</v>
      </c>
      <c r="AR8" s="259">
        <f>'NIRO 13.5|KSLD 7.0'!$AA$14/12*$E8</f>
        <v>852567.54732094798</v>
      </c>
      <c r="AS8" s="259">
        <f>'NIRO 13.5|KSLD 7.0'!$AA$15/12*$E8</f>
        <v>303118.43985482934</v>
      </c>
      <c r="AT8" s="259">
        <f>'NIRO 13.5|KSLD 7.0'!$AA$16/12*$E8</f>
        <v>515842.47748597706</v>
      </c>
      <c r="AU8" s="259">
        <f>'NIRO 13.5|KSLD 7.0'!$AA$17/12*$E8</f>
        <v>81164.634146341457</v>
      </c>
      <c r="AV8" s="259">
        <f>'NIRO 13.5|KSLD 7.0'!$AA$18/12*$E8</f>
        <v>62560.975609756097</v>
      </c>
      <c r="AW8" s="259">
        <f>'NIRO 13.5|KSLD 7.0'!$AA$19/12*$E8</f>
        <v>277804.87804878049</v>
      </c>
      <c r="AX8" s="160">
        <f t="shared" si="12"/>
        <v>4034066.8892146</v>
      </c>
      <c r="AY8" s="259"/>
      <c r="AZ8" s="160" t="e">
        <f t="shared" si="11"/>
        <v>#REF!</v>
      </c>
      <c r="BB8" s="143">
        <f>'NIRO 13.5|KSLD 7.0'!$AE$7/12*$E8</f>
        <v>3456000</v>
      </c>
      <c r="BC8" s="143">
        <f>'NIRO 13.5|KSLD 7.0'!$AE$8/12*$E8</f>
        <v>236520000.00000003</v>
      </c>
      <c r="BD8" s="143">
        <f>'NIRO 13.5|KSLD 7.0'!$AE$9/12*$E8</f>
        <v>54000000</v>
      </c>
      <c r="BE8" s="143">
        <f>'NIRO 13.5|KSLD 7.0'!$AE$10/12*$E8</f>
        <v>54000000</v>
      </c>
      <c r="BF8" s="143">
        <f>'NIRO 13.5|KSLD 7.0'!$AE$11/12*$E8</f>
        <v>54000000</v>
      </c>
      <c r="BG8" s="465">
        <f>'NIRO 13.5|KSLD 7.0'!$AE$14/12*$E8</f>
        <v>26453.64512195122</v>
      </c>
      <c r="BH8" s="465">
        <f>'NIRO 13.5|KSLD 7.0'!$AE$15/12*$E8</f>
        <v>8667.8165853658556</v>
      </c>
      <c r="BI8" s="465">
        <f>'NIRO 13.5|KSLD 7.0'!$AE$16/12*$E8</f>
        <v>26453.645121951224</v>
      </c>
      <c r="BJ8" s="143">
        <f>'NIRO 13.5|KSLD 7.0'!$AE$17/12*$E8</f>
        <v>54000000</v>
      </c>
      <c r="BK8" s="143">
        <f>'NIRO 13.5|KSLD 7.0'!$AE$18/12*$E8</f>
        <v>54000000</v>
      </c>
      <c r="BL8" s="143">
        <f>'NIRO 13.5|KSLD 7.0'!$AE$19/12*$E8</f>
        <v>14237500</v>
      </c>
      <c r="BN8" s="482" t="s">
        <v>8</v>
      </c>
      <c r="BO8" s="24">
        <f>AN$11</f>
        <v>3816669.916666667</v>
      </c>
      <c r="BP8" s="24">
        <f>AN$22</f>
        <v>0</v>
      </c>
      <c r="BQ8" s="473">
        <f>SUM(BO8:BP8)</f>
        <v>3816669.916666667</v>
      </c>
      <c r="BR8" s="41">
        <f>BC24</f>
        <v>944440000</v>
      </c>
      <c r="BS8" s="25">
        <f>BQ8/BR8</f>
        <v>4.0411989291714318E-3</v>
      </c>
      <c r="BT8" s="256" t="s">
        <v>9</v>
      </c>
      <c r="BU8" s="130" t="s">
        <v>10</v>
      </c>
      <c r="BV8" s="484" t="s">
        <v>75</v>
      </c>
      <c r="BW8" s="485">
        <v>1</v>
      </c>
      <c r="BX8" s="24">
        <f>$AN$15</f>
        <v>3338891.166666667</v>
      </c>
      <c r="BY8" s="24">
        <f>$AN$14</f>
        <v>402931.75</v>
      </c>
      <c r="BZ8" s="24">
        <f>$AN$13</f>
        <v>74847</v>
      </c>
      <c r="CA8" s="24">
        <f t="shared" ref="CA8:CA11" si="16">SUM(BX8:BZ8)</f>
        <v>3816669.916666667</v>
      </c>
      <c r="CB8" s="19">
        <f>$BC$15</f>
        <v>832200000</v>
      </c>
      <c r="CC8" s="19">
        <f>$BC$14</f>
        <v>97600000.000000015</v>
      </c>
      <c r="CD8" s="19">
        <f>$BC$13</f>
        <v>14640000.000000002</v>
      </c>
      <c r="CE8" s="19">
        <f t="shared" ref="CE8:CE11" si="17">SUM(CB8:CD8)</f>
        <v>944440000</v>
      </c>
      <c r="CF8" s="25">
        <f>CA8/CE8</f>
        <v>4.0411989291714318E-3</v>
      </c>
      <c r="CG8" s="56">
        <f t="shared" si="14"/>
        <v>4380</v>
      </c>
      <c r="CH8" s="56">
        <f t="shared" si="14"/>
        <v>2440</v>
      </c>
      <c r="CI8" s="56">
        <f t="shared" si="14"/>
        <v>2440</v>
      </c>
      <c r="CJ8" s="24" t="e">
        <f>'NIRO 4.5|KSLD 4.1'!AN8/12*$E$6*1000+'NIRO 13.5|KSLD 7.0'!AN8/12*$E$8*1000+'NIRO 15|KSLD 5.5'!AN8/12*$E$10*1000+'NIRO 21.5'!AN8/12*$E$4*1000</f>
        <v>#REF!</v>
      </c>
      <c r="CK8" s="24" t="e">
        <f>'NIRO 4.5|KSLD 4.1'!AO8/12*$E$5*1000+'NIRO 13.5|KSLD 7.0'!AO8/12*$E$7*1000+'NIRO 15|KSLD 5.5'!AO8/12*$E$9*1000</f>
        <v>#REF!</v>
      </c>
      <c r="CL8" s="24" t="e">
        <f>'KSHD 6.0'!AP8/12*$E$3*1000</f>
        <v>#REF!</v>
      </c>
      <c r="CM8" s="473" t="e">
        <f>SUM(CJ8:CL8)</f>
        <v>#REF!</v>
      </c>
      <c r="CN8" s="474" t="e">
        <f>BQ8-CM8</f>
        <v>#REF!</v>
      </c>
      <c r="CO8" s="487" t="e">
        <f>CN8/BR8*10000</f>
        <v>#REF!</v>
      </c>
      <c r="CP8" s="24" t="e">
        <f t="shared" si="15"/>
        <v>#REF!</v>
      </c>
      <c r="CQ8" s="24" t="e">
        <f t="shared" si="15"/>
        <v>#REF!</v>
      </c>
      <c r="CR8" s="24" t="e">
        <f t="shared" si="15"/>
        <v>#REF!</v>
      </c>
    </row>
    <row r="9" spans="1:96">
      <c r="A9" s="403" t="s">
        <v>342</v>
      </c>
      <c r="B9" s="423">
        <v>5500</v>
      </c>
      <c r="C9" s="423">
        <v>1</v>
      </c>
      <c r="D9" s="424">
        <v>1</v>
      </c>
      <c r="E9" s="381">
        <f t="shared" si="0"/>
        <v>1</v>
      </c>
      <c r="F9" s="381">
        <f t="shared" si="1"/>
        <v>5500</v>
      </c>
      <c r="G9" s="382">
        <f t="shared" si="2"/>
        <v>2.3305084745762712E-2</v>
      </c>
      <c r="H9" s="403"/>
      <c r="I9" s="433" t="e">
        <f>'NIRO 15|KSLD 5.5'!E12</f>
        <v>#REF!</v>
      </c>
      <c r="J9" s="433">
        <f>'NIRO 15|KSLD 5.5'!E20</f>
        <v>9.2363044574297892E-2</v>
      </c>
      <c r="K9" s="413" t="e">
        <f t="shared" si="13"/>
        <v>#REF!</v>
      </c>
      <c r="L9" s="433" t="e">
        <f>'NIRO 15|KSLD 5.5'!AO21/'NIRO 15|KSLD 5.5'!E24</f>
        <v>#REF!</v>
      </c>
      <c r="M9" s="413" t="e">
        <f t="shared" si="10"/>
        <v>#REF!</v>
      </c>
      <c r="O9" s="423">
        <v>33</v>
      </c>
      <c r="P9" s="423">
        <v>20</v>
      </c>
      <c r="Q9" s="423">
        <v>12</v>
      </c>
      <c r="R9" s="423">
        <v>4</v>
      </c>
      <c r="S9" s="423">
        <v>4</v>
      </c>
      <c r="T9" s="382">
        <f>$T$3</f>
        <v>0.02</v>
      </c>
      <c r="V9" s="452">
        <f>'NIRO 15|KSLD 5.5'!$E$9</f>
        <v>9.3495929268292699E-3</v>
      </c>
      <c r="W9" s="453">
        <f t="shared" si="3"/>
        <v>51.422761097560986</v>
      </c>
      <c r="X9" s="452">
        <f>'NIRO 15|KSLD 5.5'!$E$10</f>
        <v>8.1300813008130081E-4</v>
      </c>
      <c r="Y9" s="453">
        <f t="shared" si="4"/>
        <v>4.4715447154471546</v>
      </c>
      <c r="Z9" s="452">
        <f>'NIRO 15|KSLD 5.5'!$E$11</f>
        <v>3.0487804878048782E-3</v>
      </c>
      <c r="AA9" s="453">
        <f t="shared" si="5"/>
        <v>16.76829268292683</v>
      </c>
      <c r="AB9" s="452">
        <f>'NIRO 15|KSLD 5.5'!$E$14</f>
        <v>1.5788287913350886E-2</v>
      </c>
      <c r="AC9" s="453">
        <f t="shared" si="6"/>
        <v>86.835583523429875</v>
      </c>
      <c r="AD9" s="452">
        <f>'NIRO 15|KSLD 5.5'!$E$15</f>
        <v>5.6133044417560982E-3</v>
      </c>
      <c r="AE9" s="453">
        <f t="shared" si="7"/>
        <v>30.87317442965854</v>
      </c>
      <c r="AF9" s="452">
        <f>'NIRO 15|KSLD 5.5'!$E$16</f>
        <v>9.5526384719625372E-3</v>
      </c>
      <c r="AG9" s="453">
        <f t="shared" si="8"/>
        <v>52.539511595793954</v>
      </c>
      <c r="AH9" s="452">
        <f>'NIRO 15|KSLD 5.5'!$E$17</f>
        <v>1.5030487804878047E-3</v>
      </c>
      <c r="AI9" s="453">
        <f t="shared" si="9"/>
        <v>8.2667682926829258</v>
      </c>
      <c r="AK9" s="160" t="e">
        <f>'NIRO 15|KSLD 5.5'!E$6*F9*1000</f>
        <v>#REF!</v>
      </c>
      <c r="AM9" s="259">
        <f>'NIRO 15|KSLD 5.5'!$AB$7/12*$E9</f>
        <v>251256.16666666666</v>
      </c>
      <c r="AN9" s="259">
        <f>'NIRO 15|KSLD 5.5'!$AB$8/12*$E9</f>
        <v>54903.083333333336</v>
      </c>
      <c r="AO9" s="259">
        <f>'NIRO 15|KSLD 5.5'!$AB$9/12*$E9</f>
        <v>51422.761097560986</v>
      </c>
      <c r="AP9" s="259">
        <f>'NIRO 15|KSLD 5.5'!$AB$10/12*$E9</f>
        <v>4471.544715447154</v>
      </c>
      <c r="AQ9" s="259">
        <f>'NIRO 15|KSLD 5.5'!$AB$11/12*$E9</f>
        <v>16768.292682926829</v>
      </c>
      <c r="AR9" s="259">
        <f>'NIRO 15|KSLD 5.5'!$AB$14/12*$E9</f>
        <v>86835.583523429887</v>
      </c>
      <c r="AS9" s="259">
        <f>'NIRO 15|KSLD 5.5'!$AB$15/12*$E9</f>
        <v>30873.174429658542</v>
      </c>
      <c r="AT9" s="259">
        <f>'NIRO 15|KSLD 5.5'!$AB$16/12*$E9</f>
        <v>52539.511595793949</v>
      </c>
      <c r="AU9" s="259">
        <f>'NIRO 15|KSLD 5.5'!$AB$17/12*$E9</f>
        <v>8266.7682926829257</v>
      </c>
      <c r="AV9" s="259">
        <f>'NIRO 15|KSLD 5.5'!$AB$18/12*$E9</f>
        <v>6371.9512195121943</v>
      </c>
      <c r="AW9" s="259">
        <f>'NIRO 15|KSLD 5.5'!$AB$19/12*$E9</f>
        <v>323109.75609756098</v>
      </c>
      <c r="AX9" s="160">
        <f t="shared" si="12"/>
        <v>886818.59365457343</v>
      </c>
      <c r="AY9" s="259"/>
      <c r="AZ9" s="160" t="e">
        <f t="shared" si="11"/>
        <v>#REF!</v>
      </c>
      <c r="BB9" s="143">
        <f>'NIRO 15|KSLD 5.5'!$AF$7/12*$E9</f>
        <v>4138199.9999999995</v>
      </c>
      <c r="BC9" s="143">
        <f>'NIRO 15|KSLD 5.5'!$AF$8/12*$E9</f>
        <v>13420000.000000002</v>
      </c>
      <c r="BD9" s="143">
        <f>'NIRO 15|KSLD 5.5'!$AF$9/12*$E9</f>
        <v>5500000</v>
      </c>
      <c r="BE9" s="143">
        <f>'NIRO 15|KSLD 5.5'!$AF$10/12*$E9</f>
        <v>5500000</v>
      </c>
      <c r="BF9" s="143">
        <f>'NIRO 15|KSLD 5.5'!$AF$11/12*$E9</f>
        <v>5500000</v>
      </c>
      <c r="BG9" s="465">
        <f>'NIRO 15|KSLD 5.5'!$AF$14/12*$E9</f>
        <v>2694.3527439024388</v>
      </c>
      <c r="BH9" s="465">
        <f>'NIRO 15|KSLD 5.5'!$AF$15/12*$E9</f>
        <v>882.83317073170747</v>
      </c>
      <c r="BI9" s="465">
        <f>'NIRO 15|KSLD 5.5'!$AF$16/12*$E9</f>
        <v>2694.3527439024388</v>
      </c>
      <c r="BJ9" s="143">
        <f>'NIRO 15|KSLD 5.5'!$AF$17/12*$E9</f>
        <v>5500000</v>
      </c>
      <c r="BK9" s="143">
        <f>'NIRO 15|KSLD 5.5'!$AF$18/12*$E9</f>
        <v>5500000</v>
      </c>
      <c r="BL9" s="143">
        <f>'NIRO 15|KSLD 5.5'!$AF$19/12*$E9</f>
        <v>16559375</v>
      </c>
      <c r="BN9" s="482" t="s">
        <v>349</v>
      </c>
      <c r="BO9" s="24">
        <f>AO$11</f>
        <v>2299999.8600000003</v>
      </c>
      <c r="BP9" s="24">
        <f>AO$22</f>
        <v>0</v>
      </c>
      <c r="BQ9" s="473">
        <f>SUM(BO9:BP9)</f>
        <v>2299999.8600000003</v>
      </c>
      <c r="BR9" s="41">
        <f>BD24</f>
        <v>236000000</v>
      </c>
      <c r="BS9" s="25">
        <f>BQ9/BR9</f>
        <v>9.7457621186440684E-3</v>
      </c>
      <c r="BT9" s="256" t="s">
        <v>12</v>
      </c>
      <c r="BU9" s="130" t="s">
        <v>13</v>
      </c>
      <c r="BV9" s="484" t="s">
        <v>76</v>
      </c>
      <c r="BW9" s="485">
        <v>1</v>
      </c>
      <c r="BX9" s="24">
        <f>$AO$15</f>
        <v>1732830.1790762194</v>
      </c>
      <c r="BY9" s="24">
        <f>$AO$14</f>
        <v>375503.02592378051</v>
      </c>
      <c r="BZ9" s="24">
        <f>$AO$13</f>
        <v>191666.655</v>
      </c>
      <c r="CA9" s="24">
        <f t="shared" si="16"/>
        <v>2299999.86</v>
      </c>
      <c r="CB9" s="19">
        <f>$BD$15</f>
        <v>190000000</v>
      </c>
      <c r="CC9" s="19">
        <f>$BD$14</f>
        <v>40000000</v>
      </c>
      <c r="CD9" s="19">
        <f>$BD$13</f>
        <v>6000000</v>
      </c>
      <c r="CE9" s="19">
        <f t="shared" si="17"/>
        <v>236000000</v>
      </c>
      <c r="CF9" s="25">
        <f>CA9/CE9</f>
        <v>9.7457621186440666E-3</v>
      </c>
      <c r="CG9" s="56">
        <f t="shared" si="14"/>
        <v>1000</v>
      </c>
      <c r="CH9" s="56">
        <f t="shared" si="14"/>
        <v>1000</v>
      </c>
      <c r="CI9" s="56">
        <f t="shared" si="14"/>
        <v>1000</v>
      </c>
      <c r="CJ9" s="24" t="e">
        <f>'NIRO 4.5|KSLD 4.1'!AN9/12*$E$6*1000+'NIRO 13.5|KSLD 7.0'!AN9/12*$E$8*1000+'NIRO 15|KSLD 5.5'!AN9/12*$E$10*1000+'NIRO 21.5'!AN9/12*$E$4*1000</f>
        <v>#REF!</v>
      </c>
      <c r="CK9" s="24" t="e">
        <f>'NIRO 4.5|KSLD 4.1'!AO9/12*$E$5*1000+'NIRO 13.5|KSLD 7.0'!AO9/12*$E$7*1000+'NIRO 15|KSLD 5.5'!AO9/12*$E$9*1000</f>
        <v>#REF!</v>
      </c>
      <c r="CL9" s="24" t="e">
        <f>'KSHD 6.0'!AP9/12*$E$3*1000</f>
        <v>#REF!</v>
      </c>
      <c r="CM9" s="473" t="e">
        <f>SUM(CJ9:CL9)</f>
        <v>#REF!</v>
      </c>
      <c r="CN9" s="474" t="e">
        <f>BQ9-CM9</f>
        <v>#REF!</v>
      </c>
      <c r="CO9" s="487" t="e">
        <f>CN9/BR9*10000</f>
        <v>#REF!</v>
      </c>
      <c r="CP9" s="24" t="e">
        <f t="shared" si="15"/>
        <v>#REF!</v>
      </c>
      <c r="CQ9" s="24" t="e">
        <f t="shared" si="15"/>
        <v>#REF!</v>
      </c>
      <c r="CR9" s="24" t="e">
        <f t="shared" si="15"/>
        <v>#REF!</v>
      </c>
    </row>
    <row r="10" spans="1:96" ht="17.25">
      <c r="A10" s="403" t="s">
        <v>344</v>
      </c>
      <c r="B10" s="423">
        <v>15000</v>
      </c>
      <c r="C10" s="423">
        <v>1</v>
      </c>
      <c r="D10" s="424">
        <v>1</v>
      </c>
      <c r="E10" s="381">
        <f t="shared" si="0"/>
        <v>1</v>
      </c>
      <c r="F10" s="383">
        <f t="shared" si="1"/>
        <v>15000</v>
      </c>
      <c r="G10" s="426">
        <f t="shared" si="2"/>
        <v>6.3559322033898302E-2</v>
      </c>
      <c r="H10" s="403"/>
      <c r="I10" s="433" t="e">
        <f>'NIRO 15|KSLD 5.5'!B12</f>
        <v>#REF!</v>
      </c>
      <c r="J10" s="433">
        <f>'NIRO 15|KSLD 5.5'!B20</f>
        <v>3.8741832453085781E-2</v>
      </c>
      <c r="K10" s="413" t="e">
        <f t="shared" si="13"/>
        <v>#REF!</v>
      </c>
      <c r="L10" s="433" t="e">
        <f>'NIRO 15|KSLD 5.5'!AN21/'NIRO 15|KSLD 5.5'!B24</f>
        <v>#REF!</v>
      </c>
      <c r="M10" s="413" t="e">
        <f t="shared" si="10"/>
        <v>#REF!</v>
      </c>
      <c r="O10" s="423"/>
      <c r="P10" s="423"/>
      <c r="Q10" s="423"/>
      <c r="R10" s="423"/>
      <c r="S10" s="423"/>
      <c r="T10" s="382"/>
      <c r="V10" s="452">
        <f>'NIRO 15|KSLD 5.5'!$B$9</f>
        <v>9.3495929268292699E-3</v>
      </c>
      <c r="W10" s="453">
        <f t="shared" si="3"/>
        <v>140.24389390243905</v>
      </c>
      <c r="X10" s="452">
        <f>'NIRO 15|KSLD 5.5'!$B$10</f>
        <v>8.1300813008130081E-4</v>
      </c>
      <c r="Y10" s="453">
        <f t="shared" si="4"/>
        <v>12.195121951219512</v>
      </c>
      <c r="Z10" s="452">
        <f>'NIRO 15|KSLD 5.5'!$B$11</f>
        <v>3.0487804878048782E-3</v>
      </c>
      <c r="AA10" s="453">
        <f t="shared" si="5"/>
        <v>45.731707317073173</v>
      </c>
      <c r="AB10" s="452">
        <f>'NIRO 15|KSLD 5.5'!$B$14</f>
        <v>1.5788287913350886E-2</v>
      </c>
      <c r="AC10" s="453">
        <f t="shared" si="6"/>
        <v>236.82431870026329</v>
      </c>
      <c r="AD10" s="452">
        <f>'NIRO 15|KSLD 5.5'!$B$15</f>
        <v>5.6133044417560982E-3</v>
      </c>
      <c r="AE10" s="453">
        <f t="shared" si="7"/>
        <v>84.199566626341479</v>
      </c>
      <c r="AF10" s="452">
        <f>'NIRO 15|KSLD 5.5'!$B$16</f>
        <v>9.5526384719625355E-3</v>
      </c>
      <c r="AG10" s="453">
        <f t="shared" si="8"/>
        <v>143.28957707943803</v>
      </c>
      <c r="AH10" s="452">
        <f>'NIRO 15|KSLD 5.5'!$B$17</f>
        <v>1.5030487804878047E-3</v>
      </c>
      <c r="AI10" s="453">
        <f t="shared" si="9"/>
        <v>22.545731707317071</v>
      </c>
      <c r="AK10" s="461" t="e">
        <f>'NIRO 15|KSLD 5.5'!B$6*F10*1000</f>
        <v>#REF!</v>
      </c>
      <c r="AM10" s="463">
        <f>'NIRO 15|KSLD 5.5'!$AA$7/12*$E10</f>
        <v>71046.833333333328</v>
      </c>
      <c r="AN10" s="463">
        <f>'NIRO 15|KSLD 5.5'!$AA$8/12*$E10</f>
        <v>268787.75</v>
      </c>
      <c r="AO10" s="463">
        <f>'NIRO 15|KSLD 5.5'!$AA$9/12*$E10</f>
        <v>140243.89390243904</v>
      </c>
      <c r="AP10" s="463">
        <f>'NIRO 15|KSLD 5.5'!$AA$10/12*$E10</f>
        <v>12195.121951219511</v>
      </c>
      <c r="AQ10" s="463">
        <f>'NIRO 15|KSLD 5.5'!$AA$11/12*$E10</f>
        <v>45731.707317073167</v>
      </c>
      <c r="AR10" s="463">
        <f>'NIRO 15|KSLD 5.5'!$AA$14/12*$E10</f>
        <v>236824.31870026328</v>
      </c>
      <c r="AS10" s="463">
        <f>'NIRO 15|KSLD 5.5'!$AA$15/12*$E10</f>
        <v>84199.566626341475</v>
      </c>
      <c r="AT10" s="463">
        <f>'NIRO 15|KSLD 5.5'!$AA$16/12*$E10</f>
        <v>143289.57707943802</v>
      </c>
      <c r="AU10" s="463">
        <f>'NIRO 15|KSLD 5.5'!$AA$17/12*$E10</f>
        <v>22545.731707317071</v>
      </c>
      <c r="AV10" s="463">
        <f>'NIRO 15|KSLD 5.5'!$AA$18/12*$E10</f>
        <v>17378.048780487803</v>
      </c>
      <c r="AW10" s="463">
        <f>'NIRO 15|KSLD 5.5'!$AA$19/12*$E10</f>
        <v>76890.243902439019</v>
      </c>
      <c r="AX10" s="461">
        <f t="shared" si="12"/>
        <v>1119132.7933003516</v>
      </c>
      <c r="AY10" s="259"/>
      <c r="AZ10" s="461" t="e">
        <f t="shared" si="11"/>
        <v>#REF!</v>
      </c>
      <c r="BB10" s="161">
        <f>'NIRO 15|KSLD 5.5'!$AE$7/12*$E10</f>
        <v>960000</v>
      </c>
      <c r="BC10" s="161">
        <f>'NIRO 15|KSLD 5.5'!$AE$8/12*$E10</f>
        <v>65700000.000000007</v>
      </c>
      <c r="BD10" s="161">
        <f>'NIRO 15|KSLD 5.5'!$AE$9/12*$E10</f>
        <v>15000000</v>
      </c>
      <c r="BE10" s="161">
        <f>'NIRO 15|KSLD 5.5'!$AE$10/12*$E10</f>
        <v>15000000</v>
      </c>
      <c r="BF10" s="161">
        <f>'NIRO 15|KSLD 5.5'!$AE$11/12*$E10</f>
        <v>15000000</v>
      </c>
      <c r="BG10" s="466">
        <f>'NIRO 15|KSLD 5.5'!$AE$14/12*$E10</f>
        <v>7348.2347560975604</v>
      </c>
      <c r="BH10" s="466">
        <f>'NIRO 15|KSLD 5.5'!$AE$15/12*$E10</f>
        <v>2407.7268292682929</v>
      </c>
      <c r="BI10" s="466">
        <f>'NIRO 15|KSLD 5.5'!$AE$16/12*$E10</f>
        <v>7348.2347560975604</v>
      </c>
      <c r="BJ10" s="161">
        <f>'NIRO 15|KSLD 5.5'!$AE$17/12*$E10</f>
        <v>15000000</v>
      </c>
      <c r="BK10" s="161">
        <f>'NIRO 15|KSLD 5.5'!$AE$18/12*$E10</f>
        <v>15000000</v>
      </c>
      <c r="BL10" s="161">
        <f>'NIRO 15|KSLD 5.5'!$AE$19/12*$E10</f>
        <v>3940625</v>
      </c>
      <c r="BN10" s="482" t="s">
        <v>374</v>
      </c>
      <c r="BO10" s="24">
        <f>AP$11</f>
        <v>200000.00000000003</v>
      </c>
      <c r="BP10" s="24">
        <f>AP$22</f>
        <v>0</v>
      </c>
      <c r="BQ10" s="473">
        <f>SUM(BO10:BP10)</f>
        <v>200000.00000000003</v>
      </c>
      <c r="BR10" s="41">
        <f>BE24</f>
        <v>236000000</v>
      </c>
      <c r="BS10" s="25">
        <f>BQ10/BR10</f>
        <v>8.4745762711864415E-4</v>
      </c>
      <c r="BT10" s="256" t="s">
        <v>12</v>
      </c>
      <c r="BU10" s="130" t="s">
        <v>15</v>
      </c>
      <c r="BV10" s="484" t="s">
        <v>77</v>
      </c>
      <c r="BW10" s="485">
        <v>1</v>
      </c>
      <c r="BX10" s="24">
        <f>$AP$15</f>
        <v>150680.8943089431</v>
      </c>
      <c r="BY10" s="24">
        <f>$AP$14</f>
        <v>32652.439024390249</v>
      </c>
      <c r="BZ10" s="24">
        <f>$AP$13</f>
        <v>16666.666666666668</v>
      </c>
      <c r="CA10" s="24">
        <f t="shared" si="16"/>
        <v>200000</v>
      </c>
      <c r="CB10" s="19">
        <f>$BE$15</f>
        <v>190000000</v>
      </c>
      <c r="CC10" s="19">
        <f>$BE$14</f>
        <v>40000000</v>
      </c>
      <c r="CD10" s="19">
        <f>$BE$13</f>
        <v>6000000</v>
      </c>
      <c r="CE10" s="19">
        <f t="shared" si="17"/>
        <v>236000000</v>
      </c>
      <c r="CF10" s="25">
        <f>CA10/CE10</f>
        <v>8.4745762711864404E-4</v>
      </c>
      <c r="CG10" s="56">
        <f t="shared" si="14"/>
        <v>1000</v>
      </c>
      <c r="CH10" s="56">
        <f t="shared" si="14"/>
        <v>1000</v>
      </c>
      <c r="CI10" s="56">
        <f t="shared" si="14"/>
        <v>1000</v>
      </c>
      <c r="CJ10" s="24" t="e">
        <f>'NIRO 4.5|KSLD 4.1'!AN10/12*$E$6*1000+'NIRO 13.5|KSLD 7.0'!AN10/12*$E$8*1000+'NIRO 15|KSLD 5.5'!AN10/12*$E$10*1000+'NIRO 21.5'!AN10/12*$E$4*1000</f>
        <v>#REF!</v>
      </c>
      <c r="CK10" s="24" t="e">
        <f>'NIRO 4.5|KSLD 4.1'!AO10/12*$E$5*1000+'NIRO 13.5|KSLD 7.0'!AO10/12*$E$7*1000+'NIRO 15|KSLD 5.5'!AO10/12*$E$9*1000</f>
        <v>#REF!</v>
      </c>
      <c r="CL10" s="24" t="e">
        <f>'KSHD 6.0'!AP10/12*$E$3*1000</f>
        <v>#REF!</v>
      </c>
      <c r="CM10" s="473" t="e">
        <f>SUM(CJ10:CL10)</f>
        <v>#REF!</v>
      </c>
      <c r="CN10" s="474" t="e">
        <f>BQ10-CM10</f>
        <v>#REF!</v>
      </c>
      <c r="CO10" s="487" t="e">
        <f>CN10/BR10*10000</f>
        <v>#REF!</v>
      </c>
      <c r="CP10" s="24" t="e">
        <f t="shared" si="15"/>
        <v>#REF!</v>
      </c>
      <c r="CQ10" s="24" t="e">
        <f t="shared" si="15"/>
        <v>#REF!</v>
      </c>
      <c r="CR10" s="24" t="e">
        <f t="shared" si="15"/>
        <v>#REF!</v>
      </c>
    </row>
    <row r="11" spans="1:96" ht="17.25">
      <c r="B11" s="143"/>
      <c r="C11" s="142"/>
      <c r="D11" s="131"/>
      <c r="E11" s="142"/>
      <c r="F11" s="427">
        <f>SUM(F3:F10)</f>
        <v>236000</v>
      </c>
      <c r="G11" s="428">
        <f t="shared" si="2"/>
        <v>1</v>
      </c>
      <c r="I11" s="445" t="e">
        <f>($F3*I3+$F4*I4+$F5*I5+$F6*I6+$F7*I7+$F8*I8+$F9*I9+$F10*I10)/$F11</f>
        <v>#REF!</v>
      </c>
      <c r="J11" s="445">
        <f>($F3*J3+$F4*J4+$F5*J5+$F6*J6+$F7*J7+$F8*J8+$F9*J9+$F10*J10)/$F11</f>
        <v>5.5413446513541624E-2</v>
      </c>
      <c r="K11" s="445" t="e">
        <f>($F3*K3+$F4*K4+$F5*K5+$F6*K6+$F7*K7+$F8*K8+$F9*K9+$F10*K10)/$F11</f>
        <v>#REF!</v>
      </c>
      <c r="L11" s="445" t="e">
        <f t="shared" ref="L11:Z11" si="18">($F3*L3+$F4*L4+$F5*L5+$F6*L6+$F7*L7+$F8*L8+$F9*L9+$F10*L10)/$F11</f>
        <v>#REF!</v>
      </c>
      <c r="M11" s="445" t="e">
        <f t="shared" si="18"/>
        <v>#REF!</v>
      </c>
      <c r="V11" s="454">
        <f t="shared" si="18"/>
        <v>9.7457621186440666E-3</v>
      </c>
      <c r="W11" s="455">
        <f>SUM(W3:W10)</f>
        <v>2299.9998599999999</v>
      </c>
      <c r="X11" s="454">
        <f>($F3*X3+$F4*X4+$F5*X5+$F6*X6+$F7*X7+$F8*X8+$F9*X9+$F10*X10)/$F11</f>
        <v>8.4745762711864404E-4</v>
      </c>
      <c r="Y11" s="455">
        <f>SUM(Y3:Y10)</f>
        <v>200</v>
      </c>
      <c r="Z11" s="454">
        <f t="shared" si="18"/>
        <v>3.1779661016949155E-3</v>
      </c>
      <c r="AA11" s="455">
        <f>SUM(AA3:AA10)</f>
        <v>750</v>
      </c>
      <c r="AB11" s="454">
        <f t="shared" ref="AB11" si="19">($F3*AB3+$F4*AB4+$F5*AB5+$F6*AB6+$F7*AB7+$F8*AB8+$F9*AB9+$F10*AB10)/$F11</f>
        <v>1.6478621045333798E-2</v>
      </c>
      <c r="AC11" s="455">
        <f>SUM(AC3:AC10)</f>
        <v>3888.9545666987765</v>
      </c>
      <c r="AD11" s="454">
        <f t="shared" ref="AD11" si="20">($F3*AD3+$F4*AD4+$F5*AD5+$F6*AD6+$F7*AD7+$F8*AD8+$F9*AD9+$F10*AD10)/$F11</f>
        <v>5.8511563248813568E-3</v>
      </c>
      <c r="AE11" s="455">
        <f>SUM(AE3:AE10)</f>
        <v>1380.8728926720003</v>
      </c>
      <c r="AF11" s="454">
        <f t="shared" ref="AF11" si="21">($F3*AF3+$F4*AF4+$F5*AF5+$F6*AF6+$F7*AF7+$F8*AF8+$F9*AF9+$F10*AF10)/$F11</f>
        <v>9.9703216856993418E-3</v>
      </c>
      <c r="AG11" s="455">
        <f>SUM(AG3:AG10)</f>
        <v>2352.9959178250447</v>
      </c>
      <c r="AH11" s="454">
        <f>($F3*AH3+$F4*AH4+$F5*AH5+$F6*AH6+$F7*AH7+$F8*AH8+$F9*AH9+$F10*AH10)/$F11</f>
        <v>1.5667372881355932E-3</v>
      </c>
      <c r="AI11" s="455">
        <f>SUM(AI3:AI10)</f>
        <v>369.75</v>
      </c>
      <c r="AK11" s="462" t="e">
        <f>SUM(AK3:AK10)</f>
        <v>#REF!</v>
      </c>
      <c r="AM11" s="462">
        <f>SUM(AM3:AM10)</f>
        <v>3233715.9999999995</v>
      </c>
      <c r="AN11" s="462">
        <f t="shared" ref="AN11:AZ11" si="22">SUM(AN3:AN10)</f>
        <v>3816669.916666667</v>
      </c>
      <c r="AO11" s="462">
        <f t="shared" si="22"/>
        <v>2299999.8600000003</v>
      </c>
      <c r="AP11" s="462">
        <f t="shared" si="22"/>
        <v>200000.00000000003</v>
      </c>
      <c r="AQ11" s="462">
        <f t="shared" si="22"/>
        <v>750000</v>
      </c>
      <c r="AR11" s="462">
        <f t="shared" si="22"/>
        <v>3888954.566698777</v>
      </c>
      <c r="AS11" s="462">
        <f t="shared" si="22"/>
        <v>1380872.8926720002</v>
      </c>
      <c r="AT11" s="462">
        <f t="shared" si="22"/>
        <v>2352995.9178250446</v>
      </c>
      <c r="AU11" s="462">
        <f t="shared" si="22"/>
        <v>369750</v>
      </c>
      <c r="AV11" s="462">
        <f t="shared" si="22"/>
        <v>285000</v>
      </c>
      <c r="AW11" s="462">
        <f t="shared" si="22"/>
        <v>4800000</v>
      </c>
      <c r="AX11" s="462">
        <f t="shared" si="22"/>
        <v>23377959.153862488</v>
      </c>
      <c r="AY11" s="259"/>
      <c r="AZ11" s="462" t="e">
        <f t="shared" si="22"/>
        <v>#REF!</v>
      </c>
      <c r="BB11" s="464">
        <f>SUM(BB3:BB10)</f>
        <v>46770400</v>
      </c>
      <c r="BC11" s="464">
        <f t="shared" ref="BC11" si="23">SUM(BC3:BC10)</f>
        <v>944440000</v>
      </c>
      <c r="BD11" s="464">
        <f t="shared" ref="BD11" si="24">SUM(BD3:BD10)</f>
        <v>236000000</v>
      </c>
      <c r="BE11" s="464">
        <f t="shared" ref="BE11" si="25">SUM(BE3:BE10)</f>
        <v>236000000</v>
      </c>
      <c r="BF11" s="464">
        <f t="shared" ref="BF11" si="26">SUM(BF3:BF10)</f>
        <v>236000000</v>
      </c>
      <c r="BG11" s="464">
        <f t="shared" ref="BG11" si="27">SUM(BG3:BG10)</f>
        <v>120667.3</v>
      </c>
      <c r="BH11" s="464">
        <f t="shared" ref="BH11" si="28">SUM(BH3:BH10)</f>
        <v>39486.720000000001</v>
      </c>
      <c r="BI11" s="464">
        <f t="shared" ref="BI11" si="29">SUM(BI3:BI10)</f>
        <v>120667.3</v>
      </c>
      <c r="BJ11" s="464">
        <f t="shared" ref="BJ11" si="30">SUM(BJ3:BJ10)</f>
        <v>236000000</v>
      </c>
      <c r="BK11" s="464">
        <f t="shared" ref="BK11" si="31">SUM(BK3:BK10)</f>
        <v>236000000</v>
      </c>
      <c r="BL11" s="464">
        <f t="shared" ref="BL11" si="32">SUM(BL3:BL10)</f>
        <v>236000000</v>
      </c>
      <c r="BN11" s="482" t="s">
        <v>384</v>
      </c>
      <c r="BO11" s="28">
        <f>AQ$11</f>
        <v>750000</v>
      </c>
      <c r="BP11" s="28">
        <f>AQ$22</f>
        <v>0</v>
      </c>
      <c r="BQ11" s="475">
        <f>SUM(BO11:BP11)</f>
        <v>750000</v>
      </c>
      <c r="BR11" s="41">
        <f>BF24</f>
        <v>236000000</v>
      </c>
      <c r="BS11" s="25">
        <f>BQ11/BR11</f>
        <v>3.1779661016949155E-3</v>
      </c>
      <c r="BT11" s="256" t="s">
        <v>12</v>
      </c>
      <c r="BU11" s="130" t="s">
        <v>17</v>
      </c>
      <c r="BV11" s="484" t="s">
        <v>78</v>
      </c>
      <c r="BW11" s="486" t="s">
        <v>78</v>
      </c>
      <c r="BX11" s="28">
        <f>$AQ$15</f>
        <v>565053.35365853657</v>
      </c>
      <c r="BY11" s="28">
        <f>$AQ$14</f>
        <v>122446.64634146342</v>
      </c>
      <c r="BZ11" s="28">
        <f>$AQ$13</f>
        <v>62500</v>
      </c>
      <c r="CA11" s="28">
        <f t="shared" si="16"/>
        <v>750000</v>
      </c>
      <c r="CB11" s="19">
        <f>$BF$15</f>
        <v>190000000</v>
      </c>
      <c r="CC11" s="19">
        <f>$BF$14</f>
        <v>40000000</v>
      </c>
      <c r="CD11" s="19">
        <f>$BF$13</f>
        <v>6000000</v>
      </c>
      <c r="CE11" s="19">
        <f t="shared" si="17"/>
        <v>236000000</v>
      </c>
      <c r="CF11" s="25">
        <f>CA11/CE11</f>
        <v>3.1779661016949155E-3</v>
      </c>
      <c r="CG11" s="56">
        <f t="shared" si="14"/>
        <v>1000</v>
      </c>
      <c r="CH11" s="56">
        <f t="shared" si="14"/>
        <v>1000</v>
      </c>
      <c r="CI11" s="56">
        <f t="shared" si="14"/>
        <v>1000</v>
      </c>
      <c r="CJ11" s="28" t="e">
        <f>'NIRO 4.5|KSLD 4.1'!AN11/12*$E$6*1000+'NIRO 13.5|KSLD 7.0'!AN11/12*$E$8*1000+'NIRO 15|KSLD 5.5'!AN11/12*$E$10*1000+'NIRO 21.5'!AN11/12*$E$4*1000</f>
        <v>#REF!</v>
      </c>
      <c r="CK11" s="28" t="e">
        <f>'NIRO 4.5|KSLD 4.1'!AO11/12*$E$5*1000+'NIRO 13.5|KSLD 7.0'!AO11/12*$E$7*1000+'NIRO 15|KSLD 5.5'!AO11/12*$E$9*1000</f>
        <v>#REF!</v>
      </c>
      <c r="CL11" s="28" t="e">
        <f>'KSHD 6.0'!AP11/12*$E$3*1000</f>
        <v>#REF!</v>
      </c>
      <c r="CM11" s="475" t="e">
        <f>SUM(CJ11:CL11)</f>
        <v>#REF!</v>
      </c>
      <c r="CN11" s="476" t="e">
        <f>BQ11-CM11</f>
        <v>#REF!</v>
      </c>
      <c r="CO11" s="487" t="e">
        <f>CN11/BR11*10000</f>
        <v>#REF!</v>
      </c>
      <c r="CP11" s="28" t="e">
        <f t="shared" si="15"/>
        <v>#REF!</v>
      </c>
      <c r="CQ11" s="28" t="e">
        <f t="shared" si="15"/>
        <v>#REF!</v>
      </c>
      <c r="CR11" s="28" t="e">
        <f t="shared" si="15"/>
        <v>#REF!</v>
      </c>
    </row>
    <row r="12" spans="1:96">
      <c r="A12" s="408" t="s">
        <v>325</v>
      </c>
      <c r="V12" s="450"/>
      <c r="W12" s="453"/>
      <c r="X12" s="450"/>
      <c r="Y12" s="453"/>
      <c r="Z12" s="450"/>
      <c r="AA12" s="453"/>
      <c r="AB12" s="450"/>
      <c r="AC12" s="453"/>
      <c r="AD12" s="450"/>
      <c r="AE12" s="453"/>
      <c r="AF12" s="450"/>
      <c r="AG12" s="453"/>
      <c r="AH12" s="450"/>
      <c r="AI12" s="453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N12" s="482" t="s">
        <v>395</v>
      </c>
      <c r="BO12" s="29">
        <f>SUM(BO7:BO11)</f>
        <v>10300385.776666667</v>
      </c>
      <c r="BP12" s="29">
        <f>SUM(BP7:BP11)</f>
        <v>0</v>
      </c>
      <c r="BQ12" s="33">
        <f>SUM(BQ7:BQ11)</f>
        <v>10300385.776666667</v>
      </c>
      <c r="BR12" s="41"/>
      <c r="BS12" s="19"/>
      <c r="BT12" s="256"/>
      <c r="BU12" s="130"/>
      <c r="BV12" s="484"/>
      <c r="BW12" s="486"/>
      <c r="BX12" s="29">
        <f>SUM(BX7:BX11)</f>
        <v>6859914.4270436987</v>
      </c>
      <c r="BY12" s="29">
        <f>SUM(BY7:BY11)</f>
        <v>2787915.0279563013</v>
      </c>
      <c r="BZ12" s="29">
        <f>SUM(BZ7:BZ11)</f>
        <v>652556.32166666666</v>
      </c>
      <c r="CA12" s="29">
        <f>SUM(CA7:CA11)</f>
        <v>10300385.776666667</v>
      </c>
      <c r="CB12" s="19"/>
      <c r="CC12" s="19"/>
      <c r="CD12" s="19"/>
      <c r="CE12" s="19"/>
      <c r="CF12" s="19"/>
      <c r="CG12" s="19"/>
      <c r="CH12" s="19"/>
      <c r="CI12" s="19"/>
      <c r="CJ12" s="29" t="e">
        <f t="shared" ref="CJ12:CR12" si="33">SUM(CJ7:CJ11)</f>
        <v>#REF!</v>
      </c>
      <c r="CK12" s="29" t="e">
        <f t="shared" si="33"/>
        <v>#REF!</v>
      </c>
      <c r="CL12" s="29" t="e">
        <f t="shared" si="33"/>
        <v>#REF!</v>
      </c>
      <c r="CM12" s="33" t="e">
        <f>SUM(CM7:CM11)</f>
        <v>#REF!</v>
      </c>
      <c r="CN12" s="33" t="e">
        <f>SUM(CN7:CN11)</f>
        <v>#REF!</v>
      </c>
      <c r="CO12" s="487"/>
      <c r="CP12" s="29" t="e">
        <f t="shared" si="33"/>
        <v>#REF!</v>
      </c>
      <c r="CQ12" s="29" t="e">
        <f t="shared" si="33"/>
        <v>#REF!</v>
      </c>
      <c r="CR12" s="29" t="e">
        <f t="shared" si="33"/>
        <v>#REF!</v>
      </c>
    </row>
    <row r="13" spans="1:96">
      <c r="A13" s="425" t="s">
        <v>282</v>
      </c>
      <c r="B13" s="143"/>
      <c r="C13" s="143"/>
      <c r="D13" s="144"/>
      <c r="E13" s="143"/>
      <c r="F13" s="143">
        <f>F3</f>
        <v>6000</v>
      </c>
      <c r="G13" s="144">
        <f>F13/$F$16</f>
        <v>2.5423728813559324E-2</v>
      </c>
      <c r="I13" s="434" t="e">
        <f>I3*$F3/$F13</f>
        <v>#REF!</v>
      </c>
      <c r="J13" s="434">
        <f>J3*$F3/$F13</f>
        <v>0.18347399881219473</v>
      </c>
      <c r="K13" s="414" t="e">
        <f t="shared" ref="K13:K15" si="34">SUM(I13:J13)</f>
        <v>#REF!</v>
      </c>
      <c r="L13" s="434" t="e">
        <f>L3*$F3/$F13</f>
        <v>#REF!</v>
      </c>
      <c r="M13" s="414" t="e">
        <f>K13-L13</f>
        <v>#REF!</v>
      </c>
      <c r="V13" s="452">
        <f>W13/$F13</f>
        <v>3.1944442499999996E-2</v>
      </c>
      <c r="W13" s="453">
        <f>W3</f>
        <v>191.66665499999999</v>
      </c>
      <c r="X13" s="452">
        <f>Y13/$F13</f>
        <v>2.7777777777777779E-3</v>
      </c>
      <c r="Y13" s="453">
        <f>Y3</f>
        <v>16.666666666666668</v>
      </c>
      <c r="Z13" s="452">
        <f>AA13/$F13</f>
        <v>1.0416666666666666E-2</v>
      </c>
      <c r="AA13" s="453">
        <f>AA3</f>
        <v>62.5</v>
      </c>
      <c r="AB13" s="452">
        <f>AC13/$F13</f>
        <v>5.5160287540776363E-2</v>
      </c>
      <c r="AC13" s="453">
        <f>AC3</f>
        <v>330.96172524465817</v>
      </c>
      <c r="AD13" s="452">
        <f>AE13/$F13</f>
        <v>1.9178790176000004E-2</v>
      </c>
      <c r="AE13" s="453">
        <f>AE3</f>
        <v>115.07274105600003</v>
      </c>
      <c r="AF13" s="452">
        <f>AG13/$F13</f>
        <v>3.33745044287517E-2</v>
      </c>
      <c r="AG13" s="453">
        <f>AG3</f>
        <v>200.24702657251021</v>
      </c>
      <c r="AH13" s="452">
        <f>AI13/$F13</f>
        <v>5.1354166666666666E-3</v>
      </c>
      <c r="AI13" s="453">
        <f>AI3</f>
        <v>30.8125</v>
      </c>
      <c r="AK13" s="160" t="e">
        <f>AK3</f>
        <v>#REF!</v>
      </c>
      <c r="AM13" s="259">
        <f t="shared" ref="AM13:AW13" si="35">AM3</f>
        <v>306876</v>
      </c>
      <c r="AN13" s="259">
        <f t="shared" si="35"/>
        <v>74847</v>
      </c>
      <c r="AO13" s="259">
        <f t="shared" si="35"/>
        <v>191666.655</v>
      </c>
      <c r="AP13" s="259">
        <f t="shared" si="35"/>
        <v>16666.666666666668</v>
      </c>
      <c r="AQ13" s="259">
        <f t="shared" si="35"/>
        <v>62500</v>
      </c>
      <c r="AR13" s="259">
        <f t="shared" si="35"/>
        <v>330961.72524465818</v>
      </c>
      <c r="AS13" s="259">
        <f t="shared" si="35"/>
        <v>115072.74105600001</v>
      </c>
      <c r="AT13" s="259">
        <f t="shared" si="35"/>
        <v>200247.02657251022</v>
      </c>
      <c r="AU13" s="259">
        <f t="shared" si="35"/>
        <v>30812.5</v>
      </c>
      <c r="AV13" s="259">
        <f t="shared" si="35"/>
        <v>23750</v>
      </c>
      <c r="AW13" s="259">
        <f t="shared" si="35"/>
        <v>400000</v>
      </c>
      <c r="AX13" s="160">
        <f t="shared" ref="AX13:AX15" si="36">SUM(AM13:AW13)</f>
        <v>1753400.3145398351</v>
      </c>
      <c r="AY13" s="259"/>
      <c r="AZ13" s="160" t="e">
        <f t="shared" ref="AZ13:AZ15" si="37">AK13+AX13</f>
        <v>#REF!</v>
      </c>
      <c r="BB13" s="143">
        <f t="shared" ref="BB13:BL13" si="38">BB3</f>
        <v>4514399.9999999991</v>
      </c>
      <c r="BC13" s="143">
        <f t="shared" si="38"/>
        <v>14640000.000000002</v>
      </c>
      <c r="BD13" s="143">
        <f t="shared" si="38"/>
        <v>6000000</v>
      </c>
      <c r="BE13" s="143">
        <f t="shared" si="38"/>
        <v>6000000</v>
      </c>
      <c r="BF13" s="143">
        <f t="shared" si="38"/>
        <v>6000000</v>
      </c>
      <c r="BG13" s="143">
        <f t="shared" si="38"/>
        <v>10269.15</v>
      </c>
      <c r="BH13" s="143">
        <f t="shared" si="38"/>
        <v>3290.56</v>
      </c>
      <c r="BI13" s="143">
        <f t="shared" si="38"/>
        <v>10269.15</v>
      </c>
      <c r="BJ13" s="143">
        <f t="shared" si="38"/>
        <v>6000000</v>
      </c>
      <c r="BK13" s="143">
        <f t="shared" si="38"/>
        <v>6000000</v>
      </c>
      <c r="BL13" s="143">
        <f t="shared" si="38"/>
        <v>6000000</v>
      </c>
      <c r="BN13" s="482"/>
      <c r="BO13" s="29"/>
      <c r="BP13" s="29"/>
      <c r="BQ13" s="33"/>
      <c r="BR13" s="41"/>
      <c r="BS13" s="19"/>
      <c r="BT13" s="256"/>
      <c r="BU13" s="130"/>
      <c r="BV13" s="484"/>
      <c r="BW13" s="486"/>
      <c r="BX13" s="29"/>
      <c r="BY13" s="29"/>
      <c r="BZ13" s="29"/>
      <c r="CA13" s="29"/>
      <c r="CB13" s="19"/>
      <c r="CC13" s="19"/>
      <c r="CD13" s="19"/>
      <c r="CE13" s="19"/>
      <c r="CF13" s="19"/>
      <c r="CG13" s="19"/>
      <c r="CH13" s="19"/>
      <c r="CI13" s="19"/>
      <c r="CJ13" s="29"/>
      <c r="CK13" s="29"/>
      <c r="CL13" s="29"/>
      <c r="CM13" s="33"/>
      <c r="CN13" s="477"/>
      <c r="CO13" s="487"/>
      <c r="CP13" s="29"/>
      <c r="CQ13" s="29"/>
      <c r="CR13" s="29"/>
    </row>
    <row r="14" spans="1:96">
      <c r="A14" s="425" t="s">
        <v>177</v>
      </c>
      <c r="B14" s="143"/>
      <c r="C14" s="143"/>
      <c r="D14" s="144"/>
      <c r="E14" s="143"/>
      <c r="F14" s="143">
        <f>F5+F7+F9</f>
        <v>40000</v>
      </c>
      <c r="G14" s="144">
        <f>F14/$F$16</f>
        <v>0.16949152542372881</v>
      </c>
      <c r="I14" s="434" t="e">
        <f>(I5*$F5+I7*$F7+I9*$F9)/$F14</f>
        <v>#REF!</v>
      </c>
      <c r="J14" s="434">
        <f>(J5*$F5+J7*$F7+J9*$F9)/$F14</f>
        <v>8.3110160951131995E-2</v>
      </c>
      <c r="K14" s="414" t="e">
        <f t="shared" si="34"/>
        <v>#REF!</v>
      </c>
      <c r="L14" s="434" t="e">
        <f>(L5*$F5+L7*$F7+L9*$F9)/$F14</f>
        <v>#REF!</v>
      </c>
      <c r="M14" s="414" t="e">
        <f t="shared" ref="M14:M15" si="39">K14-L14</f>
        <v>#REF!</v>
      </c>
      <c r="V14" s="452">
        <f>W14/$F14</f>
        <v>9.3875756480945108E-3</v>
      </c>
      <c r="W14" s="453">
        <f>W5+W7+W9</f>
        <v>375.50302592378046</v>
      </c>
      <c r="X14" s="452">
        <f>Y14/$F14</f>
        <v>8.1631097560975617E-4</v>
      </c>
      <c r="Y14" s="453">
        <f>Y5+Y7+Y9</f>
        <v>32.652439024390247</v>
      </c>
      <c r="Z14" s="452">
        <f>AA14/$F14</f>
        <v>3.0611661585365855E-3</v>
      </c>
      <c r="AA14" s="453">
        <f>AA5+AA7+AA9</f>
        <v>122.44664634146342</v>
      </c>
      <c r="AB14" s="452">
        <f>AC14/$F14</f>
        <v>1.5854473602379751E-2</v>
      </c>
      <c r="AC14" s="453">
        <f>AC5+AC7+AC9</f>
        <v>634.17894409518999</v>
      </c>
      <c r="AD14" s="452">
        <f>AE14/$F14</f>
        <v>5.636108491050733E-3</v>
      </c>
      <c r="AE14" s="453">
        <f>AE5+AE7+AE9</f>
        <v>225.44433964202932</v>
      </c>
      <c r="AF14" s="452">
        <f>AG14/$F14</f>
        <v>9.5926838500795513E-3</v>
      </c>
      <c r="AG14" s="453">
        <f>AG5+AG7+AG9</f>
        <v>383.70735400318205</v>
      </c>
      <c r="AH14" s="452">
        <f>AI14/$F14</f>
        <v>1.5091549161585364E-3</v>
      </c>
      <c r="AI14" s="453">
        <f>AI5+AI7+AI9</f>
        <v>60.366196646341457</v>
      </c>
      <c r="AK14" s="160" t="e">
        <f>AK5+AK7+AK9</f>
        <v>#REF!</v>
      </c>
      <c r="AM14" s="259">
        <f t="shared" ref="AM14:AW14" si="40">AM5+AM7+AM9</f>
        <v>1854381.1666666667</v>
      </c>
      <c r="AN14" s="259">
        <f t="shared" si="40"/>
        <v>402931.75</v>
      </c>
      <c r="AO14" s="259">
        <f t="shared" si="40"/>
        <v>375503.02592378051</v>
      </c>
      <c r="AP14" s="259">
        <f t="shared" si="40"/>
        <v>32652.439024390249</v>
      </c>
      <c r="AQ14" s="259">
        <f t="shared" si="40"/>
        <v>122446.64634146342</v>
      </c>
      <c r="AR14" s="259">
        <f t="shared" si="40"/>
        <v>634178.94409519003</v>
      </c>
      <c r="AS14" s="259">
        <f t="shared" si="40"/>
        <v>225444.33964202928</v>
      </c>
      <c r="AT14" s="259">
        <f t="shared" si="40"/>
        <v>383707.35400318197</v>
      </c>
      <c r="AU14" s="259">
        <f t="shared" si="40"/>
        <v>60366.196646341457</v>
      </c>
      <c r="AV14" s="259">
        <f t="shared" si="40"/>
        <v>46529.725609756089</v>
      </c>
      <c r="AW14" s="259">
        <f t="shared" si="40"/>
        <v>1974179.8780487804</v>
      </c>
      <c r="AX14" s="160">
        <f t="shared" si="36"/>
        <v>6112321.4660015814</v>
      </c>
      <c r="AY14" s="259"/>
      <c r="AZ14" s="160" t="e">
        <f t="shared" si="37"/>
        <v>#REF!</v>
      </c>
      <c r="BB14" s="143">
        <f t="shared" ref="BB14:BL14" si="41">BB5+BB7+BB9</f>
        <v>30096000</v>
      </c>
      <c r="BC14" s="143">
        <f t="shared" si="41"/>
        <v>97600000.000000015</v>
      </c>
      <c r="BD14" s="143">
        <f t="shared" si="41"/>
        <v>40000000</v>
      </c>
      <c r="BE14" s="143">
        <f t="shared" si="41"/>
        <v>40000000</v>
      </c>
      <c r="BF14" s="143">
        <f t="shared" si="41"/>
        <v>40000000</v>
      </c>
      <c r="BG14" s="143">
        <f t="shared" si="41"/>
        <v>19677.43762195122</v>
      </c>
      <c r="BH14" s="143">
        <f t="shared" si="41"/>
        <v>6446.6885853658541</v>
      </c>
      <c r="BI14" s="143">
        <f t="shared" si="41"/>
        <v>19677.437621951216</v>
      </c>
      <c r="BJ14" s="143">
        <f t="shared" si="41"/>
        <v>40000000</v>
      </c>
      <c r="BK14" s="143">
        <f t="shared" si="41"/>
        <v>40000000</v>
      </c>
      <c r="BL14" s="143">
        <f t="shared" si="41"/>
        <v>100765624.99999999</v>
      </c>
      <c r="BN14" s="482" t="s">
        <v>369</v>
      </c>
      <c r="BO14" s="24">
        <f>AR$11</f>
        <v>3888954.566698777</v>
      </c>
      <c r="BP14" s="24">
        <f>AR$22</f>
        <v>118843.33333333334</v>
      </c>
      <c r="BQ14" s="473">
        <f t="shared" ref="BQ14:BQ19" si="42">SUM(BO14:BP14)</f>
        <v>4007797.9000321105</v>
      </c>
      <c r="BR14" s="41">
        <f>BG24</f>
        <v>124354.79999999999</v>
      </c>
      <c r="BS14" s="25">
        <f t="shared" ref="BS14:BS19" si="43">BQ14/BR14</f>
        <v>32.228735039034369</v>
      </c>
      <c r="BT14" s="256" t="s">
        <v>19</v>
      </c>
      <c r="BU14" s="130" t="s">
        <v>20</v>
      </c>
      <c r="BV14" s="484" t="s">
        <v>78</v>
      </c>
      <c r="BW14" s="486" t="s">
        <v>78</v>
      </c>
      <c r="BX14" s="24">
        <f>$AR$15</f>
        <v>2923813.8973589288</v>
      </c>
      <c r="BY14" s="24">
        <f>$AR$14</f>
        <v>634178.94409519003</v>
      </c>
      <c r="BZ14" s="24">
        <f>$AR$13</f>
        <v>330961.72524465818</v>
      </c>
      <c r="CA14" s="24">
        <f t="shared" ref="CA14:CA19" si="44">SUM(BX14:BZ14)</f>
        <v>3888954.566698777</v>
      </c>
      <c r="CB14" s="19">
        <f>$BG$15</f>
        <v>90720.712378048775</v>
      </c>
      <c r="CC14" s="19">
        <f>$BG$14</f>
        <v>19677.43762195122</v>
      </c>
      <c r="CD14" s="19">
        <f>$BG$13</f>
        <v>10269.15</v>
      </c>
      <c r="CE14" s="19">
        <f t="shared" ref="CE14:CE19" si="45">SUM(CB14:CD14)</f>
        <v>120667.29999999999</v>
      </c>
      <c r="CF14" s="25">
        <f t="shared" ref="CF14:CF19" si="46">CA14/CE14</f>
        <v>32.228736092535236</v>
      </c>
      <c r="CG14" s="56">
        <f t="shared" ref="CG14:CI17" si="47">ROUND(CB14/BX$24*1000,3)</f>
        <v>0.47699999999999998</v>
      </c>
      <c r="CH14" s="56">
        <f t="shared" si="47"/>
        <v>0.49199999999999999</v>
      </c>
      <c r="CI14" s="56">
        <f t="shared" si="47"/>
        <v>1.712</v>
      </c>
      <c r="CJ14" s="24" t="e">
        <f>'NIRO 4.5|KSLD 4.1'!AN14/12*$E$6*1000+'NIRO 13.5|KSLD 7.0'!AN14/12*$E$8*1000+'NIRO 15|KSLD 5.5'!AN14/12*$E$10*1000+'NIRO 21.5'!AN14/12*$E$4*1000</f>
        <v>#REF!</v>
      </c>
      <c r="CK14" s="24" t="e">
        <f>'NIRO 4.5|KSLD 4.1'!AO14/12*$E$5*1000+'NIRO 13.5|KSLD 7.0'!AO14/12*$E$7*1000+'NIRO 15|KSLD 5.5'!AO14/12*$E$9*1000</f>
        <v>#REF!</v>
      </c>
      <c r="CL14" s="24" t="e">
        <f>'KSHD 6.0'!AP14/12*$E$3*1000</f>
        <v>#REF!</v>
      </c>
      <c r="CM14" s="473" t="e">
        <f t="shared" ref="CM14:CM19" si="48">SUM(CJ14:CL14)</f>
        <v>#REF!</v>
      </c>
      <c r="CN14" s="474" t="e">
        <f t="shared" ref="CN14:CN19" si="49">BQ14-CM14</f>
        <v>#REF!</v>
      </c>
      <c r="CO14" s="487" t="e">
        <f t="shared" ref="CO14:CO19" si="50">CN14/BR14*10000</f>
        <v>#REF!</v>
      </c>
      <c r="CP14" s="24" t="e">
        <f t="shared" ref="CP14:CR19" si="51">BX14-CJ14</f>
        <v>#REF!</v>
      </c>
      <c r="CQ14" s="24" t="e">
        <f t="shared" si="51"/>
        <v>#REF!</v>
      </c>
      <c r="CR14" s="24" t="e">
        <f t="shared" si="51"/>
        <v>#REF!</v>
      </c>
    </row>
    <row r="15" spans="1:96" ht="16.149999999999999" customHeight="1">
      <c r="A15" s="425" t="s">
        <v>194</v>
      </c>
      <c r="B15" s="143"/>
      <c r="C15" s="143"/>
      <c r="D15" s="144"/>
      <c r="E15" s="143"/>
      <c r="F15" s="161">
        <f>F4+F6+F8+F10</f>
        <v>190000</v>
      </c>
      <c r="G15" s="378">
        <f>F15/$F$16</f>
        <v>0.80508474576271183</v>
      </c>
      <c r="I15" s="380" t="e">
        <f>(I4*$F4+I6*$F6+I8*$F8+I10*$F10)/$F15</f>
        <v>#REF!</v>
      </c>
      <c r="J15" s="380">
        <f>(J4*$F4+J6*$F6+J8*$F8+J10*$F10)/$F15</f>
        <v>4.5538541822512497E-2</v>
      </c>
      <c r="K15" s="435" t="e">
        <f t="shared" si="34"/>
        <v>#REF!</v>
      </c>
      <c r="L15" s="380" t="e">
        <f>(L4*$F4+L6*$F6+L8*$F8+L10*$F10)/$F15</f>
        <v>#REF!</v>
      </c>
      <c r="M15" s="435" t="e">
        <f t="shared" si="39"/>
        <v>#REF!</v>
      </c>
      <c r="V15" s="452">
        <f>W15/$F15</f>
        <v>9.1201588372432606E-3</v>
      </c>
      <c r="W15" s="453">
        <f>W4+W6+W8+W10</f>
        <v>1732.8301790762196</v>
      </c>
      <c r="X15" s="452">
        <f>Y15/$F15</f>
        <v>7.9305733846812159E-4</v>
      </c>
      <c r="Y15" s="453">
        <f>Y4+Y6+Y8+Y10</f>
        <v>150.6808943089431</v>
      </c>
      <c r="Z15" s="452">
        <f>AA15/$F15</f>
        <v>2.9739650192554556E-3</v>
      </c>
      <c r="AA15" s="453">
        <f>AA4+AA6+AA8+AA10</f>
        <v>565.05335365853659</v>
      </c>
      <c r="AB15" s="452">
        <f>AC15/$F15</f>
        <v>1.5388494196625939E-2</v>
      </c>
      <c r="AC15" s="453">
        <f>AC4+AC6+AC8+AC10</f>
        <v>2923.8138973589284</v>
      </c>
      <c r="AD15" s="452">
        <f>AE15/$F15</f>
        <v>5.4755569051261627E-3</v>
      </c>
      <c r="AE15" s="453">
        <f>AE4+AE6+AE8+AE10</f>
        <v>1040.355811973971</v>
      </c>
      <c r="AF15" s="452">
        <f>AG15/$F15</f>
        <v>9.3107449328913277E-3</v>
      </c>
      <c r="AG15" s="453">
        <f>AG4+AG6+AG8+AG10</f>
        <v>1769.0415372493521</v>
      </c>
      <c r="AH15" s="452">
        <f>AI15/$F15</f>
        <v>1.4661647544929397E-3</v>
      </c>
      <c r="AI15" s="453">
        <f>AI4+AI6+AI8+AI10</f>
        <v>278.57130335365855</v>
      </c>
      <c r="AK15" s="461" t="e">
        <f>AK4+AK6+AK8+AK10</f>
        <v>#REF!</v>
      </c>
      <c r="AM15" s="463">
        <f t="shared" ref="AM15:AW15" si="52">AM4+AM6+AM8+AM10</f>
        <v>1072458.8333333333</v>
      </c>
      <c r="AN15" s="463">
        <f t="shared" si="52"/>
        <v>3338891.166666667</v>
      </c>
      <c r="AO15" s="463">
        <f t="shared" si="52"/>
        <v>1732830.1790762194</v>
      </c>
      <c r="AP15" s="463">
        <f t="shared" si="52"/>
        <v>150680.8943089431</v>
      </c>
      <c r="AQ15" s="463">
        <f t="shared" si="52"/>
        <v>565053.35365853657</v>
      </c>
      <c r="AR15" s="463">
        <f t="shared" si="52"/>
        <v>2923813.8973589288</v>
      </c>
      <c r="AS15" s="463">
        <f t="shared" si="52"/>
        <v>1040355.8119739708</v>
      </c>
      <c r="AT15" s="463">
        <f t="shared" si="52"/>
        <v>1769041.5372493523</v>
      </c>
      <c r="AU15" s="463">
        <f t="shared" si="52"/>
        <v>278571.30335365853</v>
      </c>
      <c r="AV15" s="463">
        <f t="shared" si="52"/>
        <v>214720.2743902439</v>
      </c>
      <c r="AW15" s="463">
        <f t="shared" si="52"/>
        <v>2425820.1219512196</v>
      </c>
      <c r="AX15" s="461">
        <f t="shared" si="36"/>
        <v>15512237.373321071</v>
      </c>
      <c r="AY15" s="259"/>
      <c r="AZ15" s="461" t="e">
        <f t="shared" si="37"/>
        <v>#REF!</v>
      </c>
      <c r="BB15" s="161">
        <f t="shared" ref="BB15:BL15" si="53">BB4+BB6+BB8+BB10</f>
        <v>12160000</v>
      </c>
      <c r="BC15" s="161">
        <f t="shared" si="53"/>
        <v>832200000</v>
      </c>
      <c r="BD15" s="161">
        <f t="shared" si="53"/>
        <v>190000000</v>
      </c>
      <c r="BE15" s="161">
        <f t="shared" si="53"/>
        <v>190000000</v>
      </c>
      <c r="BF15" s="161">
        <f t="shared" si="53"/>
        <v>190000000</v>
      </c>
      <c r="BG15" s="161">
        <f t="shared" si="53"/>
        <v>90720.712378048775</v>
      </c>
      <c r="BH15" s="161">
        <f t="shared" si="53"/>
        <v>29749.47141463415</v>
      </c>
      <c r="BI15" s="161">
        <f t="shared" si="53"/>
        <v>90720.712378048789</v>
      </c>
      <c r="BJ15" s="161">
        <f t="shared" si="53"/>
        <v>190000000</v>
      </c>
      <c r="BK15" s="161">
        <f t="shared" si="53"/>
        <v>190000000</v>
      </c>
      <c r="BL15" s="161">
        <f t="shared" si="53"/>
        <v>129234375</v>
      </c>
      <c r="BN15" s="482" t="s">
        <v>370</v>
      </c>
      <c r="BO15" s="24">
        <f>AS$11</f>
        <v>1380872.8926720002</v>
      </c>
      <c r="BP15" s="24">
        <f>AS$22</f>
        <v>0</v>
      </c>
      <c r="BQ15" s="473">
        <f t="shared" si="42"/>
        <v>1380872.8926720002</v>
      </c>
      <c r="BR15" s="41">
        <f>BH24</f>
        <v>39486.720000000001</v>
      </c>
      <c r="BS15" s="25">
        <f t="shared" si="43"/>
        <v>34.970564601769915</v>
      </c>
      <c r="BT15" s="256" t="s">
        <v>19</v>
      </c>
      <c r="BU15" s="130" t="s">
        <v>22</v>
      </c>
      <c r="BV15" s="484" t="s">
        <v>78</v>
      </c>
      <c r="BW15" s="486" t="s">
        <v>78</v>
      </c>
      <c r="BX15" s="24">
        <f>$AS$15</f>
        <v>1040355.8119739708</v>
      </c>
      <c r="BY15" s="24">
        <f>$AS$14</f>
        <v>225444.33964202928</v>
      </c>
      <c r="BZ15" s="24">
        <f>$AS$13</f>
        <v>115072.74105600001</v>
      </c>
      <c r="CA15" s="24">
        <f t="shared" si="44"/>
        <v>1380872.8926720002</v>
      </c>
      <c r="CB15" s="19">
        <f>$BH$15</f>
        <v>29749.47141463415</v>
      </c>
      <c r="CC15" s="19">
        <f>$BH$14</f>
        <v>6446.6885853658541</v>
      </c>
      <c r="CD15" s="19">
        <f>$BH$13</f>
        <v>3290.56</v>
      </c>
      <c r="CE15" s="19">
        <f t="shared" si="45"/>
        <v>39486.720000000001</v>
      </c>
      <c r="CF15" s="25">
        <f t="shared" si="46"/>
        <v>34.970564601769915</v>
      </c>
      <c r="CG15" s="56">
        <f t="shared" si="47"/>
        <v>0.157</v>
      </c>
      <c r="CH15" s="56">
        <f t="shared" si="47"/>
        <v>0.161</v>
      </c>
      <c r="CI15" s="56">
        <f t="shared" si="47"/>
        <v>0.54800000000000004</v>
      </c>
      <c r="CJ15" s="24" t="e">
        <f>'NIRO 4.5|KSLD 4.1'!AN15/12*$E$6*1000+'NIRO 13.5|KSLD 7.0'!AN15/12*$E$8*1000+'NIRO 15|KSLD 5.5'!AN15/12*$E$10*1000+'NIRO 21.5'!AN15/12*$E$4*1000</f>
        <v>#REF!</v>
      </c>
      <c r="CK15" s="24" t="e">
        <f>'NIRO 4.5|KSLD 4.1'!AO15/12*$E$5*1000+'NIRO 13.5|KSLD 7.0'!AO15/12*$E$7*1000+'NIRO 15|KSLD 5.5'!AO15/12*$E$9*1000</f>
        <v>#REF!</v>
      </c>
      <c r="CL15" s="24" t="e">
        <f>'KSHD 6.0'!AP15/12*$E$3*1000</f>
        <v>#REF!</v>
      </c>
      <c r="CM15" s="473" t="e">
        <f t="shared" si="48"/>
        <v>#REF!</v>
      </c>
      <c r="CN15" s="474" t="e">
        <f t="shared" si="49"/>
        <v>#REF!</v>
      </c>
      <c r="CO15" s="487" t="e">
        <f t="shared" si="50"/>
        <v>#REF!</v>
      </c>
      <c r="CP15" s="24" t="e">
        <f t="shared" si="51"/>
        <v>#REF!</v>
      </c>
      <c r="CQ15" s="24" t="e">
        <f t="shared" si="51"/>
        <v>#REF!</v>
      </c>
      <c r="CR15" s="24" t="e">
        <f t="shared" si="51"/>
        <v>#REF!</v>
      </c>
    </row>
    <row r="16" spans="1:96" ht="17.25">
      <c r="A16" s="470" t="s">
        <v>371</v>
      </c>
      <c r="B16" s="143"/>
      <c r="C16" s="143"/>
      <c r="D16" s="144"/>
      <c r="E16" s="143"/>
      <c r="F16" s="464">
        <f>SUM(F13:F15)</f>
        <v>236000</v>
      </c>
      <c r="G16" s="468">
        <f>F16/$F$16</f>
        <v>1</v>
      </c>
      <c r="I16" s="469" t="e">
        <f>(I13*$F13+I14*$F14+I15*$F15)/$F16</f>
        <v>#REF!</v>
      </c>
      <c r="J16" s="469">
        <f>(J13*$F13+J14*$F14+J15*$F15)/$F16</f>
        <v>5.5413446513541617E-2</v>
      </c>
      <c r="K16" s="469" t="e">
        <f>(K13*$F13+K14*$F14+K15*$F15)/$F16</f>
        <v>#REF!</v>
      </c>
      <c r="L16" s="469" t="e">
        <f>(L13*$F13+L14*$F14+L15*$F15)/$F16</f>
        <v>#REF!</v>
      </c>
      <c r="M16" s="469" t="e">
        <f>(M13*$F13+M14*$F14+M15*$F15)/$F16</f>
        <v>#REF!</v>
      </c>
      <c r="V16" s="454">
        <f>W16/$F16</f>
        <v>9.7457621186440666E-3</v>
      </c>
      <c r="W16" s="455">
        <f>SUM(W13:W15)</f>
        <v>2299.9998599999999</v>
      </c>
      <c r="X16" s="454">
        <f>Y16/$F16</f>
        <v>8.4745762711864404E-4</v>
      </c>
      <c r="Y16" s="455">
        <f>SUM(Y13:Y15)</f>
        <v>200</v>
      </c>
      <c r="Z16" s="454">
        <f>AA16/$F16</f>
        <v>3.1779661016949155E-3</v>
      </c>
      <c r="AA16" s="455">
        <f>SUM(AA13:AA15)</f>
        <v>750</v>
      </c>
      <c r="AB16" s="454">
        <f>AC16/$F16</f>
        <v>1.6478621045333798E-2</v>
      </c>
      <c r="AC16" s="455">
        <f>SUM(AC13:AC15)</f>
        <v>3888.9545666987765</v>
      </c>
      <c r="AD16" s="454">
        <f>AE16/$F16</f>
        <v>5.8511563248813568E-3</v>
      </c>
      <c r="AE16" s="455">
        <f>SUM(AE13:AE15)</f>
        <v>1380.8728926720003</v>
      </c>
      <c r="AF16" s="454">
        <f>AG16/$F16</f>
        <v>9.9703216856993418E-3</v>
      </c>
      <c r="AG16" s="455">
        <f>SUM(AG13:AG15)</f>
        <v>2352.9959178250447</v>
      </c>
      <c r="AH16" s="454">
        <f>AI16/$F16</f>
        <v>1.5667372881355932E-3</v>
      </c>
      <c r="AI16" s="455">
        <f>SUM(AI13:AI15)</f>
        <v>369.75</v>
      </c>
      <c r="AK16" s="462" t="e">
        <f>SUM(AK13:AK15)</f>
        <v>#REF!</v>
      </c>
      <c r="AM16" s="462">
        <f t="shared" ref="AM16:AZ16" si="54">SUM(AM13:AM15)</f>
        <v>3233716</v>
      </c>
      <c r="AN16" s="462">
        <f t="shared" si="54"/>
        <v>3816669.916666667</v>
      </c>
      <c r="AO16" s="462">
        <f t="shared" si="54"/>
        <v>2299999.86</v>
      </c>
      <c r="AP16" s="462">
        <f t="shared" si="54"/>
        <v>200000</v>
      </c>
      <c r="AQ16" s="462">
        <f t="shared" si="54"/>
        <v>750000</v>
      </c>
      <c r="AR16" s="462">
        <f t="shared" si="54"/>
        <v>3888954.566698777</v>
      </c>
      <c r="AS16" s="462">
        <f t="shared" si="54"/>
        <v>1380872.8926720002</v>
      </c>
      <c r="AT16" s="462">
        <f t="shared" si="54"/>
        <v>2352995.9178250446</v>
      </c>
      <c r="AU16" s="462">
        <f t="shared" si="54"/>
        <v>369750</v>
      </c>
      <c r="AV16" s="462">
        <f t="shared" si="54"/>
        <v>285000</v>
      </c>
      <c r="AW16" s="462">
        <f t="shared" si="54"/>
        <v>4800000</v>
      </c>
      <c r="AX16" s="462">
        <f t="shared" si="54"/>
        <v>23377959.153862488</v>
      </c>
      <c r="AY16" s="259"/>
      <c r="AZ16" s="462" t="e">
        <f t="shared" si="54"/>
        <v>#REF!</v>
      </c>
      <c r="BB16" s="464">
        <f t="shared" ref="BB16" si="55">SUM(BB13:BB15)</f>
        <v>46770400</v>
      </c>
      <c r="BC16" s="464">
        <f t="shared" ref="BC16" si="56">SUM(BC13:BC15)</f>
        <v>944440000</v>
      </c>
      <c r="BD16" s="464">
        <f t="shared" ref="BD16" si="57">SUM(BD13:BD15)</f>
        <v>236000000</v>
      </c>
      <c r="BE16" s="464">
        <f t="shared" ref="BE16" si="58">SUM(BE13:BE15)</f>
        <v>236000000</v>
      </c>
      <c r="BF16" s="464">
        <f t="shared" ref="BF16" si="59">SUM(BF13:BF15)</f>
        <v>236000000</v>
      </c>
      <c r="BG16" s="464">
        <f t="shared" ref="BG16" si="60">SUM(BG13:BG15)</f>
        <v>120667.29999999999</v>
      </c>
      <c r="BH16" s="464">
        <f t="shared" ref="BH16" si="61">SUM(BH13:BH15)</f>
        <v>39486.720000000001</v>
      </c>
      <c r="BI16" s="464">
        <f t="shared" ref="BI16" si="62">SUM(BI13:BI15)</f>
        <v>120667.3</v>
      </c>
      <c r="BJ16" s="464">
        <f t="shared" ref="BJ16" si="63">SUM(BJ13:BJ15)</f>
        <v>236000000</v>
      </c>
      <c r="BK16" s="464">
        <f t="shared" ref="BK16" si="64">SUM(BK13:BK15)</f>
        <v>236000000</v>
      </c>
      <c r="BL16" s="464">
        <f t="shared" ref="BL16" si="65">SUM(BL13:BL15)</f>
        <v>236000000</v>
      </c>
      <c r="BN16" s="482" t="s">
        <v>353</v>
      </c>
      <c r="BO16" s="24">
        <f>AT$11</f>
        <v>2352995.9178250446</v>
      </c>
      <c r="BP16" s="24">
        <f>AT$22</f>
        <v>71905.916666666657</v>
      </c>
      <c r="BQ16" s="473">
        <f t="shared" si="42"/>
        <v>2424901.8344917111</v>
      </c>
      <c r="BR16" s="41">
        <f>BI24</f>
        <v>124354.8</v>
      </c>
      <c r="BS16" s="25">
        <f t="shared" si="43"/>
        <v>19.499865180047021</v>
      </c>
      <c r="BT16" s="256" t="s">
        <v>19</v>
      </c>
      <c r="BU16" s="130" t="s">
        <v>24</v>
      </c>
      <c r="BV16" s="484" t="s">
        <v>78</v>
      </c>
      <c r="BW16" s="486" t="s">
        <v>78</v>
      </c>
      <c r="BX16" s="24">
        <f>$AT$15</f>
        <v>1769041.5372493523</v>
      </c>
      <c r="BY16" s="24">
        <f>$AT$14</f>
        <v>383707.35400318197</v>
      </c>
      <c r="BZ16" s="24">
        <f>$AT$13</f>
        <v>200247.02657251022</v>
      </c>
      <c r="CA16" s="24">
        <f t="shared" si="44"/>
        <v>2352995.9178250446</v>
      </c>
      <c r="CB16" s="19">
        <f>$BI$15</f>
        <v>90720.712378048789</v>
      </c>
      <c r="CC16" s="19">
        <f>$BI$14</f>
        <v>19677.437621951216</v>
      </c>
      <c r="CD16" s="19">
        <f>$BI$13</f>
        <v>10269.15</v>
      </c>
      <c r="CE16" s="19">
        <f t="shared" si="45"/>
        <v>120667.3</v>
      </c>
      <c r="CF16" s="25">
        <f t="shared" si="46"/>
        <v>19.499863822469258</v>
      </c>
      <c r="CG16" s="56">
        <f t="shared" si="47"/>
        <v>0.47699999999999998</v>
      </c>
      <c r="CH16" s="56">
        <f t="shared" si="47"/>
        <v>0.49199999999999999</v>
      </c>
      <c r="CI16" s="56">
        <f t="shared" si="47"/>
        <v>1.712</v>
      </c>
      <c r="CJ16" s="24" t="e">
        <f>'NIRO 4.5|KSLD 4.1'!AN16/12*$E$6*1000+'NIRO 13.5|KSLD 7.0'!AN16/12*$E$8*1000+'NIRO 15|KSLD 5.5'!AN16/12*$E$10*1000+'NIRO 21.5'!AN16/12*$E$4*1000</f>
        <v>#REF!</v>
      </c>
      <c r="CK16" s="24" t="e">
        <f>'NIRO 4.5|KSLD 4.1'!AO16/12*$E$5*1000+'NIRO 13.5|KSLD 7.0'!AO16/12*$E$7*1000+'NIRO 15|KSLD 5.5'!AO16/12*$E$9*1000</f>
        <v>#REF!</v>
      </c>
      <c r="CL16" s="24" t="e">
        <f>'KSHD 6.0'!AP16/12*$E$3*1000</f>
        <v>#REF!</v>
      </c>
      <c r="CM16" s="473" t="e">
        <f t="shared" si="48"/>
        <v>#REF!</v>
      </c>
      <c r="CN16" s="474" t="e">
        <f t="shared" si="49"/>
        <v>#REF!</v>
      </c>
      <c r="CO16" s="487" t="e">
        <f t="shared" si="50"/>
        <v>#REF!</v>
      </c>
      <c r="CP16" s="24" t="e">
        <f t="shared" si="51"/>
        <v>#REF!</v>
      </c>
      <c r="CQ16" s="24" t="e">
        <f t="shared" si="51"/>
        <v>#REF!</v>
      </c>
      <c r="CR16" s="24" t="e">
        <f t="shared" si="51"/>
        <v>#REF!</v>
      </c>
    </row>
    <row r="17" spans="1:96" ht="17.25">
      <c r="N17" s="458"/>
      <c r="AB17" s="459" t="s">
        <v>361</v>
      </c>
      <c r="AC17" s="461">
        <v>2657.8510670204096</v>
      </c>
      <c r="AD17" s="459" t="s">
        <v>361</v>
      </c>
      <c r="AE17" s="461">
        <v>1103.1462623999998</v>
      </c>
      <c r="AF17" s="459" t="s">
        <v>361</v>
      </c>
      <c r="AG17" s="461">
        <v>1671.3306079536771</v>
      </c>
      <c r="AH17" s="459" t="s">
        <v>361</v>
      </c>
      <c r="AI17" s="461">
        <v>362.5</v>
      </c>
      <c r="BN17" s="482" t="s">
        <v>25</v>
      </c>
      <c r="BO17" s="24">
        <f>AU$11</f>
        <v>369750</v>
      </c>
      <c r="BP17" s="24">
        <f>AU$22</f>
        <v>0</v>
      </c>
      <c r="BQ17" s="473">
        <f t="shared" si="42"/>
        <v>369750</v>
      </c>
      <c r="BR17" s="41">
        <f>BJ24</f>
        <v>236000000</v>
      </c>
      <c r="BS17" s="25">
        <f t="shared" si="43"/>
        <v>1.5667372881355932E-3</v>
      </c>
      <c r="BT17" s="256" t="s">
        <v>12</v>
      </c>
      <c r="BU17" s="130" t="s">
        <v>26</v>
      </c>
      <c r="BV17" s="484" t="s">
        <v>99</v>
      </c>
      <c r="BW17" s="486">
        <v>1</v>
      </c>
      <c r="BX17" s="24">
        <f>$AU$15</f>
        <v>278571.30335365853</v>
      </c>
      <c r="BY17" s="24">
        <f>$AU$14</f>
        <v>60366.196646341457</v>
      </c>
      <c r="BZ17" s="24">
        <f>$AU$13</f>
        <v>30812.5</v>
      </c>
      <c r="CA17" s="24">
        <f t="shared" si="44"/>
        <v>369750</v>
      </c>
      <c r="CB17" s="19">
        <f>$BJ$15</f>
        <v>190000000</v>
      </c>
      <c r="CC17" s="19">
        <f>$BJ$14</f>
        <v>40000000</v>
      </c>
      <c r="CD17" s="19">
        <f>$BJ$13</f>
        <v>6000000</v>
      </c>
      <c r="CE17" s="19">
        <f t="shared" si="45"/>
        <v>236000000</v>
      </c>
      <c r="CF17" s="25">
        <f t="shared" si="46"/>
        <v>1.5667372881355932E-3</v>
      </c>
      <c r="CG17" s="56">
        <f t="shared" si="47"/>
        <v>1000</v>
      </c>
      <c r="CH17" s="56">
        <f t="shared" si="47"/>
        <v>1000</v>
      </c>
      <c r="CI17" s="56">
        <f t="shared" si="47"/>
        <v>1000</v>
      </c>
      <c r="CJ17" s="24" t="e">
        <f>'NIRO 4.5|KSLD 4.1'!AN17/12*$E$6*1000+'NIRO 13.5|KSLD 7.0'!AN17/12*$E$8*1000+'NIRO 15|KSLD 5.5'!AN17/12*$E$10*1000+'NIRO 21.5'!AN17/12*$E$4*1000</f>
        <v>#REF!</v>
      </c>
      <c r="CK17" s="24" t="e">
        <f>'NIRO 4.5|KSLD 4.1'!AO17/12*$E$5*1000+'NIRO 13.5|KSLD 7.0'!AO17/12*$E$7*1000+'NIRO 15|KSLD 5.5'!AO17/12*$E$9*1000</f>
        <v>#REF!</v>
      </c>
      <c r="CL17" s="24" t="e">
        <f>'KSHD 6.0'!AP17/12*$E$3*1000</f>
        <v>#REF!</v>
      </c>
      <c r="CM17" s="473" t="e">
        <f t="shared" si="48"/>
        <v>#REF!</v>
      </c>
      <c r="CN17" s="474" t="e">
        <f t="shared" si="49"/>
        <v>#REF!</v>
      </c>
      <c r="CO17" s="487" t="e">
        <f t="shared" si="50"/>
        <v>#REF!</v>
      </c>
      <c r="CP17" s="24" t="e">
        <f t="shared" si="51"/>
        <v>#REF!</v>
      </c>
      <c r="CQ17" s="24" t="e">
        <f t="shared" si="51"/>
        <v>#REF!</v>
      </c>
      <c r="CR17" s="24" t="e">
        <f t="shared" si="51"/>
        <v>#REF!</v>
      </c>
    </row>
    <row r="18" spans="1:96" ht="17.25">
      <c r="A18" s="374"/>
      <c r="B18" s="306" t="s">
        <v>107</v>
      </c>
      <c r="C18" s="306" t="s">
        <v>310</v>
      </c>
      <c r="D18" s="306" t="s">
        <v>311</v>
      </c>
      <c r="E18" s="436" t="s">
        <v>282</v>
      </c>
      <c r="F18" s="306" t="s">
        <v>177</v>
      </c>
      <c r="G18" s="306" t="s">
        <v>159</v>
      </c>
      <c r="I18" s="1061" t="s">
        <v>417</v>
      </c>
      <c r="J18" s="1061"/>
      <c r="K18" s="499" t="s">
        <v>194</v>
      </c>
      <c r="L18" s="499" t="s">
        <v>177</v>
      </c>
      <c r="M18" s="499" t="s">
        <v>282</v>
      </c>
      <c r="N18" s="458"/>
      <c r="AB18" s="459" t="s">
        <v>362</v>
      </c>
      <c r="AC18" s="461">
        <f>AC16-AC17</f>
        <v>1231.1034996783669</v>
      </c>
      <c r="AD18" s="459" t="s">
        <v>363</v>
      </c>
      <c r="AE18" s="461">
        <f>AE16-AE17</f>
        <v>277.72663027200042</v>
      </c>
      <c r="AF18" s="459" t="s">
        <v>365</v>
      </c>
      <c r="AG18" s="461">
        <f>AG16-AG17</f>
        <v>681.66530987136753</v>
      </c>
      <c r="AH18" s="459" t="s">
        <v>364</v>
      </c>
      <c r="AI18" s="461">
        <f>AI16-AI17</f>
        <v>7.25</v>
      </c>
      <c r="BN18" s="482" t="s">
        <v>383</v>
      </c>
      <c r="BO18" s="24">
        <f>AV$11</f>
        <v>285000</v>
      </c>
      <c r="BP18" s="24">
        <f>AV$22</f>
        <v>0</v>
      </c>
      <c r="BQ18" s="473">
        <f t="shared" si="42"/>
        <v>285000</v>
      </c>
      <c r="BR18" s="41">
        <f>BK24</f>
        <v>236000000</v>
      </c>
      <c r="BS18" s="25">
        <f t="shared" si="43"/>
        <v>1.2076271186440678E-3</v>
      </c>
      <c r="BT18" s="256" t="s">
        <v>12</v>
      </c>
      <c r="BU18" s="130" t="s">
        <v>28</v>
      </c>
      <c r="BV18" s="484" t="s">
        <v>78</v>
      </c>
      <c r="BW18" s="486" t="s">
        <v>78</v>
      </c>
      <c r="BX18" s="24">
        <f>$AV$15</f>
        <v>214720.2743902439</v>
      </c>
      <c r="BY18" s="24">
        <f>$AV$14</f>
        <v>46529.725609756089</v>
      </c>
      <c r="BZ18" s="24">
        <f>$AV$13</f>
        <v>23750</v>
      </c>
      <c r="CA18" s="24">
        <f t="shared" si="44"/>
        <v>285000</v>
      </c>
      <c r="CB18" s="19">
        <f>$BK$15</f>
        <v>190000000</v>
      </c>
      <c r="CC18" s="19">
        <f>$BK$14</f>
        <v>40000000</v>
      </c>
      <c r="CD18" s="19">
        <f>$BK$13</f>
        <v>6000000</v>
      </c>
      <c r="CE18" s="19">
        <f t="shared" si="45"/>
        <v>236000000</v>
      </c>
      <c r="CF18" s="25">
        <f t="shared" si="46"/>
        <v>1.2076271186440678E-3</v>
      </c>
      <c r="CG18" s="56">
        <f t="shared" ref="CG18:CG19" si="66">ROUND(CB18/BX$24*1000,3)</f>
        <v>1000</v>
      </c>
      <c r="CH18" s="56">
        <f t="shared" ref="CH18:CH19" si="67">ROUND(CC18/BY$24*1000,3)</f>
        <v>1000</v>
      </c>
      <c r="CI18" s="56">
        <f t="shared" ref="CI18:CI19" si="68">ROUND(CD18/BZ$24*1000,3)</f>
        <v>1000</v>
      </c>
      <c r="CJ18" s="24" t="e">
        <f>'NIRO 4.5|KSLD 4.1'!AN18/12*$E$6*1000+'NIRO 13.5|KSLD 7.0'!AN18/12*$E$8*1000+'NIRO 15|KSLD 5.5'!AN18/12*$E$10*1000+'NIRO 21.5'!AN18/12*$E$4*1000</f>
        <v>#REF!</v>
      </c>
      <c r="CK18" s="24" t="e">
        <f>'NIRO 4.5|KSLD 4.1'!AO18/12*$E$5*1000+'NIRO 13.5|KSLD 7.0'!AO18/12*$E$7*1000+'NIRO 15|KSLD 5.5'!AO18/12*$E$9*1000</f>
        <v>#REF!</v>
      </c>
      <c r="CL18" s="24" t="e">
        <f>'KSHD 6.0'!AP18/12*$E$3*1000</f>
        <v>#REF!</v>
      </c>
      <c r="CM18" s="473" t="e">
        <f t="shared" si="48"/>
        <v>#REF!</v>
      </c>
      <c r="CN18" s="474" t="e">
        <f t="shared" si="49"/>
        <v>#REF!</v>
      </c>
      <c r="CO18" s="487" t="e">
        <f t="shared" si="50"/>
        <v>#REF!</v>
      </c>
      <c r="CP18" s="24" t="e">
        <f t="shared" si="51"/>
        <v>#REF!</v>
      </c>
      <c r="CQ18" s="24" t="e">
        <f t="shared" si="51"/>
        <v>#REF!</v>
      </c>
      <c r="CR18" s="24" t="e">
        <f t="shared" si="51"/>
        <v>#REF!</v>
      </c>
    </row>
    <row r="19" spans="1:96" ht="17.25">
      <c r="A19" s="371" t="s">
        <v>323</v>
      </c>
      <c r="B19" s="1027" t="s">
        <v>312</v>
      </c>
      <c r="C19" s="1027"/>
      <c r="D19" s="1027"/>
      <c r="E19" s="437"/>
      <c r="I19" s="1057" t="s">
        <v>4</v>
      </c>
      <c r="J19" s="1057"/>
      <c r="K19" s="494" t="e">
        <f>IF(K$36&lt;&gt;0,BX50/K$36/1000,0)</f>
        <v>#REF!</v>
      </c>
      <c r="L19" s="494" t="e">
        <f>IF(L$36&lt;&gt;0,BY50/L$36/1000,0)</f>
        <v>#REF!</v>
      </c>
      <c r="M19" s="494" t="e">
        <f>IF(M$36&lt;&gt;0,BZ50/M$36/1000,0)</f>
        <v>#REF!</v>
      </c>
      <c r="AB19" s="131"/>
      <c r="AC19" s="131"/>
      <c r="AD19" s="131"/>
      <c r="AE19" s="131"/>
      <c r="AF19" s="131"/>
      <c r="AG19" s="131"/>
      <c r="AH19" s="459" t="s">
        <v>366</v>
      </c>
      <c r="AI19" s="160">
        <f>AI18+AC18+AE18+AG18</f>
        <v>2197.7454398217351</v>
      </c>
      <c r="BN19" s="482" t="s">
        <v>29</v>
      </c>
      <c r="BO19" s="28">
        <f>AW$11</f>
        <v>4800000</v>
      </c>
      <c r="BP19" s="28">
        <f>AW$22</f>
        <v>0</v>
      </c>
      <c r="BQ19" s="475">
        <f t="shared" si="42"/>
        <v>4800000</v>
      </c>
      <c r="BR19" s="41">
        <f>BL24</f>
        <v>236000000</v>
      </c>
      <c r="BS19" s="25">
        <f t="shared" si="43"/>
        <v>2.0338983050847456E-2</v>
      </c>
      <c r="BT19" s="256" t="s">
        <v>12</v>
      </c>
      <c r="BU19" s="130" t="s">
        <v>30</v>
      </c>
      <c r="BV19" s="484" t="s">
        <v>78</v>
      </c>
      <c r="BW19" s="486" t="s">
        <v>78</v>
      </c>
      <c r="BX19" s="28">
        <f>$AW$15</f>
        <v>2425820.1219512196</v>
      </c>
      <c r="BY19" s="28">
        <f>$AW$14</f>
        <v>1974179.8780487804</v>
      </c>
      <c r="BZ19" s="28">
        <f>$AW$13</f>
        <v>400000</v>
      </c>
      <c r="CA19" s="28">
        <f t="shared" si="44"/>
        <v>4800000</v>
      </c>
      <c r="CB19" s="19">
        <f>$BL$15</f>
        <v>129234375</v>
      </c>
      <c r="CC19" s="19">
        <f>$BL$14</f>
        <v>100765624.99999999</v>
      </c>
      <c r="CD19" s="19">
        <f>$BL$13</f>
        <v>6000000</v>
      </c>
      <c r="CE19" s="19">
        <f t="shared" si="45"/>
        <v>236000000</v>
      </c>
      <c r="CF19" s="25">
        <f t="shared" si="46"/>
        <v>2.0338983050847456E-2</v>
      </c>
      <c r="CG19" s="56">
        <f t="shared" si="66"/>
        <v>680.18100000000004</v>
      </c>
      <c r="CH19" s="56">
        <f t="shared" si="67"/>
        <v>2519.1410000000001</v>
      </c>
      <c r="CI19" s="56">
        <f t="shared" si="68"/>
        <v>1000</v>
      </c>
      <c r="CJ19" s="28" t="e">
        <f>'NIRO 4.5|KSLD 4.1'!AN19/12*$E$6*1000+'NIRO 13.5|KSLD 7.0'!AN19/12*$E$8*1000+'NIRO 15|KSLD 5.5'!AN19/12*$E$10*1000+'NIRO 21.5'!AN19/12*$E$4*1000</f>
        <v>#REF!</v>
      </c>
      <c r="CK19" s="28" t="e">
        <f>'NIRO 4.5|KSLD 4.1'!AO19/12*$E$5*1000+'NIRO 13.5|KSLD 7.0'!AO19/12*$E$7*1000+'NIRO 15|KSLD 5.5'!AO19/12*$E$9*1000</f>
        <v>#REF!</v>
      </c>
      <c r="CL19" s="28" t="e">
        <f>'KSHD 6.0'!AP19/12*$E$3*1000</f>
        <v>#REF!</v>
      </c>
      <c r="CM19" s="475" t="e">
        <f t="shared" si="48"/>
        <v>#REF!</v>
      </c>
      <c r="CN19" s="476" t="e">
        <f t="shared" si="49"/>
        <v>#REF!</v>
      </c>
      <c r="CO19" s="487" t="e">
        <f t="shared" si="50"/>
        <v>#REF!</v>
      </c>
      <c r="CP19" s="28" t="e">
        <f t="shared" si="51"/>
        <v>#REF!</v>
      </c>
      <c r="CQ19" s="28" t="e">
        <f t="shared" si="51"/>
        <v>#REF!</v>
      </c>
      <c r="CR19" s="28" t="e">
        <f t="shared" si="51"/>
        <v>#REF!</v>
      </c>
    </row>
    <row r="20" spans="1:96" ht="17.25">
      <c r="A20" s="17" t="s">
        <v>389</v>
      </c>
      <c r="B20" s="366" t="e">
        <f>SUM(C20:D20)</f>
        <v>#REF!</v>
      </c>
      <c r="C20" s="366" t="e">
        <f>'KSHD 6.0'!O37*$E$3+'NIRO 21.5'!O37*$E$4+'NIRO 4.5|KSLD 4.1'!O37*$E$5+'NIRO 13.5|KSLD 7.0'!O37*$E$7+'NIRO 15|KSLD 5.5'!O37*$E$9</f>
        <v>#REF!</v>
      </c>
      <c r="D20" s="366" t="e">
        <f>'KSHD 6.0'!P37*$E$3+'NIRO 21.5'!P37*$E$4+'NIRO 4.5|KSLD 4.1'!P37*$E$5+'NIRO 13.5|KSLD 7.0'!P37*$E$7+'NIRO 15|KSLD 5.5'!P37*$E$9</f>
        <v>#REF!</v>
      </c>
      <c r="E20" s="438" t="e">
        <f>($F13*$K13)-E21</f>
        <v>#REF!</v>
      </c>
      <c r="F20" s="366" t="e">
        <f>($F14*$K14)-F21</f>
        <v>#REF!</v>
      </c>
      <c r="G20" s="366" t="e">
        <f>($F15*$K15)-G21</f>
        <v>#REF!</v>
      </c>
      <c r="I20" s="1057" t="s">
        <v>5</v>
      </c>
      <c r="J20" s="1057"/>
      <c r="K20" s="493">
        <f t="shared" ref="K20:L20" si="69">IF(K$36&lt;&gt;0,BX7/K$36/1000,0)</f>
        <v>5.644520175438596E-3</v>
      </c>
      <c r="L20" s="493">
        <f t="shared" si="69"/>
        <v>4.635952916666667E-2</v>
      </c>
      <c r="M20" s="493">
        <f>IF(M$36&lt;&gt;0,BZ7/M$36/1000,0)</f>
        <v>5.1146000000000004E-2</v>
      </c>
      <c r="AB20" s="460"/>
      <c r="AC20" s="131"/>
      <c r="AD20" s="131"/>
      <c r="AE20" s="131"/>
      <c r="AF20" s="131"/>
      <c r="AG20" s="131"/>
      <c r="AH20" s="459" t="s">
        <v>368</v>
      </c>
      <c r="AI20" s="461">
        <v>2043</v>
      </c>
      <c r="BN20" s="482" t="s">
        <v>396</v>
      </c>
      <c r="BO20" s="32">
        <f>SUM(BO14:BO19)</f>
        <v>13077573.377195822</v>
      </c>
      <c r="BP20" s="32">
        <f>SUM(BP14:BP19)</f>
        <v>190749.25</v>
      </c>
      <c r="BQ20" s="478">
        <f>SUM(BQ14:BQ19)</f>
        <v>13268322.627195822</v>
      </c>
      <c r="BR20" s="19"/>
      <c r="BS20" s="19"/>
      <c r="BT20" s="265"/>
      <c r="BU20" s="21"/>
      <c r="BV20" s="125"/>
      <c r="BW20" s="127"/>
      <c r="BX20" s="32">
        <f>SUM(BX14:BX19)</f>
        <v>8652322.9462773744</v>
      </c>
      <c r="BY20" s="32">
        <f>SUM(BY14:BY19)</f>
        <v>3324406.4380452791</v>
      </c>
      <c r="BZ20" s="32">
        <f>SUM(BZ14:BZ19)</f>
        <v>1100843.9928731686</v>
      </c>
      <c r="CA20" s="32">
        <f>SUM(CA14:CA19)</f>
        <v>13077573.377195822</v>
      </c>
      <c r="CB20" s="19"/>
      <c r="CC20" s="19"/>
      <c r="CD20" s="19"/>
      <c r="CE20" s="19"/>
      <c r="CF20" s="19"/>
      <c r="CG20" s="19"/>
      <c r="CH20" s="19"/>
      <c r="CI20" s="19"/>
      <c r="CJ20" s="32" t="e">
        <f>SUM(CJ14:CJ19)</f>
        <v>#REF!</v>
      </c>
      <c r="CK20" s="32" t="e">
        <f>SUM(CK14:CK19)</f>
        <v>#REF!</v>
      </c>
      <c r="CL20" s="32" t="e">
        <f>SUM(CL14:CL19)</f>
        <v>#REF!</v>
      </c>
      <c r="CM20" s="478" t="e">
        <f>SUM(CM14:CM19)</f>
        <v>#REF!</v>
      </c>
      <c r="CN20" s="478" t="e">
        <f>SUM(CN14:CN19)</f>
        <v>#REF!</v>
      </c>
      <c r="CO20" s="151"/>
      <c r="CP20" s="32" t="e">
        <f>SUM(CP14:CP19)</f>
        <v>#REF!</v>
      </c>
      <c r="CQ20" s="32" t="e">
        <f>SUM(CQ14:CQ19)</f>
        <v>#REF!</v>
      </c>
      <c r="CR20" s="32" t="e">
        <f>SUM(CR14:CR19)</f>
        <v>#REF!</v>
      </c>
    </row>
    <row r="21" spans="1:96" ht="16.149999999999999" customHeight="1">
      <c r="A21" s="17" t="s">
        <v>388</v>
      </c>
      <c r="B21" s="367" t="e">
        <f>SUM(C21:D21)</f>
        <v>#REF!</v>
      </c>
      <c r="C21" s="367" t="e">
        <f>'KSHD 6.0'!O38*$E$3+'NIRO 21.5'!O38*$E$4+'NIRO 4.5|KSLD 4.1'!O38*$E$5+'NIRO 13.5|KSLD 7.0'!O38*$E$7+'NIRO 15|KSLD 5.5'!O38*$E$9</f>
        <v>#REF!</v>
      </c>
      <c r="D21" s="367" t="e">
        <f>'KSHD 6.0'!P38*$E$3+'NIRO 21.5'!P38*$E$4+'NIRO 4.5|KSLD 4.1'!P38*$E$5+'NIRO 13.5|KSLD 7.0'!P38*$E$7+'NIRO 15|KSLD 5.5'!P38*$E$9</f>
        <v>#REF!</v>
      </c>
      <c r="E21" s="439" t="e">
        <f>'KSHD 6.0'!AP21/12*$E$3</f>
        <v>#REF!</v>
      </c>
      <c r="F21" s="367" t="e">
        <f>'NIRO 4.5|KSLD 4.1'!AO21/12*$E$5+'NIRO 13.5|KSLD 7.0'!AO21/12*$E$7+'NIRO 15|KSLD 5.5'!AO21/12*$E$9</f>
        <v>#REF!</v>
      </c>
      <c r="G21" s="367" t="e">
        <f>'NIRO 4.5|KSLD 4.1'!AN21/12*$E$6+'NIRO 13.5|KSLD 7.0'!AN21/12*$E$8+'NIRO 15|KSLD 5.5'!AN21/12*$E$10</f>
        <v>#REF!</v>
      </c>
      <c r="I21" s="1057" t="s">
        <v>8</v>
      </c>
      <c r="J21" s="1057"/>
      <c r="K21" s="493">
        <f t="shared" ref="K21" si="70">IF(K$36&lt;&gt;0,BX8/K$36/1000,0)</f>
        <v>1.757311140350877E-2</v>
      </c>
      <c r="L21" s="493">
        <f t="shared" ref="L21" si="71">IF(L$36&lt;&gt;0,BY8/L$36/1000,0)</f>
        <v>1.007329375E-2</v>
      </c>
      <c r="M21" s="493">
        <f>IF(M$36&lt;&gt;0,BZ8/M$36/1000,0)</f>
        <v>1.2474500000000001E-2</v>
      </c>
      <c r="AB21" s="131"/>
      <c r="AC21" s="131"/>
      <c r="AD21" s="131"/>
      <c r="AE21" s="131"/>
      <c r="AF21" s="131"/>
      <c r="AG21" s="131"/>
      <c r="AH21" s="459" t="s">
        <v>367</v>
      </c>
      <c r="AI21" s="462">
        <f>AI19-AI20</f>
        <v>154.74543982173509</v>
      </c>
      <c r="BN21" s="482" t="s">
        <v>397</v>
      </c>
      <c r="BO21" s="247">
        <f>BO12+BO20</f>
        <v>23377959.153862491</v>
      </c>
      <c r="BP21" s="247">
        <f>BP12+BP20</f>
        <v>190749.25</v>
      </c>
      <c r="BQ21" s="247">
        <f>BQ12+BQ20</f>
        <v>23568708.403862491</v>
      </c>
      <c r="BR21" s="19"/>
      <c r="BS21" s="19"/>
      <c r="BT21" s="265"/>
      <c r="BU21" s="2"/>
      <c r="BV21" s="125"/>
      <c r="BW21" s="127"/>
      <c r="BX21" s="33">
        <f>BX12+BX20</f>
        <v>15512237.373321073</v>
      </c>
      <c r="BY21" s="33">
        <f>BY12+BY20</f>
        <v>6112321.4660015805</v>
      </c>
      <c r="BZ21" s="33">
        <f>BZ12+BZ20</f>
        <v>1753400.3145398353</v>
      </c>
      <c r="CA21" s="33">
        <f>CA12+CA20</f>
        <v>23377959.153862491</v>
      </c>
      <c r="CB21" s="19"/>
      <c r="CC21" s="19"/>
      <c r="CD21" s="19"/>
      <c r="CE21" s="19"/>
      <c r="CF21" s="19"/>
      <c r="CG21" s="19"/>
      <c r="CH21" s="19"/>
      <c r="CI21" s="19"/>
      <c r="CJ21" s="33" t="e">
        <f>CJ12+CJ20</f>
        <v>#REF!</v>
      </c>
      <c r="CK21" s="33" t="e">
        <f>CK12+CK20</f>
        <v>#REF!</v>
      </c>
      <c r="CL21" s="33" t="e">
        <f>CL12+CL20</f>
        <v>#REF!</v>
      </c>
      <c r="CM21" s="479" t="e">
        <f>CM12+CM20</f>
        <v>#REF!</v>
      </c>
      <c r="CN21" s="33" t="e">
        <f>CN12+CN20</f>
        <v>#REF!</v>
      </c>
      <c r="CO21" s="151"/>
      <c r="CP21" s="33" t="e">
        <f>CP12+CP20</f>
        <v>#REF!</v>
      </c>
      <c r="CQ21" s="33" t="e">
        <f>CQ12+CQ20</f>
        <v>#REF!</v>
      </c>
      <c r="CR21" s="33" t="e">
        <f>CR12+CR20</f>
        <v>#REF!</v>
      </c>
    </row>
    <row r="22" spans="1:96" ht="17.25">
      <c r="A22" s="17" t="s">
        <v>390</v>
      </c>
      <c r="B22" s="367">
        <f>SUM(C22:D22)</f>
        <v>190.74924999999999</v>
      </c>
      <c r="C22" s="366">
        <v>0</v>
      </c>
      <c r="D22" s="366">
        <f>'KSHD 6.0'!S20/1000/12*E3+'NIRO 21.5'!S20/1000/12*E4+'NIRO 4.5|KSLD 4.1'!S20/1000/12*E5+'NIRO 13.5|KSLD 7.0'!S20/1000/12*E7+'NIRO 15|KSLD 5.5'!S20/1000/12*E9</f>
        <v>190.74924999999999</v>
      </c>
      <c r="E22" s="438">
        <f>'KSHD 6.0'!S20/1000/12*E3</f>
        <v>4.8494999999999999</v>
      </c>
      <c r="F22" s="366">
        <f>'NIRO 4.5|KSLD 4.1'!S20/1000/12*E5/(F5+F6)*F5+'NIRO 13.5|KSLD 7.0'!S20/1000/12*E7/(F7+F8)*F7+'NIRO 15|KSLD 5.5'!S20/1000/12*E9/(F9+F10)*F9</f>
        <v>32.330394613821134</v>
      </c>
      <c r="G22" s="366">
        <f>'NIRO 21.5'!S20/1000/12*E4+'NIRO 4.5|KSLD 4.1'!S20/1000/12*E5/(F5+F6)*F6+'NIRO 13.5|KSLD 7.0'!S20/1000/12*E7/(F7+F8)*F8+'NIRO 15|KSLD 5.5'!S20/1000/12*E9/(F9+F10)*F10</f>
        <v>153.56935538617887</v>
      </c>
      <c r="I22" s="1057" t="s">
        <v>349</v>
      </c>
      <c r="J22" s="1057"/>
      <c r="K22" s="493">
        <f t="shared" ref="K22" si="72">IF(K$36&lt;&gt;0,BX9/K$36/1000,0)</f>
        <v>9.1201588372432588E-3</v>
      </c>
      <c r="L22" s="493">
        <f t="shared" ref="L22" si="73">IF(L$36&lt;&gt;0,BY9/L$36/1000,0)</f>
        <v>9.3875756480945125E-3</v>
      </c>
      <c r="M22" s="493">
        <f>IF(M$36&lt;&gt;0,BZ9/M$36/1000,0)</f>
        <v>3.1944442500000003E-2</v>
      </c>
      <c r="AK22" s="160"/>
      <c r="AM22" s="463">
        <v>0</v>
      </c>
      <c r="AN22" s="463">
        <v>0</v>
      </c>
      <c r="AO22" s="463">
        <v>0</v>
      </c>
      <c r="AP22" s="463">
        <v>0</v>
      </c>
      <c r="AQ22" s="463">
        <v>0</v>
      </c>
      <c r="AR22" s="463">
        <f>'KSHD 6.0'!S14/12*E3+'NIRO 21.5'!S14/12*E4+'NIRO 4.5|KSLD 4.1'!S14/12*E5+'NIRO 13.5|KSLD 7.0'!S14/12*E7+'NIRO 15|KSLD 5.5'!S14/12*E9</f>
        <v>118843.33333333334</v>
      </c>
      <c r="AS22" s="463">
        <v>0</v>
      </c>
      <c r="AT22" s="463">
        <f>'KSHD 6.0'!S16/12*E3+'NIRO 21.5'!S16/12*E4+'NIRO 4.5|KSLD 4.1'!S16/12*E5+'NIRO 13.5|KSLD 7.0'!S16/12*E7+'NIRO 15|KSLD 5.5'!S16/12*E9</f>
        <v>71905.916666666657</v>
      </c>
      <c r="AU22" s="463">
        <v>0</v>
      </c>
      <c r="AV22" s="463">
        <v>0</v>
      </c>
      <c r="AW22" s="463">
        <v>0</v>
      </c>
      <c r="AX22" s="461">
        <f t="shared" ref="AX22" si="74">SUM(AM22:AW22)</f>
        <v>190749.25</v>
      </c>
      <c r="BB22" s="161">
        <v>0</v>
      </c>
      <c r="BC22" s="161">
        <v>0</v>
      </c>
      <c r="BD22" s="161">
        <v>0</v>
      </c>
      <c r="BE22" s="161">
        <v>0</v>
      </c>
      <c r="BF22" s="161">
        <v>0</v>
      </c>
      <c r="BG22" s="161">
        <f>'KSHD 6.0'!B75/12*E3+'NIRO 21.5'!B75/12*E4+'NIRO 4.5|KSLD 4.1'!B75/12*E5+'NIRO 13.5|KSLD 7.0'!B75/12*E7+'NIRO 15|KSLD 5.5'!B75/12*E9</f>
        <v>3687.5</v>
      </c>
      <c r="BH22" s="161">
        <v>0</v>
      </c>
      <c r="BI22" s="161">
        <f>'KSHD 6.0'!B83/12*E3+'NIRO 21.5'!B83/12*E4+'NIRO 4.5|KSLD 4.1'!B83/12*E5+'NIRO 13.5|KSLD 7.0'!B83/12*E7+'NIRO 15|KSLD 5.5'!B83/12*E9</f>
        <v>3687.5</v>
      </c>
      <c r="BJ22" s="161">
        <v>0</v>
      </c>
      <c r="BK22" s="161">
        <v>0</v>
      </c>
      <c r="BL22" s="161">
        <v>0</v>
      </c>
      <c r="BN22" s="467"/>
      <c r="BO22" s="37"/>
      <c r="BP22" s="37"/>
      <c r="BQ22" s="37"/>
      <c r="BR22" s="19"/>
      <c r="BS22" s="19"/>
      <c r="BT22" s="265"/>
      <c r="BU22" s="36"/>
      <c r="BV22" s="1026" t="s">
        <v>31</v>
      </c>
      <c r="BW22" s="1026"/>
      <c r="BX22" s="38">
        <f>ROUND(BX21/BX24,5)</f>
        <v>8.1640000000000004E-2</v>
      </c>
      <c r="BY22" s="38">
        <f>ROUND(BY21/BY24,5)</f>
        <v>0.15281</v>
      </c>
      <c r="BZ22" s="38">
        <f>IF(BZ24&lt;&gt;0,ROUND(BZ21/BZ24,5),0)</f>
        <v>0.29222999999999999</v>
      </c>
      <c r="CA22" s="38">
        <f>ROUND(CA21/CA24,5)</f>
        <v>9.9059999999999995E-2</v>
      </c>
      <c r="CB22" s="19"/>
      <c r="CC22" s="19"/>
      <c r="CD22" s="19"/>
      <c r="CE22" s="19"/>
      <c r="CF22" s="19"/>
      <c r="CG22" s="19"/>
      <c r="CH22" s="19"/>
      <c r="CI22" s="19"/>
      <c r="CJ22" s="2"/>
      <c r="CK22" s="2"/>
      <c r="CL22" s="2"/>
      <c r="CM22" s="2"/>
      <c r="CN22" s="151"/>
      <c r="CO22" s="151"/>
      <c r="CP22" s="151"/>
      <c r="CQ22" s="151"/>
      <c r="CR22" s="151"/>
    </row>
    <row r="23" spans="1:96" ht="16.5">
      <c r="A23" s="17" t="s">
        <v>314</v>
      </c>
      <c r="B23" s="213">
        <f>SUM(C23:D23)</f>
        <v>33.085396000630588</v>
      </c>
      <c r="C23" s="213">
        <f>'KSHD 6.0'!O39*$E$3+'NIRO 21.5'!O39*$E$4+'NIRO 4.5|KSLD 4.1'!O39*$E$5+'NIRO 13.5|KSLD 7.0'!O39*$E$7+'NIRO 15|KSLD 5.5'!O39*$E$9</f>
        <v>33.085396000630588</v>
      </c>
      <c r="D23" s="213">
        <f>'KSHD 6.0'!P39*$E$3+'NIRO 21.5'!P39*$E$4+'NIRO 4.5|KSLD 4.1'!P39*$E$5+'NIRO 13.5|KSLD 7.0'!P39*$E$7+'NIRO 15|KSLD 5.5'!P39*$E$9</f>
        <v>0</v>
      </c>
      <c r="E23" s="440">
        <f>'KSHD 6.0'!O39*$E$3</f>
        <v>33.085396000630588</v>
      </c>
      <c r="F23" s="213">
        <v>0</v>
      </c>
      <c r="G23" s="213">
        <v>0</v>
      </c>
      <c r="I23" s="1057" t="s">
        <v>350</v>
      </c>
      <c r="J23" s="1057"/>
      <c r="K23" s="493">
        <f t="shared" ref="K23:K24" si="75">IF(K$36&lt;&gt;0,BX10/K$36/1000,0)</f>
        <v>7.9305733846812159E-4</v>
      </c>
      <c r="L23" s="493">
        <f t="shared" ref="L23:M24" si="76">IF(L$36&lt;&gt;0,BY10/L$36/1000,0)</f>
        <v>8.1631097560975617E-4</v>
      </c>
      <c r="M23" s="493">
        <f t="shared" si="76"/>
        <v>2.7777777777777783E-3</v>
      </c>
      <c r="BN23" s="467"/>
      <c r="BO23" s="37"/>
      <c r="BP23" s="37"/>
      <c r="BQ23" s="37"/>
      <c r="BR23" s="19"/>
      <c r="BS23" s="19"/>
      <c r="BT23" s="265"/>
      <c r="BU23" s="36"/>
      <c r="BV23" s="1026" t="s">
        <v>32</v>
      </c>
      <c r="BW23" s="1026"/>
      <c r="BX23" s="38" t="e">
        <f>ROUND($AZ$15/BX24,5)</f>
        <v>#REF!</v>
      </c>
      <c r="BY23" s="38" t="e">
        <f>ROUND($AZ$14/BY24,5)</f>
        <v>#REF!</v>
      </c>
      <c r="BZ23" s="38" t="e">
        <f>ROUND($AZ$13/BZ24,5)</f>
        <v>#REF!</v>
      </c>
      <c r="CA23" s="38" t="e">
        <f>ROUND($AZ$16/CA24,5)</f>
        <v>#REF!</v>
      </c>
      <c r="CB23" s="19"/>
      <c r="CC23" s="19"/>
      <c r="CD23" s="19"/>
      <c r="CE23" s="19"/>
      <c r="CF23" s="19"/>
      <c r="CG23" s="19"/>
      <c r="CH23" s="19"/>
      <c r="CI23" s="19"/>
      <c r="CJ23" s="2"/>
      <c r="CK23" s="2"/>
      <c r="CL23" s="2"/>
      <c r="CM23" s="2"/>
      <c r="CN23" s="151"/>
      <c r="CO23" s="151"/>
      <c r="CP23" s="151"/>
      <c r="CQ23" s="151"/>
      <c r="CR23" s="151"/>
    </row>
    <row r="24" spans="1:96" ht="17.25">
      <c r="A24" s="192" t="s">
        <v>3</v>
      </c>
      <c r="B24" s="368" t="e">
        <f t="shared" ref="B24:G24" si="77">SUM(B20:B23)</f>
        <v>#REF!</v>
      </c>
      <c r="C24" s="368" t="e">
        <f t="shared" si="77"/>
        <v>#REF!</v>
      </c>
      <c r="D24" s="368" t="e">
        <f t="shared" si="77"/>
        <v>#REF!</v>
      </c>
      <c r="E24" s="441" t="e">
        <f t="shared" si="77"/>
        <v>#REF!</v>
      </c>
      <c r="F24" s="368" t="e">
        <f t="shared" si="77"/>
        <v>#REF!</v>
      </c>
      <c r="G24" s="368" t="e">
        <f t="shared" si="77"/>
        <v>#REF!</v>
      </c>
      <c r="I24" s="1057" t="s">
        <v>351</v>
      </c>
      <c r="J24" s="1057"/>
      <c r="K24" s="493">
        <f t="shared" si="75"/>
        <v>2.9739650192554556E-3</v>
      </c>
      <c r="L24" s="493">
        <f t="shared" si="76"/>
        <v>3.0611661585365855E-3</v>
      </c>
      <c r="M24" s="493">
        <f t="shared" ref="M24" si="78">IF(M$36&lt;&gt;0,BZ11/M$36/1000,0)</f>
        <v>1.0416666666666666E-2</v>
      </c>
      <c r="AM24" s="462">
        <f t="shared" ref="AM24:AX24" si="79">AM16+AM22</f>
        <v>3233716</v>
      </c>
      <c r="AN24" s="462">
        <f t="shared" si="79"/>
        <v>3816669.916666667</v>
      </c>
      <c r="AO24" s="462">
        <f t="shared" si="79"/>
        <v>2299999.86</v>
      </c>
      <c r="AP24" s="462">
        <f t="shared" si="79"/>
        <v>200000</v>
      </c>
      <c r="AQ24" s="462">
        <f t="shared" si="79"/>
        <v>750000</v>
      </c>
      <c r="AR24" s="462">
        <f t="shared" si="79"/>
        <v>4007797.9000321105</v>
      </c>
      <c r="AS24" s="462">
        <f t="shared" si="79"/>
        <v>1380872.8926720002</v>
      </c>
      <c r="AT24" s="462">
        <f t="shared" si="79"/>
        <v>2424901.8344917111</v>
      </c>
      <c r="AU24" s="462">
        <f t="shared" si="79"/>
        <v>369750</v>
      </c>
      <c r="AV24" s="462">
        <f t="shared" si="79"/>
        <v>285000</v>
      </c>
      <c r="AW24" s="462">
        <f t="shared" si="79"/>
        <v>4800000</v>
      </c>
      <c r="AX24" s="462">
        <f t="shared" si="79"/>
        <v>23568708.403862488</v>
      </c>
      <c r="BB24" s="464">
        <f t="shared" ref="BB24:BL24" si="80">BB16+BB22</f>
        <v>46770400</v>
      </c>
      <c r="BC24" s="464">
        <f t="shared" si="80"/>
        <v>944440000</v>
      </c>
      <c r="BD24" s="464">
        <f t="shared" si="80"/>
        <v>236000000</v>
      </c>
      <c r="BE24" s="464">
        <f t="shared" si="80"/>
        <v>236000000</v>
      </c>
      <c r="BF24" s="464">
        <f t="shared" si="80"/>
        <v>236000000</v>
      </c>
      <c r="BG24" s="464">
        <f t="shared" si="80"/>
        <v>124354.79999999999</v>
      </c>
      <c r="BH24" s="464">
        <f t="shared" si="80"/>
        <v>39486.720000000001</v>
      </c>
      <c r="BI24" s="464">
        <f t="shared" si="80"/>
        <v>124354.8</v>
      </c>
      <c r="BJ24" s="464">
        <f t="shared" si="80"/>
        <v>236000000</v>
      </c>
      <c r="BK24" s="464">
        <f t="shared" si="80"/>
        <v>236000000</v>
      </c>
      <c r="BL24" s="464">
        <f t="shared" si="80"/>
        <v>236000000</v>
      </c>
      <c r="BN24" s="467"/>
      <c r="BO24" s="41"/>
      <c r="BP24" s="41"/>
      <c r="BQ24" s="41"/>
      <c r="BR24" s="19"/>
      <c r="BS24" s="19"/>
      <c r="BT24" s="265"/>
      <c r="BU24" s="5"/>
      <c r="BV24" s="1026" t="s">
        <v>33</v>
      </c>
      <c r="BW24" s="1026"/>
      <c r="BX24" s="41">
        <f>ROUND(F15*1000,0)</f>
        <v>190000000</v>
      </c>
      <c r="BY24" s="41">
        <f>ROUND(F14*1000,0)</f>
        <v>40000000</v>
      </c>
      <c r="BZ24" s="41">
        <f>ROUND(F13*1000,0)</f>
        <v>6000000</v>
      </c>
      <c r="CA24" s="41">
        <f>SUM(BX24:BZ24)</f>
        <v>236000000</v>
      </c>
      <c r="CB24" s="19"/>
      <c r="CC24" s="19"/>
      <c r="CD24" s="19"/>
      <c r="CE24" s="19"/>
      <c r="CF24" s="19"/>
      <c r="CG24" s="19"/>
      <c r="CH24" s="19"/>
      <c r="CI24" s="19"/>
      <c r="CJ24" s="2"/>
      <c r="CK24" s="2"/>
      <c r="CL24" s="2"/>
      <c r="CM24" s="2"/>
      <c r="CN24" s="151"/>
      <c r="CO24" s="151"/>
      <c r="CP24" s="151"/>
      <c r="CQ24" s="151"/>
      <c r="CR24" s="151"/>
    </row>
    <row r="25" spans="1:96" ht="16.5">
      <c r="A25" s="192" t="s">
        <v>317</v>
      </c>
      <c r="B25" s="443">
        <f>SUM(C25:D25)</f>
        <v>-4800</v>
      </c>
      <c r="C25" s="443">
        <f>'KSHD 6.0'!O41*$E$3+'NIRO 21.5'!O41*$E$4+'NIRO 4.5|KSLD 4.1'!O41*$E$5+'NIRO 13.5|KSLD 7.0'!O41*$E$7+'NIRO 15|KSLD 5.5'!O41*$E$9</f>
        <v>0</v>
      </c>
      <c r="D25" s="443">
        <f>'KSHD 6.0'!P41*$E$3+'NIRO 21.5'!P41*$E$4+'NIRO 4.5|KSLD 4.1'!P41*$E$5+'NIRO 13.5|KSLD 7.0'!P41*$E$7+'NIRO 15|KSLD 5.5'!P41*$E$9</f>
        <v>-4800</v>
      </c>
      <c r="E25" s="444">
        <f>-'KSHD 6.0'!AC19/1000/12*E3</f>
        <v>-400</v>
      </c>
      <c r="F25" s="443">
        <f>-('NIRO 4.5|KSLD 4.1'!AB19/12*E5+'NIRO 13.5|KSLD 7.0'!AB19/12*E7+'NIRO 15|KSLD 5.5'!AB19/12*E9)/1000</f>
        <v>-1974.1798780487804</v>
      </c>
      <c r="G25" s="443">
        <f>-('NIRO 21.5'!AA19/12*E4+'NIRO 4.5|KSLD 4.1'!AA19/12*E6+'NIRO 13.5|KSLD 7.0'!AA19/12*E8+'NIRO 15|KSLD 5.5'!AA19/12*E10)/1000</f>
        <v>-2425.8201219512198</v>
      </c>
      <c r="I25" s="1058" t="s">
        <v>395</v>
      </c>
      <c r="J25" s="1058"/>
      <c r="K25" s="495" t="e">
        <f>SUM(K19:K24)</f>
        <v>#REF!</v>
      </c>
      <c r="L25" s="495" t="e">
        <f t="shared" ref="L25" si="81">SUM(L19:L24)</f>
        <v>#REF!</v>
      </c>
      <c r="M25" s="495" t="e">
        <f>SUM(M19:M24)</f>
        <v>#REF!</v>
      </c>
    </row>
    <row r="26" spans="1:96" ht="16.5">
      <c r="A26" s="192" t="s">
        <v>313</v>
      </c>
      <c r="B26" s="370" t="e">
        <f>SUM(B24:B25)</f>
        <v>#REF!</v>
      </c>
      <c r="C26" s="370" t="e">
        <f>SUM(C24:C25)</f>
        <v>#REF!</v>
      </c>
      <c r="D26" s="370" t="e">
        <f>SUM(D24:D25)</f>
        <v>#REF!</v>
      </c>
      <c r="E26" s="442" t="e">
        <f t="shared" ref="E26:G26" si="82">SUM(E24:E25)</f>
        <v>#REF!</v>
      </c>
      <c r="F26" s="370" t="e">
        <f t="shared" si="82"/>
        <v>#REF!</v>
      </c>
      <c r="G26" s="370" t="e">
        <f t="shared" si="82"/>
        <v>#REF!</v>
      </c>
      <c r="I26" s="1057"/>
      <c r="J26" s="1057"/>
      <c r="K26" s="493"/>
      <c r="L26" s="493"/>
      <c r="M26" s="493"/>
    </row>
    <row r="27" spans="1:96">
      <c r="I27" s="1057" t="s">
        <v>18</v>
      </c>
      <c r="J27" s="1057"/>
      <c r="K27" s="493">
        <f t="shared" ref="K27" si="83">IF(K$36&lt;&gt;0,BX14/K$36/1000,0)</f>
        <v>1.5388494196625942E-2</v>
      </c>
      <c r="L27" s="493">
        <f t="shared" ref="L27" si="84">IF(L$36&lt;&gt;0,BY14/L$36/1000,0)</f>
        <v>1.5854473602379751E-2</v>
      </c>
      <c r="M27" s="493">
        <f>IF(M$36&lt;&gt;0,BZ14/M$36/1000,0)</f>
        <v>5.5160287540776363E-2</v>
      </c>
    </row>
    <row r="28" spans="1:96">
      <c r="D28" s="259"/>
      <c r="I28" s="1057" t="s">
        <v>46</v>
      </c>
      <c r="J28" s="1057"/>
      <c r="K28" s="493">
        <f t="shared" ref="K28:K32" si="85">IF(K$36&lt;&gt;0,BX15/K$36/1000,0)</f>
        <v>5.4755569051261627E-3</v>
      </c>
      <c r="L28" s="493">
        <f t="shared" ref="L28:M32" si="86">IF(L$36&lt;&gt;0,BY15/L$36/1000,0)</f>
        <v>5.6361084910507321E-3</v>
      </c>
      <c r="M28" s="493">
        <f t="shared" si="86"/>
        <v>1.9178790176000004E-2</v>
      </c>
    </row>
    <row r="29" spans="1:96">
      <c r="I29" s="1057" t="s">
        <v>353</v>
      </c>
      <c r="J29" s="1057"/>
      <c r="K29" s="493">
        <f t="shared" si="85"/>
        <v>9.3107449328913277E-3</v>
      </c>
      <c r="L29" s="493">
        <f t="shared" si="86"/>
        <v>9.5926838500795496E-3</v>
      </c>
      <c r="M29" s="493">
        <f t="shared" ref="M29:M32" si="87">IF(M$36&lt;&gt;0,BZ16/M$36/1000,0)</f>
        <v>3.3374504428751707E-2</v>
      </c>
    </row>
    <row r="30" spans="1:96">
      <c r="I30" s="1057" t="s">
        <v>25</v>
      </c>
      <c r="J30" s="1057"/>
      <c r="K30" s="493">
        <f t="shared" si="85"/>
        <v>1.4661647544929397E-3</v>
      </c>
      <c r="L30" s="493">
        <f t="shared" si="86"/>
        <v>1.5091549161585364E-3</v>
      </c>
      <c r="M30" s="493">
        <f t="shared" si="87"/>
        <v>5.1354166666666666E-3</v>
      </c>
    </row>
    <row r="31" spans="1:96">
      <c r="I31" s="1057" t="s">
        <v>27</v>
      </c>
      <c r="J31" s="1057"/>
      <c r="K31" s="493">
        <f t="shared" si="85"/>
        <v>1.1301067073170733E-3</v>
      </c>
      <c r="L31" s="493">
        <f t="shared" si="86"/>
        <v>1.1632431402439022E-3</v>
      </c>
      <c r="M31" s="493">
        <f t="shared" si="87"/>
        <v>3.9583333333333337E-3</v>
      </c>
    </row>
    <row r="32" spans="1:96">
      <c r="I32" s="1057" t="s">
        <v>29</v>
      </c>
      <c r="J32" s="1057"/>
      <c r="K32" s="493">
        <f t="shared" si="85"/>
        <v>1.276747432605905E-2</v>
      </c>
      <c r="L32" s="493">
        <f t="shared" si="86"/>
        <v>4.9354496951219511E-2</v>
      </c>
      <c r="M32" s="493">
        <f t="shared" si="87"/>
        <v>6.6666666666666666E-2</v>
      </c>
    </row>
    <row r="33" spans="1:87">
      <c r="I33" s="1065" t="s">
        <v>396</v>
      </c>
      <c r="J33" s="1065"/>
      <c r="K33" s="496">
        <f>SUM(K27:K32)</f>
        <v>4.553854182251249E-2</v>
      </c>
      <c r="L33" s="496">
        <f t="shared" ref="L33" si="88">SUM(L27:L32)</f>
        <v>8.3110160951131981E-2</v>
      </c>
      <c r="M33" s="496">
        <f>SUM(M27:M32)</f>
        <v>0.18347399881219473</v>
      </c>
    </row>
    <row r="34" spans="1:87">
      <c r="I34" s="1057"/>
      <c r="J34" s="1057"/>
      <c r="K34" s="493"/>
      <c r="L34" s="493"/>
      <c r="M34" s="493"/>
    </row>
    <row r="35" spans="1:87" ht="15.75" thickBot="1">
      <c r="I35" s="1063" t="s">
        <v>418</v>
      </c>
      <c r="J35" s="1063"/>
      <c r="K35" s="497" t="e">
        <f>K25+K33</f>
        <v>#REF!</v>
      </c>
      <c r="L35" s="497" t="e">
        <f t="shared" ref="L35" si="89">L25+L33</f>
        <v>#REF!</v>
      </c>
      <c r="M35" s="497" t="e">
        <f>M25+M33</f>
        <v>#REF!</v>
      </c>
    </row>
    <row r="36" spans="1:87" ht="15.75" thickBot="1">
      <c r="I36" s="1064" t="s">
        <v>416</v>
      </c>
      <c r="J36" s="1064"/>
      <c r="K36" s="498">
        <f>$F$15</f>
        <v>190000</v>
      </c>
      <c r="L36" s="498">
        <f>$F$14</f>
        <v>40000</v>
      </c>
      <c r="M36" s="498">
        <f>$F$13</f>
        <v>6000</v>
      </c>
    </row>
    <row r="41" spans="1:87" ht="17.25">
      <c r="BX41" s="999" t="s">
        <v>421</v>
      </c>
      <c r="BY41" s="999"/>
      <c r="BZ41" s="999"/>
      <c r="CA41" s="999"/>
      <c r="CB41" s="999" t="s">
        <v>422</v>
      </c>
      <c r="CC41" s="999"/>
      <c r="CD41" s="999"/>
      <c r="CE41" s="999"/>
      <c r="CF41" s="161"/>
      <c r="CG41" s="999" t="s">
        <v>420</v>
      </c>
      <c r="CH41" s="999"/>
      <c r="CI41" s="999"/>
    </row>
    <row r="42" spans="1:87">
      <c r="A42" s="198" t="s">
        <v>39</v>
      </c>
      <c r="AK42" s="491" t="s">
        <v>3</v>
      </c>
      <c r="BS42" s="490" t="s">
        <v>415</v>
      </c>
      <c r="BT42" s="490" t="s">
        <v>414</v>
      </c>
      <c r="BU42" s="490" t="s">
        <v>413</v>
      </c>
      <c r="BX42" s="46" t="s">
        <v>159</v>
      </c>
      <c r="BY42" s="46" t="s">
        <v>177</v>
      </c>
      <c r="BZ42" s="46" t="s">
        <v>282</v>
      </c>
      <c r="CA42" s="46" t="s">
        <v>419</v>
      </c>
      <c r="CB42" s="46" t="s">
        <v>159</v>
      </c>
      <c r="CC42" s="46" t="s">
        <v>177</v>
      </c>
      <c r="CD42" s="46" t="s">
        <v>282</v>
      </c>
      <c r="CE42" s="46" t="s">
        <v>419</v>
      </c>
      <c r="CG42" s="490" t="s">
        <v>410</v>
      </c>
      <c r="CH42" s="490" t="s">
        <v>411</v>
      </c>
      <c r="CI42" s="490" t="s">
        <v>412</v>
      </c>
    </row>
    <row r="43" spans="1:87">
      <c r="A43" s="63" t="s">
        <v>404</v>
      </c>
      <c r="AK43" s="259" t="e">
        <f t="shared" ref="AK43:AK49" si="90">BS43*CE43/1000</f>
        <v>#REF!</v>
      </c>
      <c r="AM43" s="259"/>
      <c r="BS43" s="312" t="e">
        <f>('KSHD 6.0'!$V43*'KSHD 6.0'!$AM43/12*$E$3+'NIRO 21.5'!$V43*'NIRO 21.5'!$AM43/12*$E$4+'NIRO 4.5|KSLD 4.1'!$V43*'NIRO 4.5|KSLD 4.1'!$AM43/12*$E$5+'NIRO 13.5|KSLD 7.0'!$V43*'NIRO 13.5|KSLD 7.0'!$AM43/12*$E$7+'NIRO 15|KSLD 5.5'!$V43*'NIRO 15|KSLD 5.5'!$AM43/12*$E$9)/$CE43</f>
        <v>#REF!</v>
      </c>
      <c r="BT43" s="256" t="s">
        <v>12</v>
      </c>
      <c r="BU43" s="255" t="s">
        <v>154</v>
      </c>
      <c r="BV43" s="1"/>
      <c r="BW43" s="1"/>
      <c r="BX43" s="102" t="e">
        <f>CB43*$BS43/1000</f>
        <v>#REF!</v>
      </c>
      <c r="BY43" s="102" t="e">
        <f>CC43*$BS43/1000</f>
        <v>#REF!</v>
      </c>
      <c r="BZ43" s="102" t="e">
        <f>CD43*$BS43/1000</f>
        <v>#REF!</v>
      </c>
      <c r="CA43" s="102" t="e">
        <f>SUM(BX43:BZ43)</f>
        <v>#REF!</v>
      </c>
      <c r="CB43" s="26" t="e">
        <f>CG43*$F$15</f>
        <v>#REF!</v>
      </c>
      <c r="CC43" s="26" t="e">
        <f>CH43*$F$14</f>
        <v>#REF!</v>
      </c>
      <c r="CD43" s="26" t="e">
        <f>CI43*$F$13</f>
        <v>#REF!</v>
      </c>
      <c r="CE43" s="26" t="e">
        <f t="shared" ref="CE43:CE49" si="91">CG43*$F$15+CH43*$F$14+CI43*$F$13</f>
        <v>#REF!</v>
      </c>
      <c r="CF43" s="1"/>
      <c r="CG43" s="56" t="e">
        <f>('KSHD 6.0'!AJ43*0+'NIRO 21.5'!AJ43*$F$4+'NIRO 4.5|KSLD 4.1'!AJ43*$F$6+'NIRO 13.5|KSLD 7.0'!AJ43*$F$8+'NIRO 15|KSLD 5.5'!AJ43*$F$10)/$F$15</f>
        <v>#REF!</v>
      </c>
      <c r="CH43" s="56" t="e">
        <f>('KSHD 6.0'!AK43*0+'NIRO 21.5'!AK43*0+'NIRO 4.5|KSLD 4.1'!AK43*$F$5+'NIRO 13.5|KSLD 7.0'!AK43*$F$7+'NIRO 15|KSLD 5.5'!AK43*$F$9)/$F$14</f>
        <v>#REF!</v>
      </c>
      <c r="CI43" s="56" t="e">
        <f>('KSHD 6.0'!AL43*$F$3+'NIRO 21.5'!AL43*0+'NIRO 4.5|KSLD 4.1'!AL43*0+'NIRO 13.5|KSLD 7.0'!AL43*0+'NIRO 15|KSLD 5.5'!AL43*0)/$F$13</f>
        <v>#REF!</v>
      </c>
    </row>
    <row r="44" spans="1:87">
      <c r="A44" s="63" t="s">
        <v>403</v>
      </c>
      <c r="AK44" s="259">
        <f t="shared" si="90"/>
        <v>2562000</v>
      </c>
      <c r="AM44" s="259"/>
      <c r="BS44" s="312">
        <f>('KSHD 6.0'!$V44*'KSHD 6.0'!$AM44/12*$E$3+'NIRO 21.5'!$V44*'NIRO 21.5'!$AM44/12*$E$4+'NIRO 4.5|KSLD 4.1'!$V44*'NIRO 4.5|KSLD 4.1'!$AM44/12*$E$5+'NIRO 13.5|KSLD 7.0'!$V44*'NIRO 13.5|KSLD 7.0'!$AM44/12*$E$7+'NIRO 15|KSLD 5.5'!$V44*'NIRO 15|KSLD 5.5'!$AM44/12*$E$9)/$CE44</f>
        <v>152.5</v>
      </c>
      <c r="BT44" s="256" t="s">
        <v>12</v>
      </c>
      <c r="BU44" s="256" t="s">
        <v>298</v>
      </c>
      <c r="BV44" s="1"/>
      <c r="BW44" s="1"/>
      <c r="BX44" s="102">
        <f t="shared" ref="BX44:BX49" si="92">CB44*$BS44/1000</f>
        <v>0</v>
      </c>
      <c r="BY44" s="102">
        <f t="shared" ref="BY44:BY49" si="93">CC44*$BS44/1000</f>
        <v>0</v>
      </c>
      <c r="BZ44" s="102">
        <f t="shared" ref="BZ44:BZ49" si="94">CD44*$BS44/1000</f>
        <v>2562000</v>
      </c>
      <c r="CA44" s="102">
        <f t="shared" ref="CA44:CA49" si="95">SUM(BX44:BZ44)</f>
        <v>2562000</v>
      </c>
      <c r="CB44" s="26">
        <f t="shared" ref="CB44:CB49" si="96">CG44*$F$15</f>
        <v>0</v>
      </c>
      <c r="CC44" s="26">
        <f t="shared" ref="CC44:CC49" si="97">CH44*$F$14</f>
        <v>0</v>
      </c>
      <c r="CD44" s="26">
        <f t="shared" ref="CD44:CD49" si="98">CI44*$F$13</f>
        <v>16800000</v>
      </c>
      <c r="CE44" s="26">
        <f t="shared" si="91"/>
        <v>16800000</v>
      </c>
      <c r="CF44" s="1"/>
      <c r="CG44" s="56">
        <f>('KSHD 6.0'!AJ44*0+'NIRO 21.5'!AJ44*$F$4+'NIRO 4.5|KSLD 4.1'!AJ44*$F$6+'NIRO 13.5|KSLD 7.0'!AJ44*$F$8+'NIRO 15|KSLD 5.5'!AJ44*$F$10)/$F$15</f>
        <v>0</v>
      </c>
      <c r="CH44" s="56">
        <f>('KSHD 6.0'!AK44*0+'NIRO 21.5'!AK44*0+'NIRO 4.5|KSLD 4.1'!AK44*$F$5+'NIRO 13.5|KSLD 7.0'!AK44*$F$7+'NIRO 15|KSLD 5.5'!AK44*$F$9)/$F$14</f>
        <v>0</v>
      </c>
      <c r="CI44" s="56">
        <f>('KSHD 6.0'!AL44*$F$3+'NIRO 21.5'!AL44*0+'NIRO 4.5|KSLD 4.1'!AL44*0+'NIRO 13.5|KSLD 7.0'!AL44*0+'NIRO 15|KSLD 5.5'!AL44*0)/$F$13</f>
        <v>2800</v>
      </c>
    </row>
    <row r="45" spans="1:87">
      <c r="A45" s="63" t="s">
        <v>405</v>
      </c>
      <c r="AK45" s="259">
        <f t="shared" si="90"/>
        <v>2948363</v>
      </c>
      <c r="AM45" s="259"/>
      <c r="BS45" s="312">
        <f>('KSHD 6.0'!$V45*'KSHD 6.0'!$AM45/12*$E$3+'NIRO 21.5'!$V45*'NIRO 21.5'!$AM45/12*$E$4+'NIRO 4.5|KSLD 4.1'!$V45*'NIRO 4.5|KSLD 4.1'!$AM45/12*$E$5+'NIRO 13.5|KSLD 7.0'!$V45*'NIRO 13.5|KSLD 7.0'!$AM45/12*$E$7+'NIRO 15|KSLD 5.5'!$V45*'NIRO 15|KSLD 5.5'!$AM45/12*$E$9)/$CE45</f>
        <v>1410.7</v>
      </c>
      <c r="BT45" s="256" t="s">
        <v>12</v>
      </c>
      <c r="BU45" s="255" t="s">
        <v>155</v>
      </c>
      <c r="BV45" s="1"/>
      <c r="BW45" s="1"/>
      <c r="BX45" s="102">
        <f t="shared" si="92"/>
        <v>2948363</v>
      </c>
      <c r="BY45" s="102">
        <f t="shared" si="93"/>
        <v>0</v>
      </c>
      <c r="BZ45" s="102">
        <f t="shared" si="94"/>
        <v>0</v>
      </c>
      <c r="CA45" s="102">
        <f t="shared" si="95"/>
        <v>2948363</v>
      </c>
      <c r="CB45" s="26">
        <f t="shared" si="96"/>
        <v>2090000</v>
      </c>
      <c r="CC45" s="26">
        <f t="shared" si="97"/>
        <v>0</v>
      </c>
      <c r="CD45" s="26">
        <f t="shared" si="98"/>
        <v>0</v>
      </c>
      <c r="CE45" s="26">
        <f t="shared" si="91"/>
        <v>2090000</v>
      </c>
      <c r="CF45" s="1"/>
      <c r="CG45" s="56">
        <f>('KSHD 6.0'!AJ45*0+'NIRO 21.5'!AJ45*$F$4+'NIRO 4.5|KSLD 4.1'!AJ45*$F$6+'NIRO 13.5|KSLD 7.0'!AJ45*$F$8+'NIRO 15|KSLD 5.5'!AJ45*$F$10)/$F$15</f>
        <v>11</v>
      </c>
      <c r="CH45" s="56">
        <f>('KSHD 6.0'!AK45*0+'NIRO 21.5'!AK45*0+'NIRO 4.5|KSLD 4.1'!AK45*$F$5+'NIRO 13.5|KSLD 7.0'!AK45*$F$7+'NIRO 15|KSLD 5.5'!AK45*$F$9)/$F$14</f>
        <v>0</v>
      </c>
      <c r="CI45" s="56">
        <f>('KSHD 6.0'!AL45*$F$3+'NIRO 21.5'!AL45*0+'NIRO 4.5|KSLD 4.1'!AL45*0+'NIRO 13.5|KSLD 7.0'!AL45*0+'NIRO 15|KSLD 5.5'!AL45*0)/$F$13</f>
        <v>0</v>
      </c>
    </row>
    <row r="46" spans="1:87">
      <c r="A46" s="63" t="s">
        <v>406</v>
      </c>
      <c r="AK46" s="259">
        <f t="shared" si="90"/>
        <v>731400</v>
      </c>
      <c r="AM46" s="259"/>
      <c r="BS46" s="312">
        <f>('KSHD 6.0'!$V46*'KSHD 6.0'!$AM46/12*$E$3+'NIRO 21.5'!$V46*'NIRO 21.5'!$AM46/12*$E$4+'NIRO 4.5|KSLD 4.1'!$V46*'NIRO 4.5|KSLD 4.1'!$AM46/12*$E$5+'NIRO 13.5|KSLD 7.0'!$V46*'NIRO 13.5|KSLD 7.0'!$AM46/12*$E$7+'NIRO 15|KSLD 5.5'!$V46*'NIRO 15|KSLD 5.5'!$AM46/12*$E$9)/$CE46</f>
        <v>460</v>
      </c>
      <c r="BT46" s="256" t="s">
        <v>12</v>
      </c>
      <c r="BU46" s="255" t="s">
        <v>156</v>
      </c>
      <c r="BV46" s="1"/>
      <c r="BW46" s="1"/>
      <c r="BX46" s="102">
        <f t="shared" si="92"/>
        <v>437000</v>
      </c>
      <c r="BY46" s="102">
        <f t="shared" si="93"/>
        <v>239200</v>
      </c>
      <c r="BZ46" s="102">
        <f t="shared" si="94"/>
        <v>55200</v>
      </c>
      <c r="CA46" s="102">
        <f t="shared" si="95"/>
        <v>731400</v>
      </c>
      <c r="CB46" s="26">
        <f t="shared" si="96"/>
        <v>950000</v>
      </c>
      <c r="CC46" s="26">
        <f t="shared" si="97"/>
        <v>520000</v>
      </c>
      <c r="CD46" s="26">
        <f t="shared" si="98"/>
        <v>120000</v>
      </c>
      <c r="CE46" s="26">
        <f t="shared" si="91"/>
        <v>1590000</v>
      </c>
      <c r="CF46" s="1"/>
      <c r="CG46" s="56">
        <f>('KSHD 6.0'!AJ46*0+'NIRO 21.5'!AJ46*$F$4+'NIRO 4.5|KSLD 4.1'!AJ46*$F$6+'NIRO 13.5|KSLD 7.0'!AJ46*$F$8+'NIRO 15|KSLD 5.5'!AJ46*$F$10)/$F$15</f>
        <v>5</v>
      </c>
      <c r="CH46" s="56">
        <f>('KSHD 6.0'!AK46*0+'NIRO 21.5'!AK46*0+'NIRO 4.5|KSLD 4.1'!AK46*$F$5+'NIRO 13.5|KSLD 7.0'!AK46*$F$7+'NIRO 15|KSLD 5.5'!AK46*$F$9)/$F$14</f>
        <v>13</v>
      </c>
      <c r="CI46" s="56">
        <f>('KSHD 6.0'!AL46*$F$3+'NIRO 21.5'!AL46*0+'NIRO 4.5|KSLD 4.1'!AL46*0+'NIRO 13.5|KSLD 7.0'!AL46*0+'NIRO 15|KSLD 5.5'!AL46*0)/$F$13</f>
        <v>20</v>
      </c>
    </row>
    <row r="47" spans="1:87">
      <c r="A47" s="63" t="s">
        <v>407</v>
      </c>
      <c r="AK47" s="259">
        <f t="shared" si="90"/>
        <v>151848</v>
      </c>
      <c r="AM47" s="259"/>
      <c r="BS47" s="312">
        <f>('KSHD 6.0'!$V47*'KSHD 6.0'!$AM47/12*$E$3+'NIRO 21.5'!$V47*'NIRO 21.5'!$AM47/12*$E$4+'NIRO 4.5|KSLD 4.1'!$V47*'NIRO 4.5|KSLD 4.1'!$AM47/12*$E$5+'NIRO 13.5|KSLD 7.0'!$V47*'NIRO 13.5|KSLD 7.0'!$AM47/12*$E$7+'NIRO 15|KSLD 5.5'!$V47*'NIRO 15|KSLD 5.5'!$AM47/12*$E$9)/$CE47</f>
        <v>57</v>
      </c>
      <c r="BT47" s="256" t="s">
        <v>12</v>
      </c>
      <c r="BU47" s="255" t="s">
        <v>157</v>
      </c>
      <c r="BV47" s="1"/>
      <c r="BW47" s="1"/>
      <c r="BX47" s="102">
        <f t="shared" si="92"/>
        <v>129960</v>
      </c>
      <c r="BY47" s="102">
        <f t="shared" si="93"/>
        <v>20520</v>
      </c>
      <c r="BZ47" s="102">
        <f t="shared" si="94"/>
        <v>1368</v>
      </c>
      <c r="CA47" s="102">
        <f t="shared" si="95"/>
        <v>151848</v>
      </c>
      <c r="CB47" s="26">
        <f t="shared" si="96"/>
        <v>2280000</v>
      </c>
      <c r="CC47" s="26">
        <f t="shared" si="97"/>
        <v>360000</v>
      </c>
      <c r="CD47" s="26">
        <f t="shared" si="98"/>
        <v>24000</v>
      </c>
      <c r="CE47" s="26">
        <f t="shared" si="91"/>
        <v>2664000</v>
      </c>
      <c r="CF47" s="1"/>
      <c r="CG47" s="56">
        <f>('KSHD 6.0'!AJ47*0+'NIRO 21.5'!AJ47*$F$4+'NIRO 4.5|KSLD 4.1'!AJ47*$F$6+'NIRO 13.5|KSLD 7.0'!AJ47*$F$8+'NIRO 15|KSLD 5.5'!AJ47*$F$10)/$F$15</f>
        <v>12</v>
      </c>
      <c r="CH47" s="56">
        <f>('KSHD 6.0'!AK47*0+'NIRO 21.5'!AK47*0+'NIRO 4.5|KSLD 4.1'!AK47*$F$5+'NIRO 13.5|KSLD 7.0'!AK47*$F$7+'NIRO 15|KSLD 5.5'!AK47*$F$9)/$F$14</f>
        <v>9</v>
      </c>
      <c r="CI47" s="56">
        <f>('KSHD 6.0'!AL47*$F$3+'NIRO 21.5'!AL47*0+'NIRO 4.5|KSLD 4.1'!AL47*0+'NIRO 13.5|KSLD 7.0'!AL47*0+'NIRO 15|KSLD 5.5'!AL47*0)/$F$13</f>
        <v>4</v>
      </c>
    </row>
    <row r="48" spans="1:87">
      <c r="A48" s="63" t="s">
        <v>408</v>
      </c>
      <c r="AK48" s="259">
        <f t="shared" si="90"/>
        <v>750607</v>
      </c>
      <c r="AM48" s="259"/>
      <c r="BS48" s="312">
        <f>('KSHD 6.0'!$V48*'KSHD 6.0'!$AM48/12*$E$3+'NIRO 21.5'!$V48*'NIRO 21.5'!$AM48/12*$E$4+'NIRO 4.5|KSLD 4.1'!$V48*'NIRO 4.5|KSLD 4.1'!$AM48/12*$E$5+'NIRO 13.5|KSLD 7.0'!$V48*'NIRO 13.5|KSLD 7.0'!$AM48/12*$E$7+'NIRO 15|KSLD 5.5'!$V48*'NIRO 15|KSLD 5.5'!$AM48/12*$E$9)/$CE48</f>
        <v>60.484045124899275</v>
      </c>
      <c r="BT48" s="256" t="s">
        <v>12</v>
      </c>
      <c r="BU48" s="255" t="s">
        <v>231</v>
      </c>
      <c r="BV48" s="1"/>
      <c r="BW48" s="1"/>
      <c r="BX48" s="102">
        <f t="shared" si="92"/>
        <v>0</v>
      </c>
      <c r="BY48" s="102">
        <f t="shared" si="93"/>
        <v>672582.58178887994</v>
      </c>
      <c r="BZ48" s="102">
        <f t="shared" si="94"/>
        <v>78024.418211120064</v>
      </c>
      <c r="CA48" s="102">
        <f t="shared" si="95"/>
        <v>750607</v>
      </c>
      <c r="CB48" s="26">
        <f t="shared" si="96"/>
        <v>0</v>
      </c>
      <c r="CC48" s="26">
        <f t="shared" si="97"/>
        <v>11120000</v>
      </c>
      <c r="CD48" s="26">
        <f t="shared" si="98"/>
        <v>1290000</v>
      </c>
      <c r="CE48" s="26">
        <f t="shared" si="91"/>
        <v>12410000</v>
      </c>
      <c r="CF48" s="1"/>
      <c r="CG48" s="56">
        <f>('KSHD 6.0'!AJ48*0+'NIRO 21.5'!AJ48*$F$4+'NIRO 4.5|KSLD 4.1'!AJ48*$F$6+'NIRO 13.5|KSLD 7.0'!AJ48*$F$8+'NIRO 15|KSLD 5.5'!AJ48*$F$10)/$F$15</f>
        <v>0</v>
      </c>
      <c r="CH48" s="56">
        <f>('KSHD 6.0'!AK48*0+'NIRO 21.5'!AK48*0+'NIRO 4.5|KSLD 4.1'!AK48*$F$5+'NIRO 13.5|KSLD 7.0'!AK48*$F$7+'NIRO 15|KSLD 5.5'!AK48*$F$9)/$F$14</f>
        <v>278</v>
      </c>
      <c r="CI48" s="56">
        <f>('KSHD 6.0'!AL48*$F$3+'NIRO 21.5'!AL48*0+'NIRO 4.5|KSLD 4.1'!AL48*0+'NIRO 13.5|KSLD 7.0'!AL48*0+'NIRO 15|KSLD 5.5'!AL48*0)/$F$13</f>
        <v>215</v>
      </c>
    </row>
    <row r="49" spans="1:87" ht="17.25">
      <c r="A49" s="63" t="s">
        <v>409</v>
      </c>
      <c r="AK49" s="463">
        <f t="shared" si="90"/>
        <v>2441929.2999999998</v>
      </c>
      <c r="AM49" s="463"/>
      <c r="BS49" s="312">
        <f>('KSHD 6.0'!$V49*'KSHD 6.0'!$AM49/12*$E$3+'NIRO 21.5'!$V49*'NIRO 21.5'!$AM49/12*$E$4+'NIRO 4.5|KSLD 4.1'!$V49*'NIRO 4.5|KSLD 4.1'!$AM49/12*$E$5+'NIRO 13.5|KSLD 7.0'!$V49*'NIRO 13.5|KSLD 7.0'!$AM49/12*$E$7+'NIRO 15|KSLD 5.5'!$V49*'NIRO 15|KSLD 5.5'!$AM49/12*$E$9)/$CE49</f>
        <v>4769.3931640624996</v>
      </c>
      <c r="BT49" s="256" t="s">
        <v>12</v>
      </c>
      <c r="BU49" s="255" t="s">
        <v>232</v>
      </c>
      <c r="BV49" s="1"/>
      <c r="BW49" s="1"/>
      <c r="BX49" s="501">
        <f t="shared" si="92"/>
        <v>0</v>
      </c>
      <c r="BY49" s="501">
        <f t="shared" si="93"/>
        <v>2098532.9921874995</v>
      </c>
      <c r="BZ49" s="501">
        <f t="shared" si="94"/>
        <v>343396.30781249999</v>
      </c>
      <c r="CA49" s="501">
        <f t="shared" si="95"/>
        <v>2441929.2999999993</v>
      </c>
      <c r="CB49" s="26">
        <f t="shared" si="96"/>
        <v>0</v>
      </c>
      <c r="CC49" s="26">
        <f t="shared" si="97"/>
        <v>440000</v>
      </c>
      <c r="CD49" s="26">
        <f t="shared" si="98"/>
        <v>72000</v>
      </c>
      <c r="CE49" s="26">
        <f t="shared" si="91"/>
        <v>512000</v>
      </c>
      <c r="CF49" s="1"/>
      <c r="CG49" s="56">
        <f>('KSHD 6.0'!AJ49*0+'NIRO 21.5'!AJ49*$F$4+'NIRO 4.5|KSLD 4.1'!AJ49*$F$6+'NIRO 13.5|KSLD 7.0'!AJ49*$F$8+'NIRO 15|KSLD 5.5'!AJ49*$F$10)/$F$15</f>
        <v>0</v>
      </c>
      <c r="CH49" s="56">
        <f>('KSHD 6.0'!AK49*0+'NIRO 21.5'!AK49*0+'NIRO 4.5|KSLD 4.1'!AK49*$F$5+'NIRO 13.5|KSLD 7.0'!AK49*$F$7+'NIRO 15|KSLD 5.5'!AK49*$F$9)/$F$14</f>
        <v>11</v>
      </c>
      <c r="CI49" s="56">
        <f>('KSHD 6.0'!AL49*$F$3+'NIRO 21.5'!AL49*0+'NIRO 4.5|KSLD 4.1'!AL49*0+'NIRO 13.5|KSLD 7.0'!AL49*0+'NIRO 15|KSLD 5.5'!AL49*0)/$F$13</f>
        <v>12</v>
      </c>
    </row>
    <row r="50" spans="1:87" ht="16.5">
      <c r="AK50" s="259" t="e">
        <f>SUM(AK43:AK49)</f>
        <v>#REF!</v>
      </c>
      <c r="AM50" s="259"/>
      <c r="BX50" s="502" t="e">
        <f>SUM(BX43:BX49)</f>
        <v>#REF!</v>
      </c>
      <c r="BY50" s="502" t="e">
        <f t="shared" ref="BY50:CA50" si="99">SUM(BY43:BY49)</f>
        <v>#REF!</v>
      </c>
      <c r="BZ50" s="502" t="e">
        <f t="shared" si="99"/>
        <v>#REF!</v>
      </c>
      <c r="CA50" s="502" t="e">
        <f t="shared" si="99"/>
        <v>#REF!</v>
      </c>
    </row>
    <row r="59" spans="1:87">
      <c r="BQ59" s="261">
        <f>'KSHD 6.0'!T59/12*$E$3+'NIRO 21.5'!T59/12*$E$4+'NIRO 4.5|KSLD 4.1'!T59/12*$E$5+'NIRO 13.5|KSLD 7.0'!T59/12*$E$7+'NIRO 15|KSLD 5.5'!T59/12*$E$9</f>
        <v>3406628.3</v>
      </c>
      <c r="BT59" s="256"/>
      <c r="BU59" s="20" t="s">
        <v>79</v>
      </c>
      <c r="BV59" s="128" t="s">
        <v>80</v>
      </c>
      <c r="BW59" s="206">
        <f>BQ59/$BQ$61</f>
        <v>0.85</v>
      </c>
    </row>
    <row r="60" spans="1:87" ht="16.5">
      <c r="BQ60" s="262">
        <f>'KSHD 6.0'!T60/12*$E$3+'NIRO 21.5'!T60/12*$E$4+'NIRO 4.5|KSLD 4.1'!T60/12*$E$5+'NIRO 13.5|KSLD 7.0'!T60/12*$E$7+'NIRO 15|KSLD 5.5'!T60/12*$E$9</f>
        <v>601169.69999999995</v>
      </c>
      <c r="BT60" s="256"/>
      <c r="BU60" s="20" t="s">
        <v>81</v>
      </c>
      <c r="BV60" s="128" t="s">
        <v>82</v>
      </c>
      <c r="BW60" s="483">
        <f>BQ60/$BQ$61</f>
        <v>0.15</v>
      </c>
    </row>
    <row r="61" spans="1:87">
      <c r="BQ61" s="24">
        <f>SUM(BQ59:BQ60)</f>
        <v>4007798</v>
      </c>
      <c r="BT61" s="256" t="s">
        <v>19</v>
      </c>
      <c r="BU61" s="130" t="s">
        <v>20</v>
      </c>
      <c r="BV61" s="257" t="s">
        <v>107</v>
      </c>
      <c r="BW61" s="138">
        <f>SUM(BW59:BW60)</f>
        <v>1</v>
      </c>
    </row>
    <row r="62" spans="1:87">
      <c r="BQ62" s="1"/>
      <c r="BW62" s="1"/>
    </row>
    <row r="63" spans="1:87">
      <c r="BQ63" s="261">
        <f>'KSHD 6.0'!T63/12*$E$3+'NIRO 21.5'!T63/12*$E$4+'NIRO 4.5|KSLD 4.1'!T63/12*$E$5+'NIRO 13.5|KSLD 7.0'!T63/12*$E$7+'NIRO 15|KSLD 5.5'!T63/12*$E$9</f>
        <v>1201359.51</v>
      </c>
      <c r="BT63" s="256"/>
      <c r="BU63" s="20" t="s">
        <v>83</v>
      </c>
      <c r="BV63" s="128" t="s">
        <v>84</v>
      </c>
      <c r="BW63" s="206">
        <f>BQ63/$BQ$65</f>
        <v>0.87</v>
      </c>
    </row>
    <row r="64" spans="1:87" ht="16.5">
      <c r="BQ64" s="262">
        <f>'KSHD 6.0'!T64/12*$E$3+'NIRO 21.5'!T64/12*$E$4+'NIRO 4.5|KSLD 4.1'!T64/12*$E$5+'NIRO 13.5|KSLD 7.0'!T64/12*$E$7+'NIRO 15|KSLD 5.5'!T64/12*$E$9</f>
        <v>179513.49000000002</v>
      </c>
      <c r="BT64" s="256"/>
      <c r="BU64" s="20" t="s">
        <v>85</v>
      </c>
      <c r="BV64" s="128" t="s">
        <v>86</v>
      </c>
      <c r="BW64" s="483">
        <f>BQ64/$BQ$65</f>
        <v>0.13</v>
      </c>
    </row>
    <row r="65" spans="69:76">
      <c r="BQ65" s="24">
        <f>SUM(BQ63:BQ64)</f>
        <v>1380873</v>
      </c>
      <c r="BT65" s="256" t="s">
        <v>19</v>
      </c>
      <c r="BU65" s="130" t="s">
        <v>22</v>
      </c>
      <c r="BV65" s="257" t="s">
        <v>107</v>
      </c>
      <c r="BW65" s="138">
        <f>SUM(BW63:BW64)</f>
        <v>1</v>
      </c>
    </row>
    <row r="66" spans="69:76">
      <c r="BT66" s="146"/>
      <c r="BU66" s="131"/>
      <c r="BV66" s="132"/>
      <c r="BX66" s="260"/>
    </row>
    <row r="67" spans="69:76">
      <c r="BQ67" s="261">
        <f>'KSHD 6.0'!T67/12*$E$3+'NIRO 21.5'!T67/12*$E$4+'NIRO 4.5|KSLD 4.1'!T67/12*$E$5+'NIRO 13.5|KSLD 7.0'!T67/12*$E$7+'NIRO 15|KSLD 5.5'!T67/12*$E$9</f>
        <v>215080.2361942227</v>
      </c>
      <c r="BT67" s="159"/>
      <c r="BU67" s="20" t="s">
        <v>87</v>
      </c>
      <c r="BV67" s="128" t="s">
        <v>88</v>
      </c>
      <c r="BW67" s="138">
        <f>BQ67/$BQ$73</f>
        <v>8.8696471435533469E-2</v>
      </c>
      <c r="BX67" s="143"/>
    </row>
    <row r="68" spans="69:76">
      <c r="BQ68" s="261">
        <f>'KSHD 6.0'!T68/12*$E$3+'NIRO 21.5'!T68/12*$E$4+'NIRO 4.5|KSLD 4.1'!T68/12*$E$5+'NIRO 13.5|KSLD 7.0'!T68/12*$E$7+'NIRO 15|KSLD 5.5'!T68/12*$E$9</f>
        <v>201675.97779380664</v>
      </c>
      <c r="BT68" s="159"/>
      <c r="BU68" s="20" t="s">
        <v>89</v>
      </c>
      <c r="BV68" s="128" t="s">
        <v>90</v>
      </c>
      <c r="BW68" s="138">
        <f t="shared" ref="BW68:BW72" si="100">BQ68/$BQ$73</f>
        <v>8.3168718428728139E-2</v>
      </c>
      <c r="BX68" s="143"/>
    </row>
    <row r="69" spans="69:76">
      <c r="BQ69" s="261">
        <f>'KSHD 6.0'!T69/12*$E$3+'NIRO 21.5'!T69/12*$E$4+'NIRO 4.5|KSLD 4.1'!T69/12*$E$5+'NIRO 13.5|KSLD 7.0'!T69/12*$E$7+'NIRO 15|KSLD 5.5'!T69/12*$E$9</f>
        <v>200153.61970620294</v>
      </c>
      <c r="BT69" s="159"/>
      <c r="BU69" s="20" t="s">
        <v>91</v>
      </c>
      <c r="BV69" s="128" t="s">
        <v>92</v>
      </c>
      <c r="BW69" s="138">
        <f t="shared" si="100"/>
        <v>8.254091648364445E-2</v>
      </c>
      <c r="BX69" s="143"/>
    </row>
    <row r="70" spans="69:76">
      <c r="BQ70" s="261">
        <f>'KSHD 6.0'!T70/12*$E$3+'NIRO 21.5'!T70/12*$E$4+'NIRO 4.5|KSLD 4.1'!T70/12*$E$5+'NIRO 13.5|KSLD 7.0'!T70/12*$E$7+'NIRO 15|KSLD 5.5'!T70/12*$E$9</f>
        <v>1209891.4217884319</v>
      </c>
      <c r="BT70" s="159"/>
      <c r="BU70" s="20" t="s">
        <v>93</v>
      </c>
      <c r="BV70" s="128" t="s">
        <v>94</v>
      </c>
      <c r="BW70" s="138">
        <f t="shared" si="100"/>
        <v>0.49894449546655822</v>
      </c>
      <c r="BX70" s="143"/>
    </row>
    <row r="71" spans="69:76">
      <c r="BQ71" s="261">
        <f>'KSHD 6.0'!T71/12*$E$3+'NIRO 21.5'!T71/12*$E$4+'NIRO 4.5|KSLD 4.1'!T71/12*$E$5+'NIRO 13.5|KSLD 7.0'!T71/12*$E$7+'NIRO 15|KSLD 5.5'!T71/12*$E$9</f>
        <v>553380.31017285679</v>
      </c>
      <c r="BT71" s="159"/>
      <c r="BU71" s="20" t="s">
        <v>95</v>
      </c>
      <c r="BV71" s="128" t="s">
        <v>96</v>
      </c>
      <c r="BW71" s="138">
        <f t="shared" si="100"/>
        <v>0.22820730413328355</v>
      </c>
      <c r="BX71" s="143"/>
    </row>
    <row r="72" spans="69:76" ht="17.25">
      <c r="BQ72" s="262">
        <f>'KSHD 6.0'!T72/12*$E$3+'NIRO 21.5'!T72/12*$E$4+'NIRO 4.5|KSLD 4.1'!T72/12*$E$5+'NIRO 13.5|KSLD 7.0'!T72/12*$E$7+'NIRO 15|KSLD 5.5'!T72/12*$E$9</f>
        <v>44720.267677812095</v>
      </c>
      <c r="BT72" s="159"/>
      <c r="BU72" s="20" t="s">
        <v>97</v>
      </c>
      <c r="BV72" s="128" t="s">
        <v>98</v>
      </c>
      <c r="BW72" s="258">
        <f t="shared" si="100"/>
        <v>1.8442094052252191E-2</v>
      </c>
      <c r="BX72" s="161"/>
    </row>
    <row r="73" spans="69:76">
      <c r="BQ73" s="24">
        <f>SUM(BQ67:BQ72)</f>
        <v>2424901.833333333</v>
      </c>
      <c r="BT73" s="256" t="s">
        <v>19</v>
      </c>
      <c r="BU73" s="130" t="s">
        <v>24</v>
      </c>
      <c r="BV73" s="257" t="s">
        <v>107</v>
      </c>
      <c r="BW73" s="138">
        <f>SUM(BW67:BW72)</f>
        <v>0.99999999999999989</v>
      </c>
      <c r="BX73" s="259"/>
    </row>
    <row r="116" spans="69:76">
      <c r="BT116" s="62"/>
      <c r="BU116" s="1"/>
      <c r="BX116" s="260"/>
    </row>
    <row r="117" spans="69:76">
      <c r="BQ117" s="261">
        <f>'KSHD 6.0'!T117/12*$E$3+'NIRO 21.5'!T117/12*$E$4+'NIRO 4.5|KSLD 4.1'!T117/12*$E$5+'NIRO 13.5|KSLD 7.0'!T117/12*$E$7+'NIRO 15|KSLD 5.5'!T117/12*$E$9</f>
        <v>21549</v>
      </c>
      <c r="BT117" s="265"/>
      <c r="BU117" s="20" t="s">
        <v>235</v>
      </c>
      <c r="BV117" s="128">
        <v>631040</v>
      </c>
      <c r="BW117" s="138">
        <f>BQ117/$BQ$126</f>
        <v>2.8732000000000001E-2</v>
      </c>
      <c r="BX117" s="143"/>
    </row>
    <row r="118" spans="69:76">
      <c r="BQ118" s="261">
        <f>'KSHD 6.0'!T118/12*$E$3+'NIRO 21.5'!T118/12*$E$4+'NIRO 4.5|KSLD 4.1'!T118/12*$E$5+'NIRO 13.5|KSLD 7.0'!T118/12*$E$7+'NIRO 15|KSLD 5.5'!T118/12*$E$9</f>
        <v>23088</v>
      </c>
      <c r="BT118" s="265"/>
      <c r="BU118" s="20" t="s">
        <v>236</v>
      </c>
      <c r="BV118" s="128">
        <v>631060</v>
      </c>
      <c r="BW118" s="138">
        <f t="shared" ref="BW118:BW125" si="101">BQ118/$BQ$126</f>
        <v>3.0783999999999999E-2</v>
      </c>
      <c r="BX118" s="143"/>
    </row>
    <row r="119" spans="69:76">
      <c r="BQ119" s="261">
        <f>'KSHD 6.0'!T119/12*$E$3+'NIRO 21.5'!T119/12*$E$4+'NIRO 4.5|KSLD 4.1'!T119/12*$E$5+'NIRO 13.5|KSLD 7.0'!T119/12*$E$7+'NIRO 15|KSLD 5.5'!T119/12*$E$9</f>
        <v>0</v>
      </c>
      <c r="BT119" s="265"/>
      <c r="BU119" s="20" t="s">
        <v>237</v>
      </c>
      <c r="BV119" s="128">
        <v>631900</v>
      </c>
      <c r="BW119" s="138">
        <f t="shared" si="101"/>
        <v>0</v>
      </c>
      <c r="BX119" s="143"/>
    </row>
    <row r="120" spans="69:76">
      <c r="BQ120" s="261">
        <f>'KSHD 6.0'!T120/12*$E$3+'NIRO 21.5'!T120/12*$E$4+'NIRO 4.5|KSLD 4.1'!T120/12*$E$5+'NIRO 13.5|KSLD 7.0'!T120/12*$E$7+'NIRO 15|KSLD 5.5'!T120/12*$E$9</f>
        <v>68702</v>
      </c>
      <c r="BT120" s="265"/>
      <c r="BU120" s="20" t="s">
        <v>238</v>
      </c>
      <c r="BV120" s="128">
        <v>630020</v>
      </c>
      <c r="BW120" s="138">
        <f t="shared" si="101"/>
        <v>9.1602666666666666E-2</v>
      </c>
      <c r="BX120" s="143"/>
    </row>
    <row r="121" spans="69:76">
      <c r="BQ121" s="261">
        <f>'KSHD 6.0'!T121/12*$E$3+'NIRO 21.5'!T121/12*$E$4+'NIRO 4.5|KSLD 4.1'!T121/12*$E$5+'NIRO 13.5|KSLD 7.0'!T121/12*$E$7+'NIRO 15|KSLD 5.5'!T121/12*$E$9</f>
        <v>0</v>
      </c>
      <c r="BT121" s="265"/>
      <c r="BU121" s="20" t="s">
        <v>239</v>
      </c>
      <c r="BV121" s="128">
        <v>630030</v>
      </c>
      <c r="BW121" s="138">
        <f t="shared" si="101"/>
        <v>0</v>
      </c>
      <c r="BX121" s="143"/>
    </row>
    <row r="122" spans="69:76">
      <c r="BQ122" s="261">
        <f>'KSHD 6.0'!T122/12*$E$3+'NIRO 21.5'!T122/12*$E$4+'NIRO 4.5|KSLD 4.1'!T122/12*$E$5+'NIRO 13.5|KSLD 7.0'!T122/12*$E$7+'NIRO 15|KSLD 5.5'!T122/12*$E$9</f>
        <v>93843</v>
      </c>
      <c r="BT122" s="265"/>
      <c r="BU122" s="20" t="s">
        <v>240</v>
      </c>
      <c r="BV122" s="128">
        <v>630070</v>
      </c>
      <c r="BW122" s="138">
        <f t="shared" si="101"/>
        <v>0.12512400000000001</v>
      </c>
      <c r="BX122" s="143"/>
    </row>
    <row r="123" spans="69:76">
      <c r="BQ123" s="261">
        <f>'KSHD 6.0'!T123/12*$E$3+'NIRO 21.5'!T123/12*$E$4+'NIRO 4.5|KSLD 4.1'!T123/12*$E$5+'NIRO 13.5|KSLD 7.0'!T123/12*$E$7+'NIRO 15|KSLD 5.5'!T123/12*$E$9</f>
        <v>459067.99999999994</v>
      </c>
      <c r="BT123" s="265"/>
      <c r="BU123" s="20" t="s">
        <v>241</v>
      </c>
      <c r="BV123" s="128">
        <v>630080</v>
      </c>
      <c r="BW123" s="138">
        <f t="shared" si="101"/>
        <v>0.61209066666666656</v>
      </c>
      <c r="BX123" s="143"/>
    </row>
    <row r="124" spans="69:76">
      <c r="BQ124" s="261">
        <f>'KSHD 6.0'!T124/12*$E$3+'NIRO 21.5'!T124/12*$E$4+'NIRO 4.5|KSLD 4.1'!T124/12*$E$5+'NIRO 13.5|KSLD 7.0'!T124/12*$E$7+'NIRO 15|KSLD 5.5'!T124/12*$E$9</f>
        <v>83750</v>
      </c>
      <c r="BT124" s="265"/>
      <c r="BU124" s="20" t="s">
        <v>242</v>
      </c>
      <c r="BV124" s="128">
        <v>633000</v>
      </c>
      <c r="BW124" s="138">
        <f t="shared" si="101"/>
        <v>0.11166666666666666</v>
      </c>
      <c r="BX124" s="143"/>
    </row>
    <row r="125" spans="69:76" ht="17.25">
      <c r="BQ125" s="262">
        <f>'KSHD 6.0'!T125/12*$E$3+'NIRO 21.5'!T125/12*$E$4+'NIRO 4.5|KSLD 4.1'!T125/12*$E$5+'NIRO 13.5|KSLD 7.0'!T125/12*$E$7+'NIRO 15|KSLD 5.5'!T125/12*$E$9</f>
        <v>0</v>
      </c>
      <c r="BT125" s="265"/>
      <c r="BU125" s="20" t="s">
        <v>243</v>
      </c>
      <c r="BV125" s="128">
        <v>660000</v>
      </c>
      <c r="BW125" s="258">
        <f t="shared" si="101"/>
        <v>0</v>
      </c>
      <c r="BX125" s="161"/>
    </row>
    <row r="126" spans="69:76">
      <c r="BQ126" s="264">
        <f>SUM(BQ117:BQ125)</f>
        <v>750000</v>
      </c>
      <c r="BT126" s="256" t="s">
        <v>12</v>
      </c>
      <c r="BU126" s="130" t="s">
        <v>17</v>
      </c>
      <c r="BV126" s="257" t="s">
        <v>107</v>
      </c>
      <c r="BW126" s="138">
        <f>SUM(BW117:BW125)</f>
        <v>0.99999999999999989</v>
      </c>
      <c r="BX126" s="259"/>
    </row>
    <row r="127" spans="69:76">
      <c r="BQ127" s="1"/>
      <c r="BT127" s="62"/>
      <c r="BU127" s="1"/>
      <c r="BV127" s="1"/>
      <c r="BW127" s="1"/>
      <c r="BX127" s="1"/>
    </row>
    <row r="128" spans="69:76">
      <c r="BQ128" s="1"/>
      <c r="BT128" s="62"/>
      <c r="BU128" s="1"/>
      <c r="BV128" s="1"/>
      <c r="BW128" s="1"/>
      <c r="BX128" s="1"/>
    </row>
    <row r="129" spans="69:77">
      <c r="BQ129" s="1"/>
      <c r="BT129" s="62"/>
      <c r="BU129" s="1"/>
      <c r="BV129" s="1"/>
      <c r="BW129" s="1"/>
      <c r="BX129" s="136"/>
      <c r="BY129" s="136"/>
    </row>
    <row r="130" spans="69:77">
      <c r="BQ130" s="261">
        <f>'KSHD 6.0'!T130/12*$E$3+'NIRO 21.5'!T130/12*$E$4+'NIRO 4.5|KSLD 4.1'!T130/12*$E$5+'NIRO 13.5|KSLD 7.0'!T130/12*$E$7+'NIRO 15|KSLD 5.5'!T130/12*$E$9</f>
        <v>142500</v>
      </c>
      <c r="BT130" s="265"/>
      <c r="BU130" s="20" t="s">
        <v>244</v>
      </c>
      <c r="BV130" s="128" t="s">
        <v>100</v>
      </c>
      <c r="BW130" s="138">
        <f>BQ130/$BQ$132</f>
        <v>0.5</v>
      </c>
      <c r="BX130" s="143"/>
      <c r="BY130" s="144"/>
    </row>
    <row r="131" spans="69:77" ht="17.25">
      <c r="BQ131" s="262">
        <f>'KSHD 6.0'!T131/12*$E$3+'NIRO 21.5'!T131/12*$E$4+'NIRO 4.5|KSLD 4.1'!T131/12*$E$5+'NIRO 13.5|KSLD 7.0'!T131/12*$E$7+'NIRO 15|KSLD 5.5'!T131/12*$E$9</f>
        <v>142500</v>
      </c>
      <c r="BT131" s="265"/>
      <c r="BU131" s="20" t="s">
        <v>245</v>
      </c>
      <c r="BV131" s="128">
        <v>630040</v>
      </c>
      <c r="BW131" s="138">
        <f>BQ131/$BQ$132</f>
        <v>0.5</v>
      </c>
      <c r="BX131" s="161"/>
      <c r="BY131" s="378"/>
    </row>
    <row r="132" spans="69:77">
      <c r="BQ132" s="264">
        <f>SUM(BQ130:BQ131)</f>
        <v>285000</v>
      </c>
      <c r="BT132" s="256" t="s">
        <v>12</v>
      </c>
      <c r="BU132" s="130" t="s">
        <v>28</v>
      </c>
      <c r="BV132" s="257" t="s">
        <v>107</v>
      </c>
      <c r="BW132" s="138">
        <f>SUM(BW130:BW131)</f>
        <v>1</v>
      </c>
      <c r="BX132" s="259"/>
      <c r="BY132" s="144"/>
    </row>
    <row r="133" spans="69:77">
      <c r="BQ133" s="1"/>
      <c r="BT133" s="62"/>
      <c r="BU133" s="1"/>
      <c r="BV133" s="1"/>
      <c r="BW133" s="1"/>
      <c r="BX133" s="1"/>
    </row>
    <row r="134" spans="69:77">
      <c r="BQ134" s="1"/>
      <c r="BT134" s="62"/>
      <c r="BU134" s="139"/>
      <c r="BX134" s="260"/>
    </row>
    <row r="135" spans="69:77">
      <c r="BQ135" s="261">
        <f>'KSHD 6.0'!T135/12*$E$3+'NIRO 21.5'!T135/12*$E$4+'NIRO 4.5|KSLD 4.1'!T135/12*$E$5+'NIRO 13.5|KSLD 7.0'!T135/12*$E$7+'NIRO 15|KSLD 5.5'!T135/12*$E$9</f>
        <v>148897</v>
      </c>
      <c r="BT135" s="265"/>
      <c r="BU135" s="20" t="s">
        <v>399</v>
      </c>
      <c r="BV135" s="128" t="s">
        <v>400</v>
      </c>
      <c r="BW135" s="138">
        <f>BQ135/$BQ$143</f>
        <v>3.1020208333333334E-2</v>
      </c>
      <c r="BX135" s="143"/>
    </row>
    <row r="136" spans="69:77">
      <c r="BQ136" s="261">
        <f>'KSHD 6.0'!T136/12*$E$3+'NIRO 21.5'!T136/12*$E$4+'NIRO 4.5|KSLD 4.1'!T136/12*$E$5+'NIRO 13.5|KSLD 7.0'!T136/12*$E$7+'NIRO 15|KSLD 5.5'!T136/12*$E$9</f>
        <v>7396.0000000000009</v>
      </c>
      <c r="BT136" s="265"/>
      <c r="BU136" s="20" t="s">
        <v>246</v>
      </c>
      <c r="BV136" s="128" t="s">
        <v>101</v>
      </c>
      <c r="BW136" s="138">
        <f t="shared" ref="BW136:BW142" si="102">BQ136/$BQ$143</f>
        <v>1.5408333333333335E-3</v>
      </c>
      <c r="BX136" s="143"/>
    </row>
    <row r="137" spans="69:77">
      <c r="BQ137" s="261">
        <f>'KSHD 6.0'!T137/12*$E$3+'NIRO 21.5'!T137/12*$E$4+'NIRO 4.5|KSLD 4.1'!T137/12*$E$5+'NIRO 13.5|KSLD 7.0'!T137/12*$E$7+'NIRO 15|KSLD 5.5'!T137/12*$E$9</f>
        <v>379435</v>
      </c>
      <c r="BT137" s="265"/>
      <c r="BU137" s="20" t="s">
        <v>247</v>
      </c>
      <c r="BV137" s="128">
        <v>640010</v>
      </c>
      <c r="BW137" s="138">
        <f t="shared" si="102"/>
        <v>7.9048958333333336E-2</v>
      </c>
      <c r="BX137" s="143"/>
    </row>
    <row r="138" spans="69:77">
      <c r="BQ138" s="261">
        <f>'KSHD 6.0'!T138/12*$E$3+'NIRO 21.5'!T138/12*$E$4+'NIRO 4.5|KSLD 4.1'!T138/12*$E$5+'NIRO 13.5|KSLD 7.0'!T138/12*$E$7+'NIRO 15|KSLD 5.5'!T138/12*$E$9</f>
        <v>3980171.0000000005</v>
      </c>
      <c r="BT138" s="265"/>
      <c r="BU138" s="20" t="s">
        <v>248</v>
      </c>
      <c r="BV138" s="128">
        <v>640020</v>
      </c>
      <c r="BW138" s="138">
        <f t="shared" si="102"/>
        <v>0.82920229166666681</v>
      </c>
      <c r="BX138" s="143"/>
    </row>
    <row r="139" spans="69:77">
      <c r="BQ139" s="261">
        <f>'KSHD 6.0'!T139/12*$E$3+'NIRO 21.5'!T139/12*$E$4+'NIRO 4.5|KSLD 4.1'!T139/12*$E$5+'NIRO 13.5|KSLD 7.0'!T139/12*$E$7+'NIRO 15|KSLD 5.5'!T139/12*$E$9</f>
        <v>263981</v>
      </c>
      <c r="BT139" s="265"/>
      <c r="BU139" s="20" t="s">
        <v>401</v>
      </c>
      <c r="BV139" s="128" t="s">
        <v>402</v>
      </c>
      <c r="BW139" s="138">
        <f t="shared" si="102"/>
        <v>5.4996041666666669E-2</v>
      </c>
      <c r="BX139" s="143"/>
    </row>
    <row r="140" spans="69:77">
      <c r="BQ140" s="261">
        <f>'KSHD 6.0'!T140/12*$E$3+'NIRO 21.5'!T140/12*$E$4+'NIRO 4.5|KSLD 4.1'!T140/12*$E$5+'NIRO 13.5|KSLD 7.0'!T140/12*$E$7+'NIRO 15|KSLD 5.5'!T140/12*$E$9</f>
        <v>7264.0000000000009</v>
      </c>
      <c r="BT140" s="265"/>
      <c r="BU140" s="20" t="s">
        <v>249</v>
      </c>
      <c r="BV140" s="128">
        <v>640040</v>
      </c>
      <c r="BW140" s="138">
        <f t="shared" si="102"/>
        <v>1.5133333333333335E-3</v>
      </c>
      <c r="BX140" s="143"/>
    </row>
    <row r="141" spans="69:77">
      <c r="BQ141" s="261">
        <f>'KSHD 6.0'!T141/12*$E$3+'NIRO 21.5'!T141/12*$E$4+'NIRO 4.5|KSLD 4.1'!T141/12*$E$5+'NIRO 13.5|KSLD 7.0'!T141/12*$E$7+'NIRO 15|KSLD 5.5'!T141/12*$E$9</f>
        <v>1111</v>
      </c>
      <c r="BT141" s="265"/>
      <c r="BU141" s="20" t="s">
        <v>250</v>
      </c>
      <c r="BV141" s="128">
        <v>640070</v>
      </c>
      <c r="BW141" s="138">
        <f t="shared" si="102"/>
        <v>2.3145833333333333E-4</v>
      </c>
      <c r="BX141" s="143"/>
    </row>
    <row r="142" spans="69:77" ht="17.25">
      <c r="BQ142" s="262">
        <f>'KSHD 6.0'!T142/12*$E$3+'NIRO 21.5'!T142/12*$E$4+'NIRO 4.5|KSLD 4.1'!T142/12*$E$5+'NIRO 13.5|KSLD 7.0'!T142/12*$E$7+'NIRO 15|KSLD 5.5'!T142/12*$E$9+1</f>
        <v>11745</v>
      </c>
      <c r="BT142" s="265"/>
      <c r="BU142" s="20" t="s">
        <v>251</v>
      </c>
      <c r="BV142" s="128">
        <v>640080</v>
      </c>
      <c r="BW142" s="138">
        <f t="shared" si="102"/>
        <v>2.4468749999999998E-3</v>
      </c>
      <c r="BX142" s="161"/>
    </row>
    <row r="143" spans="69:77">
      <c r="BQ143" s="264">
        <f>SUM(BQ135:BQ142)</f>
        <v>4800000</v>
      </c>
      <c r="BT143" s="256" t="s">
        <v>12</v>
      </c>
      <c r="BU143" s="130" t="s">
        <v>30</v>
      </c>
      <c r="BV143" s="257" t="s">
        <v>107</v>
      </c>
      <c r="BW143" s="138">
        <f>SUM(BW135:BW142)</f>
        <v>1.0000000000000002</v>
      </c>
      <c r="BX143" s="259"/>
    </row>
  </sheetData>
  <mergeCells count="37">
    <mergeCell ref="CB41:CE41"/>
    <mergeCell ref="CG41:CI41"/>
    <mergeCell ref="BX41:CA41"/>
    <mergeCell ref="B19:D19"/>
    <mergeCell ref="I2:K2"/>
    <mergeCell ref="BV22:BW22"/>
    <mergeCell ref="BV23:BW23"/>
    <mergeCell ref="I23:J23"/>
    <mergeCell ref="I24:J24"/>
    <mergeCell ref="BV24:BW24"/>
    <mergeCell ref="I35:J35"/>
    <mergeCell ref="I36:J36"/>
    <mergeCell ref="I30:J30"/>
    <mergeCell ref="I31:J31"/>
    <mergeCell ref="I32:J32"/>
    <mergeCell ref="I33:J33"/>
    <mergeCell ref="V1:W1"/>
    <mergeCell ref="Z1:AA1"/>
    <mergeCell ref="X1:Y1"/>
    <mergeCell ref="I19:J19"/>
    <mergeCell ref="CG3:CI3"/>
    <mergeCell ref="AH1:AI1"/>
    <mergeCell ref="AB1:AC1"/>
    <mergeCell ref="AD1:AE1"/>
    <mergeCell ref="AF1:AG1"/>
    <mergeCell ref="BO1:BS1"/>
    <mergeCell ref="BX1:CF1"/>
    <mergeCell ref="I18:J18"/>
    <mergeCell ref="I20:J20"/>
    <mergeCell ref="I21:J21"/>
    <mergeCell ref="I22:J22"/>
    <mergeCell ref="I34:J34"/>
    <mergeCell ref="I25:J25"/>
    <mergeCell ref="I26:J26"/>
    <mergeCell ref="I27:J27"/>
    <mergeCell ref="I28:J28"/>
    <mergeCell ref="I29:J29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workbookViewId="0">
      <selection activeCell="B3" sqref="B3:D3"/>
    </sheetView>
  </sheetViews>
  <sheetFormatPr defaultRowHeight="15"/>
  <cols>
    <col min="1" max="1" width="8.5703125" bestFit="1" customWidth="1"/>
    <col min="2" max="13" width="11" bestFit="1" customWidth="1"/>
    <col min="14" max="14" width="12.42578125" bestFit="1" customWidth="1"/>
    <col min="15" max="15" width="11.42578125" bestFit="1" customWidth="1"/>
    <col min="16" max="16" width="12.42578125" bestFit="1" customWidth="1"/>
  </cols>
  <sheetData>
    <row r="1" spans="1:16" s="392" customFormat="1">
      <c r="A1" s="503" t="s">
        <v>423</v>
      </c>
      <c r="B1" s="392" t="s">
        <v>328</v>
      </c>
      <c r="C1" s="392" t="s">
        <v>329</v>
      </c>
      <c r="D1" s="392" t="s">
        <v>330</v>
      </c>
      <c r="E1" s="392" t="s">
        <v>331</v>
      </c>
      <c r="F1" s="392" t="s">
        <v>332</v>
      </c>
      <c r="G1" s="392" t="s">
        <v>333</v>
      </c>
      <c r="H1" s="392" t="s">
        <v>334</v>
      </c>
      <c r="I1" s="392" t="s">
        <v>335</v>
      </c>
      <c r="J1" s="392" t="s">
        <v>336</v>
      </c>
      <c r="K1" s="392" t="s">
        <v>337</v>
      </c>
      <c r="L1" s="392" t="s">
        <v>338</v>
      </c>
      <c r="M1" s="392" t="s">
        <v>339</v>
      </c>
      <c r="N1" s="392" t="s">
        <v>340</v>
      </c>
      <c r="O1" s="392" t="s">
        <v>427</v>
      </c>
    </row>
    <row r="2" spans="1:16">
      <c r="A2" t="s">
        <v>282</v>
      </c>
      <c r="B2" s="393">
        <v>6000000</v>
      </c>
      <c r="C2" s="393">
        <v>0</v>
      </c>
      <c r="D2" s="393">
        <v>0</v>
      </c>
      <c r="E2" s="393">
        <v>0</v>
      </c>
      <c r="F2" s="393">
        <v>0</v>
      </c>
      <c r="G2" s="393">
        <v>0</v>
      </c>
      <c r="H2" s="393">
        <v>0</v>
      </c>
      <c r="I2" s="393">
        <v>0</v>
      </c>
      <c r="J2" s="393">
        <v>0</v>
      </c>
      <c r="K2" s="393">
        <v>0</v>
      </c>
      <c r="L2" s="393">
        <v>0</v>
      </c>
      <c r="M2" s="393">
        <v>0</v>
      </c>
      <c r="N2" s="394">
        <f>SUM(B2:M2)</f>
        <v>6000000</v>
      </c>
      <c r="O2" s="394">
        <f>N2/12</f>
        <v>500000</v>
      </c>
    </row>
    <row r="3" spans="1:16">
      <c r="A3" t="s">
        <v>177</v>
      </c>
      <c r="B3" s="393">
        <v>0</v>
      </c>
      <c r="C3" s="393">
        <v>6500000</v>
      </c>
      <c r="D3" s="393">
        <v>7000000</v>
      </c>
      <c r="E3" s="393">
        <v>7000000</v>
      </c>
      <c r="F3" s="393">
        <v>7000000</v>
      </c>
      <c r="G3" s="393">
        <v>7000000</v>
      </c>
      <c r="H3" s="393">
        <v>5500000</v>
      </c>
      <c r="I3" s="393">
        <v>0</v>
      </c>
      <c r="J3" s="393">
        <v>0</v>
      </c>
      <c r="K3" s="393">
        <v>0</v>
      </c>
      <c r="L3" s="393">
        <v>0</v>
      </c>
      <c r="M3" s="393">
        <v>0</v>
      </c>
      <c r="N3" s="394">
        <f t="shared" ref="N3:N4" si="0">SUM(B3:M3)</f>
        <v>40000000</v>
      </c>
      <c r="O3" s="394">
        <f>N3/12</f>
        <v>3333333.3333333335</v>
      </c>
    </row>
    <row r="4" spans="1:16">
      <c r="A4" t="s">
        <v>341</v>
      </c>
      <c r="B4" s="393">
        <v>0</v>
      </c>
      <c r="C4" s="393">
        <v>13500000</v>
      </c>
      <c r="D4" s="393">
        <v>13500000</v>
      </c>
      <c r="E4" s="393">
        <v>13500000</v>
      </c>
      <c r="F4" s="393">
        <v>13500000</v>
      </c>
      <c r="G4" s="393">
        <v>13500000</v>
      </c>
      <c r="H4" s="393">
        <v>15000000</v>
      </c>
      <c r="I4" s="393">
        <v>21500000</v>
      </c>
      <c r="J4" s="393">
        <v>21500000</v>
      </c>
      <c r="K4" s="393">
        <v>21500000</v>
      </c>
      <c r="L4" s="393">
        <v>21500000</v>
      </c>
      <c r="M4" s="393">
        <v>21500000</v>
      </c>
      <c r="N4" s="394">
        <f t="shared" si="0"/>
        <v>190000000</v>
      </c>
      <c r="O4" s="394">
        <f>N4/12</f>
        <v>15833333.333333334</v>
      </c>
    </row>
    <row r="5" spans="1:16" ht="15.75" thickBot="1">
      <c r="A5" s="504" t="s">
        <v>107</v>
      </c>
      <c r="B5" s="521">
        <f>SUM(B2:B4)</f>
        <v>6000000</v>
      </c>
      <c r="C5" s="506">
        <f t="shared" ref="C5:M5" si="1">SUM(C2:C4)</f>
        <v>20000000</v>
      </c>
      <c r="D5" s="507">
        <f t="shared" si="1"/>
        <v>20500000</v>
      </c>
      <c r="E5" s="507">
        <f t="shared" si="1"/>
        <v>20500000</v>
      </c>
      <c r="F5" s="507">
        <f t="shared" si="1"/>
        <v>20500000</v>
      </c>
      <c r="G5" s="507">
        <f t="shared" si="1"/>
        <v>20500000</v>
      </c>
      <c r="H5" s="508">
        <f t="shared" si="1"/>
        <v>20500000</v>
      </c>
      <c r="I5" s="509">
        <f t="shared" si="1"/>
        <v>21500000</v>
      </c>
      <c r="J5" s="509">
        <f t="shared" si="1"/>
        <v>21500000</v>
      </c>
      <c r="K5" s="509">
        <f t="shared" si="1"/>
        <v>21500000</v>
      </c>
      <c r="L5" s="509">
        <f t="shared" si="1"/>
        <v>21500000</v>
      </c>
      <c r="M5" s="511">
        <f t="shared" si="1"/>
        <v>21500000</v>
      </c>
      <c r="N5" s="512">
        <f>SUM(N2:N4)</f>
        <v>236000000</v>
      </c>
      <c r="O5" s="510">
        <f>SUM(O2:O4)</f>
        <v>19666666.666666668</v>
      </c>
    </row>
    <row r="6" spans="1:16">
      <c r="M6" s="513" t="s">
        <v>425</v>
      </c>
      <c r="N6" s="514">
        <v>260000000</v>
      </c>
    </row>
    <row r="7" spans="1:16" ht="15.75" thickBot="1">
      <c r="M7" s="515" t="s">
        <v>426</v>
      </c>
      <c r="N7" s="516">
        <f>N5/N6</f>
        <v>0.90769230769230769</v>
      </c>
    </row>
    <row r="8" spans="1:16">
      <c r="O8" s="144"/>
    </row>
    <row r="9" spans="1:16" ht="17.25">
      <c r="A9" t="s">
        <v>282</v>
      </c>
      <c r="B9" s="144">
        <f t="shared" ref="B9:N9" si="2">B2/B$5</f>
        <v>1</v>
      </c>
      <c r="C9" s="144">
        <f t="shared" si="2"/>
        <v>0</v>
      </c>
      <c r="D9" s="144">
        <f t="shared" si="2"/>
        <v>0</v>
      </c>
      <c r="E9" s="144">
        <f t="shared" si="2"/>
        <v>0</v>
      </c>
      <c r="F9" s="144">
        <f t="shared" si="2"/>
        <v>0</v>
      </c>
      <c r="G9" s="144">
        <f t="shared" si="2"/>
        <v>0</v>
      </c>
      <c r="H9" s="144">
        <f t="shared" si="2"/>
        <v>0</v>
      </c>
      <c r="I9" s="144">
        <f t="shared" si="2"/>
        <v>0</v>
      </c>
      <c r="J9" s="144">
        <f t="shared" si="2"/>
        <v>0</v>
      </c>
      <c r="K9" s="144">
        <f t="shared" si="2"/>
        <v>0</v>
      </c>
      <c r="L9" s="144">
        <f t="shared" si="2"/>
        <v>0</v>
      </c>
      <c r="M9" s="144">
        <f t="shared" si="2"/>
        <v>0</v>
      </c>
      <c r="N9" s="144">
        <f t="shared" si="2"/>
        <v>2.5423728813559324E-2</v>
      </c>
      <c r="O9" s="144"/>
      <c r="P9" s="500"/>
    </row>
    <row r="10" spans="1:16" ht="17.25">
      <c r="A10" t="s">
        <v>177</v>
      </c>
      <c r="B10" s="144">
        <f t="shared" ref="B10:N10" si="3">B3/B$5</f>
        <v>0</v>
      </c>
      <c r="C10" s="144">
        <f t="shared" si="3"/>
        <v>0.32500000000000001</v>
      </c>
      <c r="D10" s="144">
        <f t="shared" si="3"/>
        <v>0.34146341463414637</v>
      </c>
      <c r="E10" s="144">
        <f t="shared" si="3"/>
        <v>0.34146341463414637</v>
      </c>
      <c r="F10" s="144">
        <f t="shared" si="3"/>
        <v>0.34146341463414637</v>
      </c>
      <c r="G10" s="144">
        <f t="shared" si="3"/>
        <v>0.34146341463414637</v>
      </c>
      <c r="H10" s="144">
        <f t="shared" si="3"/>
        <v>0.26829268292682928</v>
      </c>
      <c r="I10" s="144">
        <f t="shared" si="3"/>
        <v>0</v>
      </c>
      <c r="J10" s="144">
        <f t="shared" si="3"/>
        <v>0</v>
      </c>
      <c r="K10" s="144">
        <f t="shared" si="3"/>
        <v>0</v>
      </c>
      <c r="L10" s="144">
        <f t="shared" si="3"/>
        <v>0</v>
      </c>
      <c r="M10" s="144">
        <f t="shared" si="3"/>
        <v>0</v>
      </c>
      <c r="N10" s="144">
        <f t="shared" si="3"/>
        <v>0.16949152542372881</v>
      </c>
      <c r="O10" s="144"/>
      <c r="P10" s="500"/>
    </row>
    <row r="11" spans="1:16" ht="17.25">
      <c r="A11" t="s">
        <v>341</v>
      </c>
      <c r="B11" s="144">
        <f t="shared" ref="B11:N11" si="4">B4/B$5</f>
        <v>0</v>
      </c>
      <c r="C11" s="144">
        <f t="shared" si="4"/>
        <v>0.67500000000000004</v>
      </c>
      <c r="D11" s="144">
        <f t="shared" si="4"/>
        <v>0.65853658536585369</v>
      </c>
      <c r="E11" s="144">
        <f t="shared" si="4"/>
        <v>0.65853658536585369</v>
      </c>
      <c r="F11" s="144">
        <f t="shared" si="4"/>
        <v>0.65853658536585369</v>
      </c>
      <c r="G11" s="144">
        <f t="shared" si="4"/>
        <v>0.65853658536585369</v>
      </c>
      <c r="H11" s="144">
        <f t="shared" si="4"/>
        <v>0.73170731707317072</v>
      </c>
      <c r="I11" s="144">
        <f t="shared" si="4"/>
        <v>1</v>
      </c>
      <c r="J11" s="144">
        <f t="shared" si="4"/>
        <v>1</v>
      </c>
      <c r="K11" s="144">
        <f t="shared" si="4"/>
        <v>1</v>
      </c>
      <c r="L11" s="144">
        <f t="shared" si="4"/>
        <v>1</v>
      </c>
      <c r="M11" s="144">
        <f t="shared" si="4"/>
        <v>1</v>
      </c>
      <c r="N11" s="144">
        <f t="shared" si="4"/>
        <v>0.80508474576271183</v>
      </c>
      <c r="P11" s="500"/>
    </row>
    <row r="12" spans="1:16" ht="17.25">
      <c r="P12" s="500"/>
    </row>
    <row r="13" spans="1:16">
      <c r="A13" s="503" t="s">
        <v>424</v>
      </c>
      <c r="B13" s="392" t="s">
        <v>328</v>
      </c>
      <c r="C13" s="392" t="s">
        <v>329</v>
      </c>
      <c r="D13" s="392" t="s">
        <v>330</v>
      </c>
      <c r="E13" s="392" t="s">
        <v>331</v>
      </c>
      <c r="F13" s="392" t="s">
        <v>332</v>
      </c>
      <c r="G13" s="392" t="s">
        <v>333</v>
      </c>
      <c r="H13" s="392" t="s">
        <v>334</v>
      </c>
      <c r="I13" s="392" t="s">
        <v>335</v>
      </c>
      <c r="J13" s="392" t="s">
        <v>336</v>
      </c>
      <c r="K13" s="392" t="s">
        <v>337</v>
      </c>
      <c r="L13" s="392" t="s">
        <v>338</v>
      </c>
      <c r="M13" s="392" t="s">
        <v>339</v>
      </c>
      <c r="N13" s="392" t="s">
        <v>340</v>
      </c>
      <c r="O13" s="392" t="s">
        <v>427</v>
      </c>
      <c r="P13" s="392" t="s">
        <v>117</v>
      </c>
    </row>
    <row r="14" spans="1:16">
      <c r="A14" t="s">
        <v>282</v>
      </c>
      <c r="B14" s="393">
        <v>2910000</v>
      </c>
      <c r="C14" s="393">
        <v>1271000</v>
      </c>
      <c r="D14" s="393">
        <v>0</v>
      </c>
      <c r="E14" s="393">
        <v>0</v>
      </c>
      <c r="F14" s="393">
        <v>0</v>
      </c>
      <c r="G14" s="393">
        <v>2733000</v>
      </c>
      <c r="H14" s="393">
        <v>3923000</v>
      </c>
      <c r="I14" s="393">
        <v>4497800</v>
      </c>
      <c r="J14" s="393">
        <v>116200</v>
      </c>
      <c r="K14" s="393">
        <v>0</v>
      </c>
      <c r="L14" s="393">
        <v>0</v>
      </c>
      <c r="M14" s="393">
        <v>0</v>
      </c>
      <c r="N14" s="394">
        <f>SUM(B14:M14)</f>
        <v>15451000</v>
      </c>
      <c r="O14" s="143">
        <f>N14/10</f>
        <v>1545100</v>
      </c>
      <c r="P14" s="394">
        <f>O14*12</f>
        <v>18541200</v>
      </c>
    </row>
    <row r="15" spans="1:16">
      <c r="A15" t="s">
        <v>177</v>
      </c>
      <c r="B15" s="393">
        <v>1447000</v>
      </c>
      <c r="C15" s="393">
        <v>2611970</v>
      </c>
      <c r="D15" s="393">
        <v>2304000</v>
      </c>
      <c r="E15" s="393">
        <v>0</v>
      </c>
      <c r="F15" s="393">
        <v>0</v>
      </c>
      <c r="G15" s="393">
        <v>0</v>
      </c>
      <c r="H15" s="393">
        <v>0</v>
      </c>
      <c r="I15" s="393">
        <v>0</v>
      </c>
      <c r="J15" s="393">
        <v>0</v>
      </c>
      <c r="K15" s="393">
        <v>2016466</v>
      </c>
      <c r="L15" s="393">
        <v>0</v>
      </c>
      <c r="M15" s="393">
        <v>0</v>
      </c>
      <c r="N15" s="394">
        <f t="shared" ref="N15:N16" si="5">SUM(B15:M15)</f>
        <v>8379436</v>
      </c>
      <c r="O15" s="143">
        <f>N15/10</f>
        <v>837943.6</v>
      </c>
      <c r="P15" s="394">
        <f t="shared" ref="P15:P16" si="6">O15*12</f>
        <v>10055323.199999999</v>
      </c>
    </row>
    <row r="16" spans="1:16">
      <c r="A16" t="s">
        <v>341</v>
      </c>
      <c r="B16" s="393">
        <v>12377334</v>
      </c>
      <c r="C16" s="393">
        <v>8117083</v>
      </c>
      <c r="D16" s="393">
        <v>13580400</v>
      </c>
      <c r="E16" s="393">
        <v>14757693</v>
      </c>
      <c r="F16" s="393">
        <v>18110000</v>
      </c>
      <c r="G16" s="393">
        <v>12844800</v>
      </c>
      <c r="H16" s="393">
        <v>11938000</v>
      </c>
      <c r="I16" s="393">
        <v>11682539</v>
      </c>
      <c r="J16" s="393">
        <v>9709800</v>
      </c>
      <c r="K16" s="393">
        <v>9696552</v>
      </c>
      <c r="L16" s="393">
        <v>0</v>
      </c>
      <c r="M16" s="393">
        <v>0</v>
      </c>
      <c r="N16" s="394">
        <f t="shared" si="5"/>
        <v>122814201</v>
      </c>
      <c r="O16" s="143">
        <f>N16/10</f>
        <v>12281420.1</v>
      </c>
      <c r="P16" s="394">
        <f t="shared" si="6"/>
        <v>147377041.19999999</v>
      </c>
    </row>
    <row r="17" spans="1:16" ht="15.75" thickBot="1">
      <c r="A17" s="504" t="s">
        <v>107</v>
      </c>
      <c r="B17" s="505">
        <f>SUM(B14:B16)</f>
        <v>16734334</v>
      </c>
      <c r="C17" s="506">
        <f t="shared" ref="C17:M17" si="7">SUM(C14:C16)</f>
        <v>12000053</v>
      </c>
      <c r="D17" s="507">
        <f t="shared" si="7"/>
        <v>15884400</v>
      </c>
      <c r="E17" s="507">
        <f t="shared" si="7"/>
        <v>14757693</v>
      </c>
      <c r="F17" s="507">
        <f t="shared" si="7"/>
        <v>18110000</v>
      </c>
      <c r="G17" s="507">
        <f t="shared" si="7"/>
        <v>15577800</v>
      </c>
      <c r="H17" s="508">
        <f t="shared" si="7"/>
        <v>15861000</v>
      </c>
      <c r="I17" s="509">
        <f t="shared" si="7"/>
        <v>16180339</v>
      </c>
      <c r="J17" s="509">
        <f t="shared" si="7"/>
        <v>9826000</v>
      </c>
      <c r="K17" s="509">
        <f t="shared" si="7"/>
        <v>11713018</v>
      </c>
      <c r="L17" s="509">
        <f t="shared" si="7"/>
        <v>0</v>
      </c>
      <c r="M17" s="511">
        <f t="shared" si="7"/>
        <v>0</v>
      </c>
      <c r="N17" s="512">
        <f>SUM(N14:N16)</f>
        <v>146644637</v>
      </c>
      <c r="O17" s="512">
        <f>SUM(O14:O16)</f>
        <v>14664463.699999999</v>
      </c>
      <c r="P17" s="512">
        <f>SUM(P14:P16)</f>
        <v>175973564.39999998</v>
      </c>
    </row>
    <row r="18" spans="1:16">
      <c r="M18" s="513" t="s">
        <v>425</v>
      </c>
      <c r="N18" s="517">
        <f>260000000/12*10</f>
        <v>216666666.66666669</v>
      </c>
      <c r="O18" s="518"/>
      <c r="P18" s="514">
        <v>260000000</v>
      </c>
    </row>
    <row r="19" spans="1:16" ht="15.75" thickBot="1">
      <c r="M19" s="515" t="s">
        <v>426</v>
      </c>
      <c r="N19" s="519">
        <f>N17/N18</f>
        <v>0.67682140153846149</v>
      </c>
      <c r="O19" s="520"/>
      <c r="P19" s="516">
        <f>P17/P18</f>
        <v>0.67682140153846149</v>
      </c>
    </row>
    <row r="21" spans="1:16">
      <c r="A21" t="s">
        <v>282</v>
      </c>
      <c r="B21" s="144">
        <f t="shared" ref="B21:K21" si="8">B14/B$17</f>
        <v>0.17389398347134699</v>
      </c>
      <c r="C21" s="144">
        <f t="shared" si="8"/>
        <v>0.10591619887012166</v>
      </c>
      <c r="D21" s="144">
        <f t="shared" si="8"/>
        <v>0</v>
      </c>
      <c r="E21" s="144">
        <f t="shared" si="8"/>
        <v>0</v>
      </c>
      <c r="F21" s="144">
        <f t="shared" si="8"/>
        <v>0</v>
      </c>
      <c r="G21" s="144">
        <f t="shared" si="8"/>
        <v>0.17544197511843779</v>
      </c>
      <c r="H21" s="144">
        <f t="shared" si="8"/>
        <v>0.24733623352878129</v>
      </c>
      <c r="I21" s="144">
        <f t="shared" si="8"/>
        <v>0.27797934270722019</v>
      </c>
      <c r="J21" s="144">
        <f t="shared" si="8"/>
        <v>1.182576836963159E-2</v>
      </c>
      <c r="K21" s="144">
        <f t="shared" si="8"/>
        <v>0</v>
      </c>
      <c r="N21" s="144">
        <f>N14/N$17</f>
        <v>0.1053635531178682</v>
      </c>
      <c r="O21" s="144"/>
      <c r="P21" s="144">
        <f>P14/P$17</f>
        <v>0.10536355311786821</v>
      </c>
    </row>
    <row r="22" spans="1:16">
      <c r="A22" t="s">
        <v>177</v>
      </c>
      <c r="B22" s="144">
        <f t="shared" ref="B22:K22" si="9">B15/B$17</f>
        <v>8.6468932674583887E-2</v>
      </c>
      <c r="C22" s="144">
        <f t="shared" si="9"/>
        <v>0.21766320532084316</v>
      </c>
      <c r="D22" s="144">
        <f t="shared" si="9"/>
        <v>0.14504797159477223</v>
      </c>
      <c r="E22" s="144">
        <f t="shared" si="9"/>
        <v>0</v>
      </c>
      <c r="F22" s="144">
        <f t="shared" si="9"/>
        <v>0</v>
      </c>
      <c r="G22" s="144">
        <f t="shared" si="9"/>
        <v>0</v>
      </c>
      <c r="H22" s="144">
        <f t="shared" si="9"/>
        <v>0</v>
      </c>
      <c r="I22" s="144">
        <f t="shared" si="9"/>
        <v>0</v>
      </c>
      <c r="J22" s="144">
        <f t="shared" si="9"/>
        <v>0</v>
      </c>
      <c r="K22" s="144">
        <f t="shared" si="9"/>
        <v>0.17215597209873665</v>
      </c>
      <c r="N22" s="144">
        <f>N15/N$17</f>
        <v>5.7141100905040258E-2</v>
      </c>
      <c r="O22" s="144"/>
      <c r="P22" s="144">
        <f>P15/P$17</f>
        <v>5.7141100905040258E-2</v>
      </c>
    </row>
    <row r="23" spans="1:16">
      <c r="A23" t="s">
        <v>341</v>
      </c>
      <c r="B23" s="144">
        <f t="shared" ref="B23:K23" si="10">B16/B$17</f>
        <v>0.73963708385406912</v>
      </c>
      <c r="C23" s="144">
        <f t="shared" si="10"/>
        <v>0.67642059580903513</v>
      </c>
      <c r="D23" s="144">
        <f t="shared" si="10"/>
        <v>0.85495202840522777</v>
      </c>
      <c r="E23" s="144">
        <f t="shared" si="10"/>
        <v>1</v>
      </c>
      <c r="F23" s="144">
        <f t="shared" si="10"/>
        <v>1</v>
      </c>
      <c r="G23" s="144">
        <f t="shared" si="10"/>
        <v>0.82455802488156227</v>
      </c>
      <c r="H23" s="144">
        <f t="shared" si="10"/>
        <v>0.75266376647121869</v>
      </c>
      <c r="I23" s="144">
        <f t="shared" si="10"/>
        <v>0.72202065729277987</v>
      </c>
      <c r="J23" s="144">
        <f t="shared" si="10"/>
        <v>0.98817423163036844</v>
      </c>
      <c r="K23" s="144">
        <f t="shared" si="10"/>
        <v>0.82784402790126332</v>
      </c>
      <c r="N23" s="144">
        <f>N16/N$17</f>
        <v>0.83749534597709152</v>
      </c>
      <c r="O23" s="144"/>
      <c r="P23" s="144">
        <f>P16/P$17</f>
        <v>0.83749534597709163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AP163"/>
  <sheetViews>
    <sheetView zoomScaleNormal="100" workbookViewId="0">
      <pane xSplit="1" ySplit="2" topLeftCell="B3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7109375" style="1" bestFit="1" customWidth="1"/>
    <col min="9" max="9" width="9.7109375" style="1" bestFit="1" customWidth="1"/>
    <col min="10" max="10" width="12.28515625" style="1" bestFit="1" customWidth="1"/>
    <col min="11" max="12" width="5.5703125" style="1" customWidth="1"/>
    <col min="13" max="13" width="15.28515625" style="1" bestFit="1" customWidth="1"/>
    <col min="14" max="14" width="13.5703125" style="1" bestFit="1" customWidth="1"/>
    <col min="15" max="15" width="11.28515625" style="1" bestFit="1" customWidth="1"/>
    <col min="16" max="16" width="13.42578125" style="1" bestFit="1" customWidth="1"/>
    <col min="17" max="17" width="7.28515625" style="1" bestFit="1" customWidth="1"/>
    <col min="18" max="18" width="12.42578125" style="1" customWidth="1" outlineLevel="1"/>
    <col min="19" max="19" width="9.5703125" style="1" bestFit="1" customWidth="1" outlineLevel="1"/>
    <col min="20" max="20" width="12.42578125" style="1" customWidth="1" outlineLevel="1"/>
    <col min="21" max="21" width="11.5703125" style="1" customWidth="1" outlineLevel="1"/>
    <col min="22" max="22" width="11.7109375" style="1" customWidth="1" outlineLevel="1"/>
    <col min="23" max="23" width="5.28515625" style="62" customWidth="1" outlineLevel="1"/>
    <col min="24" max="24" width="16.5703125" style="1" customWidth="1" outlineLevel="1"/>
    <col min="25" max="26" width="9" style="1" customWidth="1" outlineLevel="1"/>
    <col min="27" max="27" width="11" style="1" bestFit="1" customWidth="1" outlineLevel="1"/>
    <col min="28" max="28" width="11.42578125" style="1" bestFit="1" customWidth="1" outlineLevel="1"/>
    <col min="29" max="29" width="12.42578125" style="1" bestFit="1" customWidth="1" outlineLevel="1"/>
    <col min="30" max="30" width="12.42578125" style="1" customWidth="1" outlineLevel="1"/>
    <col min="31" max="31" width="11.42578125" style="135" bestFit="1" customWidth="1" outlineLevel="1"/>
    <col min="32" max="32" width="9.5703125" style="1" bestFit="1" customWidth="1" outlineLevel="1"/>
    <col min="33" max="33" width="11.5703125" style="1" bestFit="1" customWidth="1" outlineLevel="1"/>
    <col min="34" max="34" width="11.5703125" style="1" customWidth="1" outlineLevel="1"/>
    <col min="35" max="35" width="11.7109375" style="1" customWidth="1" outlineLevel="1"/>
    <col min="36" max="37" width="11.5703125" style="1" customWidth="1" outlineLevel="1"/>
    <col min="38" max="38" width="11.5703125" style="1" bestFit="1" customWidth="1" outlineLevel="1"/>
    <col min="39" max="40" width="11.5703125" style="1" bestFit="1" customWidth="1"/>
    <col min="41" max="42" width="10.28515625" style="1" bestFit="1" customWidth="1"/>
    <col min="43" max="237" width="8.5703125" style="1" customWidth="1"/>
    <col min="238" max="16384" width="10.5703125" style="1"/>
  </cols>
  <sheetData>
    <row r="1" spans="1:42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R1" s="1029" t="s">
        <v>216</v>
      </c>
      <c r="S1" s="1029"/>
      <c r="T1" s="1029"/>
      <c r="U1" s="1029"/>
      <c r="V1" s="1029"/>
      <c r="W1" s="245"/>
      <c r="X1" s="246"/>
      <c r="Y1" s="128"/>
      <c r="Z1" s="128"/>
      <c r="AA1" s="1029" t="s">
        <v>225</v>
      </c>
      <c r="AB1" s="1029"/>
      <c r="AC1" s="1029"/>
      <c r="AD1" s="1029"/>
      <c r="AE1" s="1029"/>
      <c r="AF1" s="1029"/>
      <c r="AG1" s="1029"/>
      <c r="AH1" s="1029"/>
      <c r="AI1" s="1029"/>
      <c r="AJ1" s="248" t="s">
        <v>194</v>
      </c>
      <c r="AK1" s="248" t="s">
        <v>177</v>
      </c>
      <c r="AL1" s="248" t="s">
        <v>282</v>
      </c>
      <c r="AM1" s="387" t="s">
        <v>107</v>
      </c>
      <c r="AN1" s="387" t="s">
        <v>194</v>
      </c>
      <c r="AO1" s="387" t="s">
        <v>177</v>
      </c>
      <c r="AP1" s="387" t="s">
        <v>282</v>
      </c>
    </row>
    <row r="2" spans="1:42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R2" s="10" t="s">
        <v>190</v>
      </c>
      <c r="S2" s="10" t="s">
        <v>55</v>
      </c>
      <c r="T2" s="10" t="s">
        <v>3</v>
      </c>
      <c r="U2" s="140" t="s">
        <v>1</v>
      </c>
      <c r="V2" s="140" t="s">
        <v>215</v>
      </c>
      <c r="W2" s="249" t="s">
        <v>2</v>
      </c>
      <c r="X2" s="9" t="s">
        <v>223</v>
      </c>
      <c r="Y2" s="129" t="s">
        <v>226</v>
      </c>
      <c r="Z2" s="129" t="s">
        <v>227</v>
      </c>
      <c r="AA2" s="10" t="s">
        <v>194</v>
      </c>
      <c r="AB2" s="10" t="s">
        <v>177</v>
      </c>
      <c r="AC2" s="10" t="s">
        <v>282</v>
      </c>
      <c r="AD2" s="10" t="s">
        <v>3</v>
      </c>
      <c r="AE2" s="140" t="s">
        <v>228</v>
      </c>
      <c r="AF2" s="140" t="s">
        <v>229</v>
      </c>
      <c r="AG2" s="140" t="s">
        <v>283</v>
      </c>
      <c r="AH2" s="140" t="s">
        <v>230</v>
      </c>
      <c r="AI2" s="140" t="s">
        <v>215</v>
      </c>
      <c r="AJ2" s="249" t="s">
        <v>222</v>
      </c>
      <c r="AK2" s="249" t="s">
        <v>222</v>
      </c>
      <c r="AL2" s="249" t="s">
        <v>222</v>
      </c>
      <c r="AM2" s="388" t="s">
        <v>327</v>
      </c>
      <c r="AN2" s="388" t="s">
        <v>327</v>
      </c>
      <c r="AO2" s="388" t="s">
        <v>327</v>
      </c>
      <c r="AP2" s="388" t="s">
        <v>327</v>
      </c>
    </row>
    <row r="3" spans="1:42" ht="17.25" customHeight="1">
      <c r="B3" s="1031" t="s">
        <v>297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363"/>
      <c r="L3" s="363"/>
      <c r="M3" s="1031" t="s">
        <v>309</v>
      </c>
      <c r="N3" s="1032"/>
      <c r="O3" s="1032"/>
      <c r="P3" s="1033"/>
      <c r="R3" s="4"/>
      <c r="S3" s="4"/>
      <c r="T3" s="4"/>
      <c r="U3" s="4"/>
      <c r="V3" s="5"/>
      <c r="W3" s="265"/>
      <c r="X3" s="3"/>
      <c r="Y3" s="125"/>
      <c r="Z3" s="126"/>
      <c r="AA3" s="242"/>
      <c r="AB3" s="242"/>
      <c r="AC3" s="242"/>
      <c r="AD3" s="4"/>
      <c r="AE3" s="242"/>
      <c r="AF3" s="242"/>
      <c r="AG3" s="242"/>
      <c r="AH3" s="242"/>
      <c r="AI3" s="5"/>
      <c r="AJ3" s="1025"/>
      <c r="AK3" s="1025"/>
      <c r="AL3" s="1025"/>
      <c r="AM3" s="389"/>
      <c r="AN3" s="389"/>
      <c r="AO3" s="389"/>
      <c r="AP3" s="389"/>
    </row>
    <row r="4" spans="1:42" s="6" customFormat="1" ht="16.5">
      <c r="B4" s="319" t="s">
        <v>289</v>
      </c>
      <c r="C4" s="8" t="s">
        <v>288</v>
      </c>
      <c r="D4" s="313" t="s">
        <v>108</v>
      </c>
      <c r="E4" s="319" t="s">
        <v>289</v>
      </c>
      <c r="F4" s="7" t="s">
        <v>288</v>
      </c>
      <c r="G4" s="320" t="s">
        <v>108</v>
      </c>
      <c r="H4" s="319" t="s">
        <v>289</v>
      </c>
      <c r="I4" s="7" t="s">
        <v>288</v>
      </c>
      <c r="J4" s="313" t="s">
        <v>108</v>
      </c>
      <c r="K4" s="8"/>
      <c r="L4" s="8"/>
      <c r="M4" s="319" t="s">
        <v>289</v>
      </c>
      <c r="N4" s="364" t="s">
        <v>306</v>
      </c>
      <c r="O4" s="364" t="s">
        <v>307</v>
      </c>
      <c r="P4" s="365" t="s">
        <v>308</v>
      </c>
      <c r="R4" s="10"/>
      <c r="S4" s="10"/>
      <c r="T4" s="10"/>
      <c r="U4" s="5"/>
      <c r="V4" s="5"/>
      <c r="W4" s="256"/>
      <c r="X4" s="9"/>
      <c r="Y4" s="125"/>
      <c r="Z4" s="126"/>
      <c r="AA4" s="243"/>
      <c r="AB4" s="243"/>
      <c r="AC4" s="243"/>
      <c r="AD4" s="10"/>
      <c r="AE4" s="244"/>
      <c r="AF4" s="244"/>
      <c r="AG4" s="244"/>
      <c r="AH4" s="244"/>
      <c r="AI4" s="5"/>
      <c r="AJ4" s="5"/>
      <c r="AK4" s="5"/>
      <c r="AL4" s="5"/>
      <c r="AM4" s="390"/>
      <c r="AN4" s="390"/>
      <c r="AO4" s="390"/>
      <c r="AP4" s="390"/>
    </row>
    <row r="5" spans="1:42" s="6" customFormat="1" ht="15">
      <c r="A5" s="11"/>
      <c r="B5" s="335"/>
      <c r="C5" s="11" t="s">
        <v>287</v>
      </c>
      <c r="D5" s="314"/>
      <c r="E5" s="321"/>
      <c r="F5" s="11" t="s">
        <v>287</v>
      </c>
      <c r="G5" s="322"/>
      <c r="H5" s="321"/>
      <c r="I5" s="11" t="s">
        <v>287</v>
      </c>
      <c r="J5" s="322"/>
      <c r="K5" s="309"/>
      <c r="L5" s="309"/>
      <c r="M5" s="321"/>
      <c r="N5" s="11"/>
      <c r="O5" s="11"/>
      <c r="P5" s="322"/>
      <c r="R5" s="15"/>
      <c r="S5" s="15"/>
      <c r="T5" s="15"/>
      <c r="U5" s="16"/>
      <c r="V5" s="16"/>
      <c r="W5" s="159"/>
      <c r="X5" s="14"/>
      <c r="Y5" s="125"/>
      <c r="Z5" s="126"/>
      <c r="AA5" s="15"/>
      <c r="AB5" s="15"/>
      <c r="AC5" s="15"/>
      <c r="AD5" s="15"/>
      <c r="AE5" s="16"/>
      <c r="AF5" s="16"/>
      <c r="AG5" s="16"/>
      <c r="AH5" s="16"/>
      <c r="AI5" s="16"/>
      <c r="AJ5" s="16"/>
      <c r="AK5" s="16"/>
      <c r="AL5" s="16"/>
      <c r="AM5" s="391"/>
      <c r="AN5" s="391"/>
      <c r="AO5" s="391"/>
      <c r="AP5" s="391"/>
    </row>
    <row r="6" spans="1:42" ht="15">
      <c r="A6" s="17" t="s">
        <v>4</v>
      </c>
      <c r="B6" s="323">
        <f>IF($B$24&lt;&gt;0,$D$54,0)</f>
        <v>0</v>
      </c>
      <c r="C6" s="18">
        <v>5.1848256458867814E-2</v>
      </c>
      <c r="D6" s="238">
        <v>4.2711307857142861E-2</v>
      </c>
      <c r="E6" s="323">
        <f>IF($E$24&lt;&gt;0,$F$54,0)</f>
        <v>0</v>
      </c>
      <c r="F6" s="18">
        <v>0.13644871697440611</v>
      </c>
      <c r="G6" s="238">
        <v>8.7306307857142856E-2</v>
      </c>
      <c r="H6" s="323" t="e">
        <f>$H$54</f>
        <v>#REF!</v>
      </c>
      <c r="I6" s="18">
        <v>0.48991089907521851</v>
      </c>
      <c r="J6" s="238">
        <v>0.34557399999999999</v>
      </c>
      <c r="K6" s="18"/>
      <c r="L6" s="18"/>
      <c r="M6" s="323" t="e">
        <f>(B6*B$24+E6*E$24+H6*H$24)/M$24</f>
        <v>#REF!</v>
      </c>
      <c r="N6" s="18" t="e">
        <f>M6</f>
        <v>#REF!</v>
      </c>
      <c r="O6" s="18" t="e">
        <f>M6</f>
        <v>#REF!</v>
      </c>
      <c r="P6" s="238" t="e">
        <f>M6-O6</f>
        <v>#REF!</v>
      </c>
      <c r="Q6" s="1" t="e">
        <f>M6*$M$24</f>
        <v>#REF!</v>
      </c>
      <c r="R6" s="24"/>
      <c r="S6" s="21"/>
      <c r="T6" s="21"/>
      <c r="U6" s="2"/>
      <c r="V6" s="2"/>
      <c r="W6" s="159"/>
      <c r="X6" s="20"/>
      <c r="Y6" s="125"/>
      <c r="Z6" s="126"/>
      <c r="AA6" s="21"/>
      <c r="AB6" s="21"/>
      <c r="AC6" s="21"/>
      <c r="AD6" s="21"/>
      <c r="AE6" s="2"/>
      <c r="AF6" s="2"/>
      <c r="AG6" s="2"/>
      <c r="AH6" s="2"/>
      <c r="AI6" s="2"/>
      <c r="AJ6" s="2"/>
      <c r="AK6" s="2"/>
      <c r="AL6" s="2"/>
      <c r="AM6" s="253"/>
      <c r="AN6" s="253"/>
      <c r="AO6" s="253"/>
      <c r="AP6" s="253"/>
    </row>
    <row r="7" spans="1:42" ht="15">
      <c r="A7" s="17" t="s">
        <v>5</v>
      </c>
      <c r="B7" s="324">
        <f>IF($B$24&lt;&gt;0,$D$102,0)</f>
        <v>0</v>
      </c>
      <c r="C7" s="23">
        <v>7.4774681724732069E-3</v>
      </c>
      <c r="D7" s="315">
        <v>4.2586033477899779E-3</v>
      </c>
      <c r="E7" s="324">
        <f>IF($E$24&lt;&gt;0,$H$102,0)</f>
        <v>0</v>
      </c>
      <c r="F7" s="23">
        <v>5.1789467822632336E-2</v>
      </c>
      <c r="G7" s="325">
        <v>5.0065205607455927E-2</v>
      </c>
      <c r="H7" s="324">
        <f>$H$102</f>
        <v>5.1145999999999997E-2</v>
      </c>
      <c r="I7" s="23">
        <v>5.970646436615077E-2</v>
      </c>
      <c r="J7" s="315">
        <v>5.0065205607455927E-2</v>
      </c>
      <c r="K7" s="23"/>
      <c r="L7" s="23"/>
      <c r="M7" s="324">
        <f t="shared" ref="M7:M11" si="0">(B7*B$24+E7*E$24+H7*H$24)/M$24</f>
        <v>5.1145999999999997E-2</v>
      </c>
      <c r="N7" s="23">
        <v>6.5396806966618289E-3</v>
      </c>
      <c r="O7" s="23" t="e">
        <f>IF($M$22&lt;$N$22,M7,IF($M$12&lt;$N$12,M7,IF(AND($M$12&gt;$N$12,$M$20&lt;$N$20),(($N$7+$N$8+$N$9+$N$10+$N$11)+($N$20-$M$20))/($M$7+$M$8+$M$9+$M$10+$M$11)*M7,M7/($M$7+$M$8+$M$9+$M$10+$M$11)*($N$7+$N$8+$N$9+$N$10+$N$11))))</f>
        <v>#REF!</v>
      </c>
      <c r="P7" s="315" t="e">
        <f t="shared" ref="P7:P11" si="1">M7-O7</f>
        <v>#REF!</v>
      </c>
      <c r="Q7" s="1">
        <f t="shared" ref="Q7:Q11" si="2">M7*$M$24</f>
        <v>3682.5119999999997</v>
      </c>
      <c r="R7" s="24">
        <f>ROUND($G$96*$H$96,0)</f>
        <v>3682512</v>
      </c>
      <c r="S7" s="24">
        <v>0</v>
      </c>
      <c r="T7" s="24">
        <f>SUM(R7:S7)</f>
        <v>3682512</v>
      </c>
      <c r="U7" s="19">
        <f>G96</f>
        <v>54172800</v>
      </c>
      <c r="V7" s="25">
        <f>T7/U7</f>
        <v>6.797713981924508E-2</v>
      </c>
      <c r="W7" s="159" t="s">
        <v>6</v>
      </c>
      <c r="X7" s="20" t="s">
        <v>7</v>
      </c>
      <c r="Y7" s="125">
        <v>630010</v>
      </c>
      <c r="Z7" s="126">
        <v>1</v>
      </c>
      <c r="AA7" s="24">
        <f>ROUND($B$102*$C$102*$B$24*1000,0)</f>
        <v>0</v>
      </c>
      <c r="AB7" s="24">
        <f>ROUND($F$102*$G$102*$E$24*1000,0)</f>
        <v>0</v>
      </c>
      <c r="AC7" s="24">
        <f>ROUND($F$102*$G$102*$H$24*1000,0)</f>
        <v>3682512</v>
      </c>
      <c r="AD7" s="24">
        <f>SUM(AA7:AC7)</f>
        <v>3682512</v>
      </c>
      <c r="AE7" s="19">
        <f>$B$102*$B$24*1000</f>
        <v>0</v>
      </c>
      <c r="AF7" s="19">
        <f>$F$102*$E$24*1000</f>
        <v>0</v>
      </c>
      <c r="AG7" s="19">
        <f>$F$102*$H$24*1000</f>
        <v>54172799.999999993</v>
      </c>
      <c r="AH7" s="19">
        <f>SUM(AE7:AG7)</f>
        <v>54172799.999999993</v>
      </c>
      <c r="AI7" s="25">
        <f>AD7/AH7</f>
        <v>6.7977139819245094E-2</v>
      </c>
      <c r="AJ7" s="56" t="e">
        <f>ROUND(AE7/$B$24,3)</f>
        <v>#DIV/0!</v>
      </c>
      <c r="AK7" s="56" t="e">
        <f>ROUND(AF7/$E$24,3)</f>
        <v>#DIV/0!</v>
      </c>
      <c r="AL7" s="56">
        <f>IF($H$24&lt;&gt;0,ROUND(AG7/$H$24,3),0)</f>
        <v>752.4</v>
      </c>
      <c r="AM7" s="241" t="e">
        <f>P7*$M$24</f>
        <v>#REF!</v>
      </c>
      <c r="AN7" s="241" t="e">
        <f>$AM7/$AH7*AE7</f>
        <v>#REF!</v>
      </c>
      <c r="AO7" s="241" t="e">
        <f t="shared" ref="AO7:AP11" si="3">$AM7/$AH7*AF7</f>
        <v>#REF!</v>
      </c>
      <c r="AP7" s="241" t="e">
        <f t="shared" si="3"/>
        <v>#REF!</v>
      </c>
    </row>
    <row r="8" spans="1:42" ht="15">
      <c r="A8" s="26" t="s">
        <v>8</v>
      </c>
      <c r="B8" s="326">
        <f>IF($B$24&lt;&gt;0,$D$107,0)</f>
        <v>0</v>
      </c>
      <c r="C8" s="23">
        <v>2.6943144720550712E-2</v>
      </c>
      <c r="D8" s="315">
        <v>2.1338942513967681E-2</v>
      </c>
      <c r="E8" s="326">
        <f>IF($E$24&lt;&gt;0,$H$107,0)</f>
        <v>0</v>
      </c>
      <c r="F8" s="23">
        <v>2.268105439077309E-2</v>
      </c>
      <c r="G8" s="315">
        <v>1.1887447427872407E-2</v>
      </c>
      <c r="H8" s="326">
        <f>$H$107</f>
        <v>1.2474499999999999E-2</v>
      </c>
      <c r="I8" s="23">
        <v>2.3336341873140834E-2</v>
      </c>
      <c r="J8" s="315">
        <v>1.1887447427872407E-2</v>
      </c>
      <c r="K8" s="23"/>
      <c r="L8" s="23"/>
      <c r="M8" s="326">
        <f t="shared" si="0"/>
        <v>1.2474499999999999E-2</v>
      </c>
      <c r="N8" s="23">
        <v>2.9646432510885341E-2</v>
      </c>
      <c r="O8" s="23" t="e">
        <f>IF($M$22&lt;$N$22,M8,IF($M$12&lt;$N$12,M8,IF(AND($M$12&gt;$N$12,$M$20&lt;$N$20),(($N$7+$N$8+$N$9+$N$10+$N$11)+($N$20-$M$20))/($M$7+$M$8+$M$9+$M$10+$M$11)*M8,M8/($M$7+$M$8+$M$9+$M$10+$M$11)*($N$7+$N$8+$N$9+$N$10+$N$11))))</f>
        <v>#REF!</v>
      </c>
      <c r="P8" s="315" t="e">
        <f t="shared" si="1"/>
        <v>#REF!</v>
      </c>
      <c r="Q8" s="1">
        <f t="shared" si="2"/>
        <v>898.16399999999999</v>
      </c>
      <c r="R8" s="24">
        <f>ROUND($D$96*$C$96,0)</f>
        <v>898164</v>
      </c>
      <c r="S8" s="24">
        <v>0</v>
      </c>
      <c r="T8" s="24">
        <f>SUM(R8:S8)</f>
        <v>898164</v>
      </c>
      <c r="U8" s="19">
        <f>C96*1000</f>
        <v>175680000.00000003</v>
      </c>
      <c r="V8" s="25">
        <f>T8/U8</f>
        <v>5.112499999999999E-3</v>
      </c>
      <c r="W8" s="159" t="s">
        <v>9</v>
      </c>
      <c r="X8" s="20" t="s">
        <v>10</v>
      </c>
      <c r="Y8" s="125" t="s">
        <v>75</v>
      </c>
      <c r="Z8" s="126">
        <v>1</v>
      </c>
      <c r="AA8" s="24">
        <f>ROUND($B$107*$C$107*$B$24*1000,0)</f>
        <v>0</v>
      </c>
      <c r="AB8" s="24">
        <f>ROUND($F$107*$G$107*$E$24*1000,0)</f>
        <v>0</v>
      </c>
      <c r="AC8" s="24">
        <f>ROUND($F$107*$G$107*$H$24*1000,0)</f>
        <v>898164</v>
      </c>
      <c r="AD8" s="24">
        <f t="shared" ref="AD8:AD11" si="4">SUM(AA8:AC8)</f>
        <v>898164</v>
      </c>
      <c r="AE8" s="19">
        <f>$B$107*$B$24*1000*1000</f>
        <v>0</v>
      </c>
      <c r="AF8" s="19">
        <f>$F$107*$E$24*1000*1000</f>
        <v>0</v>
      </c>
      <c r="AG8" s="19">
        <f>$F$107*$H$24*1000*1000</f>
        <v>175680000.00000003</v>
      </c>
      <c r="AH8" s="19">
        <f t="shared" ref="AH8:AH11" si="5">SUM(AE8:AG8)</f>
        <v>175680000.00000003</v>
      </c>
      <c r="AI8" s="25">
        <f>AD8/AH8</f>
        <v>5.112499999999999E-3</v>
      </c>
      <c r="AJ8" s="56" t="e">
        <f>ROUND(AE8/$B$24,3)</f>
        <v>#DIV/0!</v>
      </c>
      <c r="AK8" s="56" t="e">
        <f>ROUND(AF8/$E$24,3)</f>
        <v>#DIV/0!</v>
      </c>
      <c r="AL8" s="56">
        <f>IF($H$24&lt;&gt;0,ROUND(AG8/$H$24,3),0)</f>
        <v>2440</v>
      </c>
      <c r="AM8" s="241" t="e">
        <f>P8*$M$24</f>
        <v>#REF!</v>
      </c>
      <c r="AN8" s="241" t="e">
        <f>$AM8/$AH8*AE8</f>
        <v>#REF!</v>
      </c>
      <c r="AO8" s="241" t="e">
        <f t="shared" si="3"/>
        <v>#REF!</v>
      </c>
      <c r="AP8" s="241" t="e">
        <f t="shared" si="3"/>
        <v>#REF!</v>
      </c>
    </row>
    <row r="9" spans="1:42" ht="15">
      <c r="A9" s="17" t="s">
        <v>11</v>
      </c>
      <c r="B9" s="326">
        <f>IF($B$24&lt;&gt;0,$H$117,0)</f>
        <v>0</v>
      </c>
      <c r="C9" s="23">
        <v>1.4341646397233654E-2</v>
      </c>
      <c r="D9" s="315">
        <v>1.2419503219871205E-2</v>
      </c>
      <c r="E9" s="326">
        <f>IF($E$24&lt;&gt;0,$H$117,0)</f>
        <v>0</v>
      </c>
      <c r="F9" s="23">
        <v>1.8091919034933433E-2</v>
      </c>
      <c r="G9" s="315">
        <v>1.2419503219871205E-2</v>
      </c>
      <c r="H9" s="326">
        <f>$H$117</f>
        <v>3.1944442499999996E-2</v>
      </c>
      <c r="I9" s="23">
        <v>2.9451034169154577E-2</v>
      </c>
      <c r="J9" s="315">
        <v>1.2419503219871205E-2</v>
      </c>
      <c r="K9" s="23"/>
      <c r="L9" s="23"/>
      <c r="M9" s="326">
        <f t="shared" si="0"/>
        <v>3.1944442499999996E-2</v>
      </c>
      <c r="N9" s="23">
        <v>1.4439611030478954E-2</v>
      </c>
      <c r="O9" s="23" t="e">
        <f>IF($M$22&lt;$N$22,M9,IF($M$12&lt;$N$12,M9,IF(AND($M$12&gt;$N$12,$M$20&lt;$N$20),(($N$7+$N$8+$N$9+$N$10+$N$11)+($N$20-$M$20))/($M$7+$M$8+$M$9+$M$10+$M$11)*M9,M9/($M$7+$M$8+$M$9+$M$10+$M$11)*($N$7+$N$8+$N$9+$N$10+$N$11))))</f>
        <v>#REF!</v>
      </c>
      <c r="P9" s="315" t="e">
        <f t="shared" si="1"/>
        <v>#REF!</v>
      </c>
      <c r="Q9" s="1">
        <f t="shared" si="2"/>
        <v>2299.9998599999999</v>
      </c>
      <c r="R9" s="24">
        <f>ROUND($G$117,0)</f>
        <v>2300000</v>
      </c>
      <c r="S9" s="24">
        <v>0</v>
      </c>
      <c r="T9" s="24">
        <f>SUM(R9:S9)</f>
        <v>2300000</v>
      </c>
      <c r="U9" s="19">
        <f>$B$25*1000</f>
        <v>72000000</v>
      </c>
      <c r="V9" s="25">
        <f>T9/U9</f>
        <v>3.1944444444444442E-2</v>
      </c>
      <c r="W9" s="159" t="s">
        <v>12</v>
      </c>
      <c r="X9" s="20" t="s">
        <v>13</v>
      </c>
      <c r="Y9" s="125" t="s">
        <v>76</v>
      </c>
      <c r="Z9" s="126">
        <v>1</v>
      </c>
      <c r="AA9" s="24">
        <f>$H$117*$B$24*1000</f>
        <v>0</v>
      </c>
      <c r="AB9" s="24">
        <f>$H$117*$E$24*1000</f>
        <v>0</v>
      </c>
      <c r="AC9" s="24">
        <f>$H$117*$H$24*1000</f>
        <v>2299999.86</v>
      </c>
      <c r="AD9" s="24">
        <f t="shared" si="4"/>
        <v>2299999.86</v>
      </c>
      <c r="AE9" s="19">
        <f>$B$24*1000</f>
        <v>0</v>
      </c>
      <c r="AF9" s="19">
        <f>$E$24*1000</f>
        <v>0</v>
      </c>
      <c r="AG9" s="19">
        <f>$H$24*1000</f>
        <v>72000000</v>
      </c>
      <c r="AH9" s="19">
        <f t="shared" si="5"/>
        <v>72000000</v>
      </c>
      <c r="AI9" s="25">
        <f>AD9/AH9</f>
        <v>3.1944442499999996E-2</v>
      </c>
      <c r="AJ9" s="56" t="e">
        <f>ROUND(AE9/$B$24,3)</f>
        <v>#DIV/0!</v>
      </c>
      <c r="AK9" s="56" t="e">
        <f>ROUND(AF9/$E$24,3)</f>
        <v>#DIV/0!</v>
      </c>
      <c r="AL9" s="56">
        <f>IF($H$24&lt;&gt;0,ROUND(AG9/$H$24,3),0)</f>
        <v>1000</v>
      </c>
      <c r="AM9" s="241" t="e">
        <f>P9*$M$24</f>
        <v>#REF!</v>
      </c>
      <c r="AN9" s="241" t="e">
        <f t="shared" ref="AN9:AN11" si="6">$AM9/$AH9*AE9</f>
        <v>#REF!</v>
      </c>
      <c r="AO9" s="241" t="e">
        <f t="shared" si="3"/>
        <v>#REF!</v>
      </c>
      <c r="AP9" s="241" t="e">
        <f t="shared" si="3"/>
        <v>#REF!</v>
      </c>
    </row>
    <row r="10" spans="1:42" ht="15">
      <c r="A10" s="17" t="s">
        <v>14</v>
      </c>
      <c r="B10" s="326">
        <f>IF($B$24&lt;&gt;0,$H$121,0)</f>
        <v>0</v>
      </c>
      <c r="C10" s="23">
        <v>1.7571987252344094E-3</v>
      </c>
      <c r="D10" s="315">
        <v>6.8997240110395589E-4</v>
      </c>
      <c r="E10" s="326">
        <f>IF($E$24&lt;&gt;0,$H$121,0)</f>
        <v>0</v>
      </c>
      <c r="F10" s="23">
        <v>7.0933264503030852E-3</v>
      </c>
      <c r="G10" s="315">
        <v>6.8997240110395589E-4</v>
      </c>
      <c r="H10" s="326">
        <f>$H$121</f>
        <v>2.7777777777777779E-3</v>
      </c>
      <c r="I10" s="23">
        <v>1.1193950669625665E-2</v>
      </c>
      <c r="J10" s="315">
        <v>6.8997240110395589E-4</v>
      </c>
      <c r="K10" s="23"/>
      <c r="L10" s="23"/>
      <c r="M10" s="326">
        <f t="shared" si="0"/>
        <v>2.7777777777777779E-3</v>
      </c>
      <c r="N10" s="23">
        <v>1.1089114658925979E-3</v>
      </c>
      <c r="O10" s="23" t="e">
        <f>IF($M$22&lt;$N$22,M10,IF($M$12&lt;$N$12,M10,IF(AND($M$12&gt;$N$12,$M$20&lt;$N$20),(($N$7+$N$8+$N$9+$N$10+$N$11)+($N$20-$M$20))/($M$7+$M$8+$M$9+$M$10+$M$11)*M10,M10/($M$7+$M$8+$M$9+$M$10+$M$11)*($N$7+$N$8+$N$9+$N$10+$N$11))))</f>
        <v>#REF!</v>
      </c>
      <c r="P10" s="315" t="e">
        <f t="shared" si="1"/>
        <v>#REF!</v>
      </c>
      <c r="Q10" s="1">
        <f t="shared" si="2"/>
        <v>200</v>
      </c>
      <c r="R10" s="24">
        <f>ROUND($G$121,0)</f>
        <v>200000</v>
      </c>
      <c r="S10" s="24">
        <v>0</v>
      </c>
      <c r="T10" s="24">
        <f>SUM(R10:S10)</f>
        <v>200000</v>
      </c>
      <c r="U10" s="19">
        <f>$B$25*1000</f>
        <v>72000000</v>
      </c>
      <c r="V10" s="25">
        <f>T10/U10</f>
        <v>2.7777777777777779E-3</v>
      </c>
      <c r="W10" s="159" t="s">
        <v>12</v>
      </c>
      <c r="X10" s="20" t="s">
        <v>15</v>
      </c>
      <c r="Y10" s="125" t="s">
        <v>77</v>
      </c>
      <c r="Z10" s="126">
        <v>1</v>
      </c>
      <c r="AA10" s="24">
        <f>$H$121*$B$24*1000</f>
        <v>0</v>
      </c>
      <c r="AB10" s="24">
        <f>$H$121*$E$24*1000</f>
        <v>0</v>
      </c>
      <c r="AC10" s="24">
        <f>$H$121*$H$24*1000</f>
        <v>200000</v>
      </c>
      <c r="AD10" s="24">
        <f t="shared" si="4"/>
        <v>200000</v>
      </c>
      <c r="AE10" s="19">
        <f>$B$24*1000</f>
        <v>0</v>
      </c>
      <c r="AF10" s="19">
        <f>$E$24*1000</f>
        <v>0</v>
      </c>
      <c r="AG10" s="19">
        <f>$H$24*1000</f>
        <v>72000000</v>
      </c>
      <c r="AH10" s="19">
        <f t="shared" si="5"/>
        <v>72000000</v>
      </c>
      <c r="AI10" s="25">
        <f>AD10/AH10</f>
        <v>2.7777777777777779E-3</v>
      </c>
      <c r="AJ10" s="56" t="e">
        <f>ROUND(AE10/$B$24,3)</f>
        <v>#DIV/0!</v>
      </c>
      <c r="AK10" s="56" t="e">
        <f>ROUND(AF10/$E$24,3)</f>
        <v>#DIV/0!</v>
      </c>
      <c r="AL10" s="56">
        <f>IF($H$24&lt;&gt;0,ROUND(AG10/$H$24,3),0)</f>
        <v>1000</v>
      </c>
      <c r="AM10" s="241" t="e">
        <f>P10*$M$24</f>
        <v>#REF!</v>
      </c>
      <c r="AN10" s="241" t="e">
        <f t="shared" si="6"/>
        <v>#REF!</v>
      </c>
      <c r="AO10" s="241" t="e">
        <f t="shared" si="3"/>
        <v>#REF!</v>
      </c>
      <c r="AP10" s="241" t="e">
        <f t="shared" si="3"/>
        <v>#REF!</v>
      </c>
    </row>
    <row r="11" spans="1:42" ht="15">
      <c r="A11" s="17" t="s">
        <v>16</v>
      </c>
      <c r="B11" s="336">
        <f>IF($B$24&lt;&gt;0,$H$124,0)</f>
        <v>0</v>
      </c>
      <c r="C11" s="27">
        <v>8.1960496265715312E-3</v>
      </c>
      <c r="D11" s="316">
        <v>2.2999080036798527E-3</v>
      </c>
      <c r="E11" s="327">
        <f>IF($E$24&lt;&gt;0,$H$124,0)</f>
        <v>0</v>
      </c>
      <c r="F11" s="27">
        <v>1.9526413286256691E-2</v>
      </c>
      <c r="G11" s="317">
        <v>2.2999080036798527E-3</v>
      </c>
      <c r="H11" s="327">
        <f>$H$124</f>
        <v>1.0416666666666666E-2</v>
      </c>
      <c r="I11" s="27">
        <v>1.9444311706705755E-2</v>
      </c>
      <c r="J11" s="317">
        <v>2.2999080036798527E-3</v>
      </c>
      <c r="K11" s="31"/>
      <c r="L11" s="31"/>
      <c r="M11" s="327">
        <f t="shared" si="0"/>
        <v>1.0416666666666666E-2</v>
      </c>
      <c r="N11" s="27">
        <v>3.106188679245283E-3</v>
      </c>
      <c r="O11" s="27" t="e">
        <f>IF($M$22&lt;$N$22,M11,IF($M$12&lt;$N$12,M11,IF(AND($M$12&gt;$N$12,$M$20&lt;$N$20),(($N$7+$N$8+$N$9+$N$10+$N$11)+($N$20-$M$20))/($M$7+$M$8+$M$9+$M$10+$M$11)*M11,M11/($M$7+$M$8+$M$9+$M$10+$M$11)*($N$7+$N$8+$N$9+$N$10+$N$11))))</f>
        <v>#REF!</v>
      </c>
      <c r="P11" s="317" t="e">
        <f t="shared" si="1"/>
        <v>#REF!</v>
      </c>
      <c r="Q11" s="372">
        <f t="shared" si="2"/>
        <v>750</v>
      </c>
      <c r="R11" s="28">
        <f>ROUND($G$124,0)</f>
        <v>750000</v>
      </c>
      <c r="S11" s="28">
        <v>0</v>
      </c>
      <c r="T11" s="28">
        <f>SUM(R11:S11)</f>
        <v>750000</v>
      </c>
      <c r="U11" s="19">
        <f>$B$25*1000</f>
        <v>72000000</v>
      </c>
      <c r="V11" s="25">
        <f>T11/U11</f>
        <v>1.0416666666666666E-2</v>
      </c>
      <c r="W11" s="159" t="s">
        <v>12</v>
      </c>
      <c r="X11" s="20" t="s">
        <v>17</v>
      </c>
      <c r="Y11" s="125" t="s">
        <v>78</v>
      </c>
      <c r="Z11" s="127" t="s">
        <v>78</v>
      </c>
      <c r="AA11" s="28">
        <f>$H$124*$B$24*1000</f>
        <v>0</v>
      </c>
      <c r="AB11" s="28">
        <f>$H$124*$E$24*1000</f>
        <v>0</v>
      </c>
      <c r="AC11" s="28">
        <f>$H$124*$H$24*1000</f>
        <v>750000</v>
      </c>
      <c r="AD11" s="28">
        <f t="shared" si="4"/>
        <v>750000</v>
      </c>
      <c r="AE11" s="19">
        <f>$B$24*1000</f>
        <v>0</v>
      </c>
      <c r="AF11" s="19">
        <f>$E$24*1000</f>
        <v>0</v>
      </c>
      <c r="AG11" s="19">
        <f>$H$24*1000</f>
        <v>72000000</v>
      </c>
      <c r="AH11" s="19">
        <f t="shared" si="5"/>
        <v>72000000</v>
      </c>
      <c r="AI11" s="25">
        <f>AD11/AH11</f>
        <v>1.0416666666666666E-2</v>
      </c>
      <c r="AJ11" s="56" t="e">
        <f>ROUND(AE11/$B$24,3)</f>
        <v>#DIV/0!</v>
      </c>
      <c r="AK11" s="56" t="e">
        <f>ROUND(AF11/$E$24,3)</f>
        <v>#DIV/0!</v>
      </c>
      <c r="AL11" s="56">
        <f>IF($H$24&lt;&gt;0,ROUND(AG11/$H$24,3),0)</f>
        <v>1000</v>
      </c>
      <c r="AM11" s="384" t="e">
        <f>P11*$M$24</f>
        <v>#REF!</v>
      </c>
      <c r="AN11" s="384" t="e">
        <f t="shared" si="6"/>
        <v>#REF!</v>
      </c>
      <c r="AO11" s="384" t="e">
        <f t="shared" si="3"/>
        <v>#REF!</v>
      </c>
      <c r="AP11" s="384" t="e">
        <f t="shared" si="3"/>
        <v>#REF!</v>
      </c>
    </row>
    <row r="12" spans="1:42">
      <c r="A12" s="192" t="s">
        <v>169</v>
      </c>
      <c r="B12" s="326">
        <f t="shared" ref="B12:D12" si="7">SUM(B6:B11)</f>
        <v>0</v>
      </c>
      <c r="C12" s="23">
        <f t="shared" si="7"/>
        <v>0.11056376410093133</v>
      </c>
      <c r="D12" s="315">
        <f t="shared" si="7"/>
        <v>8.3718237343555532E-2</v>
      </c>
      <c r="E12" s="326">
        <f>SUM(E6:E11)</f>
        <v>0</v>
      </c>
      <c r="F12" s="23">
        <f t="shared" ref="F12" si="8">SUM(F6:F11)</f>
        <v>0.25563089795930471</v>
      </c>
      <c r="G12" s="315">
        <f>SUM(G6:G11)</f>
        <v>0.1646683445171262</v>
      </c>
      <c r="H12" s="326" t="e">
        <f>SUM(H6:H11)</f>
        <v>#REF!</v>
      </c>
      <c r="I12" s="23">
        <f t="shared" ref="I12" si="9">SUM(I6:I11)</f>
        <v>0.63304300185999618</v>
      </c>
      <c r="J12" s="315">
        <f>SUM(J6:J11)</f>
        <v>0.42293603665998336</v>
      </c>
      <c r="K12" s="23"/>
      <c r="L12" s="23"/>
      <c r="M12" s="326" t="e">
        <f>SUM(M6:M11)</f>
        <v>#REF!</v>
      </c>
      <c r="N12" s="23" t="e">
        <f t="shared" ref="N12:P12" si="10">SUM(N6:N11)</f>
        <v>#REF!</v>
      </c>
      <c r="O12" s="23" t="e">
        <f t="shared" si="10"/>
        <v>#REF!</v>
      </c>
      <c r="P12" s="315" t="e">
        <f t="shared" si="10"/>
        <v>#REF!</v>
      </c>
      <c r="Q12" s="1">
        <f>SUM(Q7:Q11)</f>
        <v>7830.6758599999994</v>
      </c>
      <c r="R12" s="29">
        <f>SUM(R7:R11)</f>
        <v>7830676</v>
      </c>
      <c r="S12" s="29">
        <f>SUM(S7:S11)</f>
        <v>0</v>
      </c>
      <c r="T12" s="29">
        <f>SUM(T7:T11)</f>
        <v>7830676</v>
      </c>
      <c r="U12" s="19"/>
      <c r="V12" s="19"/>
      <c r="W12" s="159"/>
      <c r="X12" s="20"/>
      <c r="Y12" s="125"/>
      <c r="Z12" s="127"/>
      <c r="AA12" s="29">
        <f>SUM(AA7:AA11)</f>
        <v>0</v>
      </c>
      <c r="AB12" s="29">
        <f>SUM(AB7:AB11)</f>
        <v>0</v>
      </c>
      <c r="AC12" s="29">
        <f>SUM(AC7:AC11)</f>
        <v>7830675.8599999994</v>
      </c>
      <c r="AD12" s="29">
        <f>SUM(AD7:AD11)</f>
        <v>7830675.8599999994</v>
      </c>
      <c r="AE12" s="19"/>
      <c r="AF12" s="19"/>
      <c r="AG12" s="19"/>
      <c r="AH12" s="19"/>
      <c r="AI12" s="19"/>
      <c r="AJ12" s="19"/>
      <c r="AK12" s="19"/>
      <c r="AL12" s="19"/>
      <c r="AM12" s="102" t="e">
        <f>SUM(AM7:AM11)</f>
        <v>#REF!</v>
      </c>
      <c r="AN12" s="102" t="e">
        <f t="shared" ref="AN12:AP12" si="11">SUM(AN7:AN11)</f>
        <v>#REF!</v>
      </c>
      <c r="AO12" s="102" t="e">
        <f t="shared" si="11"/>
        <v>#REF!</v>
      </c>
      <c r="AP12" s="102" t="e">
        <f t="shared" si="11"/>
        <v>#REF!</v>
      </c>
    </row>
    <row r="13" spans="1:42">
      <c r="A13" s="17"/>
      <c r="B13" s="328"/>
      <c r="C13" s="23"/>
      <c r="D13" s="315"/>
      <c r="E13" s="328"/>
      <c r="F13" s="23"/>
      <c r="G13" s="329"/>
      <c r="H13" s="326"/>
      <c r="I13" s="23"/>
      <c r="J13" s="315"/>
      <c r="K13" s="23"/>
      <c r="L13" s="23"/>
      <c r="M13" s="326"/>
      <c r="N13" s="23"/>
      <c r="O13" s="23"/>
      <c r="P13" s="315"/>
      <c r="R13" s="29"/>
      <c r="S13" s="29"/>
      <c r="T13" s="29"/>
      <c r="U13" s="19"/>
      <c r="V13" s="19"/>
      <c r="W13" s="159"/>
      <c r="X13" s="20"/>
      <c r="Y13" s="125"/>
      <c r="Z13" s="127"/>
      <c r="AA13" s="29"/>
      <c r="AB13" s="29"/>
      <c r="AC13" s="29"/>
      <c r="AD13" s="29"/>
      <c r="AE13" s="19"/>
      <c r="AF13" s="19"/>
      <c r="AG13" s="19"/>
      <c r="AH13" s="19"/>
      <c r="AI13" s="19"/>
      <c r="AJ13" s="19"/>
      <c r="AK13" s="19"/>
      <c r="AL13" s="19"/>
      <c r="AM13" s="102"/>
      <c r="AN13" s="102"/>
      <c r="AO13" s="102"/>
      <c r="AP13" s="102"/>
    </row>
    <row r="14" spans="1:42">
      <c r="A14" s="17" t="s">
        <v>18</v>
      </c>
      <c r="B14" s="326">
        <f>IF($B$24&lt;&gt;0,$F$87/$B$24/1000,0)</f>
        <v>0</v>
      </c>
      <c r="C14" s="23">
        <v>1.1406821711646385E-2</v>
      </c>
      <c r="D14" s="315">
        <v>8.6668016661186568E-3</v>
      </c>
      <c r="E14" s="326">
        <f>IF($E$24&lt;&gt;0,$H$87/($E$24+$H$24)/1000,0)</f>
        <v>0</v>
      </c>
      <c r="F14" s="23">
        <v>4.6935867548224E-2</v>
      </c>
      <c r="G14" s="315">
        <v>3.3876227767366693E-2</v>
      </c>
      <c r="H14" s="326">
        <f>$H$87/($E$24+$H$24)/1000</f>
        <v>5.5160287540776363E-2</v>
      </c>
      <c r="I14" s="23">
        <v>4.6340890116036294E-2</v>
      </c>
      <c r="J14" s="315">
        <v>3.3876227767366693E-2</v>
      </c>
      <c r="K14" s="23"/>
      <c r="L14" s="23"/>
      <c r="M14" s="326">
        <f t="shared" ref="M14:M19" si="12">(B14*B$24+E14*E$24+H14*H$24)/M$24</f>
        <v>5.5160287540776363E-2</v>
      </c>
      <c r="N14" s="23">
        <v>1.130844702467344E-2</v>
      </c>
      <c r="O14" s="23" t="e">
        <f>IF($M$22&lt;$N$22,M14,IF($M$20&lt;$N$20,M14,IF(AND($M$20&gt;$N$20,$M$12&lt;$N$12),($N$20+($N$12-$M$12))/$M$20*M14,M14/$M$20*$N$20)))</f>
        <v>#REF!</v>
      </c>
      <c r="P14" s="315" t="e">
        <f t="shared" ref="P14:P19" si="13">M14-O14</f>
        <v>#REF!</v>
      </c>
      <c r="Q14" s="1">
        <f t="shared" ref="Q14:Q19" si="14">M14*$M$24</f>
        <v>3971.540702935898</v>
      </c>
      <c r="R14" s="24">
        <f>ROUND($D$76,0)</f>
        <v>3971541</v>
      </c>
      <c r="S14" s="24">
        <f>ROUND($D$75,0)</f>
        <v>36257</v>
      </c>
      <c r="T14" s="24">
        <f t="shared" ref="T14:T19" si="15">SUM(R14:S14)</f>
        <v>4007798</v>
      </c>
      <c r="U14" s="19">
        <f>$B$74</f>
        <v>124354.79999999999</v>
      </c>
      <c r="V14" s="25">
        <f t="shared" ref="V14:V19" si="16">T14/U14</f>
        <v>32.228735842926852</v>
      </c>
      <c r="W14" s="159" t="s">
        <v>19</v>
      </c>
      <c r="X14" s="20" t="s">
        <v>20</v>
      </c>
      <c r="Y14" s="125" t="s">
        <v>78</v>
      </c>
      <c r="Z14" s="127" t="s">
        <v>78</v>
      </c>
      <c r="AA14" s="24">
        <f>$F87</f>
        <v>0</v>
      </c>
      <c r="AB14" s="24">
        <f>$H87/($E$24+$H$24)*E24</f>
        <v>0</v>
      </c>
      <c r="AC14" s="24">
        <f>$H87/($E$24+$H$24)*H24</f>
        <v>3971540.7029358982</v>
      </c>
      <c r="AD14" s="24">
        <f t="shared" ref="AD14:AD19" si="17">SUM(AA14:AC14)</f>
        <v>3971540.7029358982</v>
      </c>
      <c r="AE14" s="19">
        <f>$E87</f>
        <v>0</v>
      </c>
      <c r="AF14" s="19">
        <f>$G87/($E$24+$H$24)*E24</f>
        <v>0</v>
      </c>
      <c r="AG14" s="19">
        <f>$G87/($E$24+$H$24)*H24</f>
        <v>123229.79999999999</v>
      </c>
      <c r="AH14" s="19">
        <f t="shared" ref="AH14:AH19" si="18">SUM(AE14:AG14)</f>
        <v>123229.79999999999</v>
      </c>
      <c r="AI14" s="25">
        <f t="shared" ref="AI14:AI19" si="19">AD14/AH14</f>
        <v>32.228736092535236</v>
      </c>
      <c r="AJ14" s="56" t="e">
        <f t="shared" ref="AJ14:AJ19" si="20">ROUND(AE14/$B$24,3)</f>
        <v>#DIV/0!</v>
      </c>
      <c r="AK14" s="56" t="e">
        <f t="shared" ref="AK14:AK19" si="21">ROUND(AF14/$E$24,3)</f>
        <v>#DIV/0!</v>
      </c>
      <c r="AL14" s="56">
        <f t="shared" ref="AL14:AL19" si="22">IF($H$24&lt;&gt;0,ROUND(AG14/$H$24,3),0)</f>
        <v>1.712</v>
      </c>
      <c r="AM14" s="241" t="e">
        <f t="shared" ref="AM14:AM19" si="23">P14*$M$24</f>
        <v>#REF!</v>
      </c>
      <c r="AN14" s="241" t="e">
        <f t="shared" ref="AN14:AP19" si="24">$AM14/$AH14*AE14</f>
        <v>#REF!</v>
      </c>
      <c r="AO14" s="241" t="e">
        <f t="shared" si="24"/>
        <v>#REF!</v>
      </c>
      <c r="AP14" s="241" t="e">
        <f t="shared" si="24"/>
        <v>#REF!</v>
      </c>
    </row>
    <row r="15" spans="1:42">
      <c r="A15" s="17" t="s">
        <v>21</v>
      </c>
      <c r="B15" s="326">
        <f>IF($B$24&lt;&gt;0,$F$88/$B$24/1000,0)</f>
        <v>0</v>
      </c>
      <c r="C15" s="23">
        <v>6.8035939956099384E-3</v>
      </c>
      <c r="D15" s="315">
        <v>5.7082690932158606E-3</v>
      </c>
      <c r="E15" s="326">
        <f>IF($E$24&lt;&gt;0,$H$88/($E$24+$H$24)/1000,0)</f>
        <v>0</v>
      </c>
      <c r="F15" s="23">
        <v>1.6530869226761388E-2</v>
      </c>
      <c r="G15" s="315">
        <v>7.6368033280000006E-3</v>
      </c>
      <c r="H15" s="326">
        <f>$H$88/($E$24+$H$24)/1000</f>
        <v>1.9178790176000004E-2</v>
      </c>
      <c r="I15" s="23">
        <v>1.7200245719289946E-2</v>
      </c>
      <c r="J15" s="315">
        <v>7.6368033280000006E-3</v>
      </c>
      <c r="K15" s="23"/>
      <c r="L15" s="23"/>
      <c r="M15" s="326">
        <f t="shared" si="12"/>
        <v>1.9178790176000004E-2</v>
      </c>
      <c r="N15" s="23">
        <v>5.2712801161103051E-3</v>
      </c>
      <c r="O15" s="23" t="e">
        <f t="shared" ref="O15:O19" si="25">IF($M$22&lt;$N$22,M15,IF($M$20&lt;$N$20,M15,IF(AND($M$20&gt;$N$20,$M$12&lt;$N$12),($N$20+($N$12-$M$12))/$M$20*M15,M15/$M$20*$N$20)))</f>
        <v>#REF!</v>
      </c>
      <c r="P15" s="315" t="e">
        <f t="shared" si="13"/>
        <v>#REF!</v>
      </c>
      <c r="Q15" s="1">
        <f t="shared" si="14"/>
        <v>1380.8728926720003</v>
      </c>
      <c r="R15" s="24">
        <f>ROUND($H$74,0)</f>
        <v>1380873</v>
      </c>
      <c r="S15" s="24">
        <v>0</v>
      </c>
      <c r="T15" s="24">
        <f t="shared" si="15"/>
        <v>1380873</v>
      </c>
      <c r="U15" s="19">
        <f>$F$74</f>
        <v>39486.720000000001</v>
      </c>
      <c r="V15" s="25">
        <f t="shared" si="16"/>
        <v>34.970567319848293</v>
      </c>
      <c r="W15" s="159" t="s">
        <v>19</v>
      </c>
      <c r="X15" s="20" t="s">
        <v>22</v>
      </c>
      <c r="Y15" s="125" t="s">
        <v>78</v>
      </c>
      <c r="Z15" s="127" t="s">
        <v>78</v>
      </c>
      <c r="AA15" s="24">
        <f>$F88</f>
        <v>0</v>
      </c>
      <c r="AB15" s="24">
        <f>$H88/($E$24+$H$24)*E24</f>
        <v>0</v>
      </c>
      <c r="AC15" s="24">
        <f>$H88/($E$24+$H$24)*H24</f>
        <v>1380872.8926720002</v>
      </c>
      <c r="AD15" s="24">
        <f t="shared" si="17"/>
        <v>1380872.8926720002</v>
      </c>
      <c r="AE15" s="19">
        <f>$E88</f>
        <v>0</v>
      </c>
      <c r="AF15" s="19">
        <f>$G88/($E$24+$H$24)*E24</f>
        <v>0</v>
      </c>
      <c r="AG15" s="19">
        <f>$G88/($E$24+$H$24)*H24</f>
        <v>39486.720000000001</v>
      </c>
      <c r="AH15" s="19">
        <f t="shared" si="18"/>
        <v>39486.720000000001</v>
      </c>
      <c r="AI15" s="25">
        <f t="shared" si="19"/>
        <v>34.970564601769915</v>
      </c>
      <c r="AJ15" s="56" t="e">
        <f t="shared" si="20"/>
        <v>#DIV/0!</v>
      </c>
      <c r="AK15" s="56" t="e">
        <f t="shared" si="21"/>
        <v>#DIV/0!</v>
      </c>
      <c r="AL15" s="56">
        <f t="shared" si="22"/>
        <v>0.54800000000000004</v>
      </c>
      <c r="AM15" s="241" t="e">
        <f t="shared" si="23"/>
        <v>#REF!</v>
      </c>
      <c r="AN15" s="241" t="e">
        <f t="shared" si="24"/>
        <v>#REF!</v>
      </c>
      <c r="AO15" s="241" t="e">
        <f t="shared" si="24"/>
        <v>#REF!</v>
      </c>
      <c r="AP15" s="241" t="e">
        <f t="shared" si="24"/>
        <v>#REF!</v>
      </c>
    </row>
    <row r="16" spans="1:42">
      <c r="A16" s="17" t="s">
        <v>23</v>
      </c>
      <c r="B16" s="324">
        <f>IF($B$24&lt;&gt;0,$F$89/$B$24/1000,0)</f>
        <v>0</v>
      </c>
      <c r="C16" s="23">
        <v>8.4807037416256559E-3</v>
      </c>
      <c r="D16" s="315">
        <v>6.3534946725212829E-3</v>
      </c>
      <c r="E16" s="324">
        <f>IF($E$24&lt;&gt;0,$H$89/($E$24+$H$24)/1000,0)</f>
        <v>0</v>
      </c>
      <c r="F16" s="23">
        <v>2.4655898010653633E-2</v>
      </c>
      <c r="G16" s="325">
        <v>1.8636298500182859E-2</v>
      </c>
      <c r="H16" s="324">
        <f>$H$89/($E$24+$H$24)/1000</f>
        <v>3.33745044287517E-2</v>
      </c>
      <c r="I16" s="23">
        <v>1.9212926862216834E-2</v>
      </c>
      <c r="J16" s="315">
        <v>1.8636298500182859E-2</v>
      </c>
      <c r="K16" s="23"/>
      <c r="L16" s="23"/>
      <c r="M16" s="324">
        <f t="shared" si="12"/>
        <v>3.33745044287517E-2</v>
      </c>
      <c r="N16" s="23">
        <v>8.0958838896952098E-3</v>
      </c>
      <c r="O16" s="23" t="e">
        <f t="shared" si="25"/>
        <v>#REF!</v>
      </c>
      <c r="P16" s="315" t="e">
        <f t="shared" si="13"/>
        <v>#REF!</v>
      </c>
      <c r="Q16" s="1">
        <f t="shared" si="14"/>
        <v>2402.9643188701225</v>
      </c>
      <c r="R16" s="24">
        <f>ROUND($D$84,0)</f>
        <v>2402964</v>
      </c>
      <c r="S16" s="24">
        <f>ROUND($D$83,0)</f>
        <v>21937</v>
      </c>
      <c r="T16" s="24">
        <f t="shared" si="15"/>
        <v>2424901</v>
      </c>
      <c r="U16" s="19">
        <f>$B$82</f>
        <v>124354.79999999999</v>
      </c>
      <c r="V16" s="25">
        <f t="shared" si="16"/>
        <v>19.499858469476049</v>
      </c>
      <c r="W16" s="159" t="s">
        <v>19</v>
      </c>
      <c r="X16" s="20" t="s">
        <v>24</v>
      </c>
      <c r="Y16" s="125" t="s">
        <v>78</v>
      </c>
      <c r="Z16" s="127" t="s">
        <v>78</v>
      </c>
      <c r="AA16" s="24">
        <f>$F89</f>
        <v>0</v>
      </c>
      <c r="AB16" s="24">
        <f>$H89/($E$24+$H$24)*E24</f>
        <v>0</v>
      </c>
      <c r="AC16" s="24">
        <f>$H89/($E$24+$H$24)*H24</f>
        <v>2402964.3188701225</v>
      </c>
      <c r="AD16" s="24">
        <f t="shared" si="17"/>
        <v>2402964.3188701225</v>
      </c>
      <c r="AE16" s="19">
        <f>$E89</f>
        <v>0</v>
      </c>
      <c r="AF16" s="19">
        <f>$G89/($E$24+$H$24)*E24</f>
        <v>0</v>
      </c>
      <c r="AG16" s="19">
        <f>$G89/($E$24+$H$24)*H24</f>
        <v>123229.79999999999</v>
      </c>
      <c r="AH16" s="19">
        <f t="shared" si="18"/>
        <v>123229.79999999999</v>
      </c>
      <c r="AI16" s="25">
        <f t="shared" si="19"/>
        <v>19.499863822469262</v>
      </c>
      <c r="AJ16" s="56" t="e">
        <f t="shared" si="20"/>
        <v>#DIV/0!</v>
      </c>
      <c r="AK16" s="56" t="e">
        <f t="shared" si="21"/>
        <v>#DIV/0!</v>
      </c>
      <c r="AL16" s="56">
        <f t="shared" si="22"/>
        <v>1.712</v>
      </c>
      <c r="AM16" s="241" t="e">
        <f t="shared" si="23"/>
        <v>#REF!</v>
      </c>
      <c r="AN16" s="241" t="e">
        <f t="shared" si="24"/>
        <v>#REF!</v>
      </c>
      <c r="AO16" s="241" t="e">
        <f t="shared" si="24"/>
        <v>#REF!</v>
      </c>
      <c r="AP16" s="241" t="e">
        <f t="shared" si="24"/>
        <v>#REF!</v>
      </c>
    </row>
    <row r="17" spans="1:42">
      <c r="A17" s="26" t="s">
        <v>25</v>
      </c>
      <c r="B17" s="326">
        <f>IF($B$24&lt;&gt;0,$D$134,0)</f>
        <v>0</v>
      </c>
      <c r="C17" s="23">
        <v>2.8364259956918832E-3</v>
      </c>
      <c r="D17" s="315">
        <v>1.6697332106715731E-3</v>
      </c>
      <c r="E17" s="326">
        <f>IF($E$24&lt;&gt;0,$E$134,0)</f>
        <v>0</v>
      </c>
      <c r="F17" s="23">
        <v>5.496632313134059E-3</v>
      </c>
      <c r="G17" s="315">
        <v>1.6697332106715731E-3</v>
      </c>
      <c r="H17" s="326">
        <f>$E$134</f>
        <v>5.1354166666666666E-3</v>
      </c>
      <c r="I17" s="23">
        <v>5.7129132056770856E-3</v>
      </c>
      <c r="J17" s="315">
        <v>1.6697332106715731E-3</v>
      </c>
      <c r="K17" s="23"/>
      <c r="L17" s="23"/>
      <c r="M17" s="326">
        <f t="shared" si="12"/>
        <v>5.1354166666666666E-3</v>
      </c>
      <c r="N17" s="23">
        <v>2.0913265602322205E-3</v>
      </c>
      <c r="O17" s="23" t="e">
        <f t="shared" si="25"/>
        <v>#REF!</v>
      </c>
      <c r="P17" s="315" t="e">
        <f t="shared" si="13"/>
        <v>#REF!</v>
      </c>
      <c r="Q17" s="1">
        <f t="shared" si="14"/>
        <v>369.75</v>
      </c>
      <c r="R17" s="24">
        <f>ROUND($C$134,0)</f>
        <v>369750</v>
      </c>
      <c r="S17" s="24">
        <v>0</v>
      </c>
      <c r="T17" s="24">
        <f t="shared" si="15"/>
        <v>369750</v>
      </c>
      <c r="U17" s="19">
        <f>$B$25*1000</f>
        <v>72000000</v>
      </c>
      <c r="V17" s="25">
        <f t="shared" si="16"/>
        <v>5.1354166666666666E-3</v>
      </c>
      <c r="W17" s="159" t="s">
        <v>12</v>
      </c>
      <c r="X17" s="20" t="s">
        <v>26</v>
      </c>
      <c r="Y17" s="125" t="s">
        <v>99</v>
      </c>
      <c r="Z17" s="127">
        <v>1</v>
      </c>
      <c r="AA17" s="24">
        <f>$D$134*$B$24*1000</f>
        <v>0</v>
      </c>
      <c r="AB17" s="24">
        <f>$E$134*$E$24*1000</f>
        <v>0</v>
      </c>
      <c r="AC17" s="24">
        <f>$E$134*$H$24*1000</f>
        <v>369750</v>
      </c>
      <c r="AD17" s="24">
        <f t="shared" si="17"/>
        <v>369750</v>
      </c>
      <c r="AE17" s="19">
        <f t="shared" ref="AE17:AG18" si="26">ROUND(AA17/$V17,0)</f>
        <v>0</v>
      </c>
      <c r="AF17" s="19">
        <f t="shared" si="26"/>
        <v>0</v>
      </c>
      <c r="AG17" s="19">
        <f t="shared" si="26"/>
        <v>72000000</v>
      </c>
      <c r="AH17" s="19">
        <f t="shared" si="18"/>
        <v>72000000</v>
      </c>
      <c r="AI17" s="25">
        <f t="shared" si="19"/>
        <v>5.1354166666666666E-3</v>
      </c>
      <c r="AJ17" s="56" t="e">
        <f t="shared" si="20"/>
        <v>#DIV/0!</v>
      </c>
      <c r="AK17" s="56" t="e">
        <f t="shared" si="21"/>
        <v>#DIV/0!</v>
      </c>
      <c r="AL17" s="56">
        <f t="shared" si="22"/>
        <v>1000</v>
      </c>
      <c r="AM17" s="241" t="e">
        <f t="shared" si="23"/>
        <v>#REF!</v>
      </c>
      <c r="AN17" s="241" t="e">
        <f t="shared" si="24"/>
        <v>#REF!</v>
      </c>
      <c r="AO17" s="241" t="e">
        <f t="shared" si="24"/>
        <v>#REF!</v>
      </c>
      <c r="AP17" s="241" t="e">
        <f t="shared" si="24"/>
        <v>#REF!</v>
      </c>
    </row>
    <row r="18" spans="1:42">
      <c r="A18" s="26" t="s">
        <v>27</v>
      </c>
      <c r="B18" s="326">
        <f>IF($B$24&lt;&gt;0,$D$135,0)</f>
        <v>0</v>
      </c>
      <c r="C18" s="23">
        <v>1.8905309773416263E-3</v>
      </c>
      <c r="D18" s="315">
        <v>1.6559337626494942E-3</v>
      </c>
      <c r="E18" s="326">
        <f>IF($E$24&lt;&gt;0,$E$135,0)</f>
        <v>0</v>
      </c>
      <c r="F18" s="23">
        <v>4.6668647591818048E-3</v>
      </c>
      <c r="G18" s="315">
        <v>1.6559337626494942E-3</v>
      </c>
      <c r="H18" s="326">
        <f>$E$135</f>
        <v>3.9583333333333337E-3</v>
      </c>
      <c r="I18" s="23">
        <v>5.7129132056770856E-3</v>
      </c>
      <c r="J18" s="315">
        <v>1.6559337626494942E-3</v>
      </c>
      <c r="K18" s="23"/>
      <c r="L18" s="23"/>
      <c r="M18" s="326">
        <f t="shared" si="12"/>
        <v>3.9583333333333337E-3</v>
      </c>
      <c r="N18" s="23">
        <v>3.1981538461538462E-3</v>
      </c>
      <c r="O18" s="23" t="e">
        <f t="shared" si="25"/>
        <v>#REF!</v>
      </c>
      <c r="P18" s="315" t="e">
        <f t="shared" si="13"/>
        <v>#REF!</v>
      </c>
      <c r="Q18" s="1">
        <f t="shared" si="14"/>
        <v>285</v>
      </c>
      <c r="R18" s="24">
        <f>ROUND($C$135,0)</f>
        <v>285000</v>
      </c>
      <c r="S18" s="24">
        <v>0</v>
      </c>
      <c r="T18" s="24">
        <f t="shared" si="15"/>
        <v>285000</v>
      </c>
      <c r="U18" s="19">
        <f>$B$25*1000</f>
        <v>72000000</v>
      </c>
      <c r="V18" s="25">
        <f t="shared" si="16"/>
        <v>3.9583333333333337E-3</v>
      </c>
      <c r="W18" s="159" t="s">
        <v>12</v>
      </c>
      <c r="X18" s="20" t="s">
        <v>28</v>
      </c>
      <c r="Y18" s="125" t="s">
        <v>78</v>
      </c>
      <c r="Z18" s="127" t="s">
        <v>78</v>
      </c>
      <c r="AA18" s="24">
        <f>$D$135*$B$24*1000</f>
        <v>0</v>
      </c>
      <c r="AB18" s="24">
        <f>$E$135*$E$24*1000</f>
        <v>0</v>
      </c>
      <c r="AC18" s="24">
        <f>$E$135*$H$24*1000</f>
        <v>285000</v>
      </c>
      <c r="AD18" s="24">
        <f t="shared" si="17"/>
        <v>285000</v>
      </c>
      <c r="AE18" s="19">
        <f t="shared" si="26"/>
        <v>0</v>
      </c>
      <c r="AF18" s="19">
        <f t="shared" si="26"/>
        <v>0</v>
      </c>
      <c r="AG18" s="19">
        <f t="shared" si="26"/>
        <v>72000000</v>
      </c>
      <c r="AH18" s="19">
        <f t="shared" si="18"/>
        <v>72000000</v>
      </c>
      <c r="AI18" s="25">
        <f t="shared" si="19"/>
        <v>3.9583333333333337E-3</v>
      </c>
      <c r="AJ18" s="56" t="e">
        <f t="shared" si="20"/>
        <v>#DIV/0!</v>
      </c>
      <c r="AK18" s="56" t="e">
        <f t="shared" si="21"/>
        <v>#DIV/0!</v>
      </c>
      <c r="AL18" s="56">
        <f t="shared" si="22"/>
        <v>1000</v>
      </c>
      <c r="AM18" s="241" t="e">
        <f t="shared" si="23"/>
        <v>#REF!</v>
      </c>
      <c r="AN18" s="241" t="e">
        <f t="shared" si="24"/>
        <v>#REF!</v>
      </c>
      <c r="AO18" s="241" t="e">
        <f t="shared" si="24"/>
        <v>#REF!</v>
      </c>
      <c r="AP18" s="241" t="e">
        <f t="shared" si="24"/>
        <v>#REF!</v>
      </c>
    </row>
    <row r="19" spans="1:42" ht="15">
      <c r="A19" s="26" t="s">
        <v>29</v>
      </c>
      <c r="B19" s="327">
        <f>IF($B$24&lt;&gt;0,$D$136,0)</f>
        <v>0</v>
      </c>
      <c r="C19" s="31">
        <v>2.1212866818408217E-2</v>
      </c>
      <c r="D19" s="317">
        <v>6.473611414259603E-3</v>
      </c>
      <c r="E19" s="327">
        <f>IF($E$24&lt;&gt;0,$E$136,0)</f>
        <v>0</v>
      </c>
      <c r="F19" s="31">
        <v>0.10417686188941641</v>
      </c>
      <c r="G19" s="317">
        <v>5.9339199081609381E-2</v>
      </c>
      <c r="H19" s="327">
        <f>$E$136</f>
        <v>6.6666666666666666E-2</v>
      </c>
      <c r="I19" s="31">
        <v>0.10178478302218978</v>
      </c>
      <c r="J19" s="317">
        <v>5.9339199081609381E-2</v>
      </c>
      <c r="K19" s="31"/>
      <c r="L19" s="31"/>
      <c r="M19" s="327">
        <f t="shared" si="12"/>
        <v>6.6666666666666666E-2</v>
      </c>
      <c r="N19" s="31">
        <v>8.7052133526850511E-3</v>
      </c>
      <c r="O19" s="31" t="e">
        <f t="shared" si="25"/>
        <v>#REF!</v>
      </c>
      <c r="P19" s="317" t="e">
        <f t="shared" si="13"/>
        <v>#REF!</v>
      </c>
      <c r="Q19" s="372">
        <f t="shared" si="14"/>
        <v>4800</v>
      </c>
      <c r="R19" s="28">
        <f>ROUND($C$136,0)</f>
        <v>4800000</v>
      </c>
      <c r="S19" s="28">
        <v>0</v>
      </c>
      <c r="T19" s="28">
        <f t="shared" si="15"/>
        <v>4800000</v>
      </c>
      <c r="U19" s="19">
        <f>$B$25*1000</f>
        <v>72000000</v>
      </c>
      <c r="V19" s="25">
        <f t="shared" si="16"/>
        <v>6.6666666666666666E-2</v>
      </c>
      <c r="W19" s="159" t="s">
        <v>12</v>
      </c>
      <c r="X19" s="20" t="s">
        <v>30</v>
      </c>
      <c r="Y19" s="125" t="s">
        <v>78</v>
      </c>
      <c r="Z19" s="127" t="s">
        <v>78</v>
      </c>
      <c r="AA19" s="28">
        <f>$D$136*$B$24*1000</f>
        <v>0</v>
      </c>
      <c r="AB19" s="28">
        <f>$E$136*$E$24*1000</f>
        <v>0</v>
      </c>
      <c r="AC19" s="28">
        <f>$E$136*$H$24*1000</f>
        <v>4800000</v>
      </c>
      <c r="AD19" s="28">
        <f t="shared" si="17"/>
        <v>4800000</v>
      </c>
      <c r="AE19" s="19">
        <f>AA19/$V19</f>
        <v>0</v>
      </c>
      <c r="AF19" s="19">
        <f>AB19/$V19</f>
        <v>0</v>
      </c>
      <c r="AG19" s="19">
        <f>AC19/$V19</f>
        <v>72000000</v>
      </c>
      <c r="AH19" s="19">
        <f t="shared" si="18"/>
        <v>72000000</v>
      </c>
      <c r="AI19" s="25">
        <f t="shared" si="19"/>
        <v>6.6666666666666666E-2</v>
      </c>
      <c r="AJ19" s="56" t="e">
        <f t="shared" si="20"/>
        <v>#DIV/0!</v>
      </c>
      <c r="AK19" s="56" t="e">
        <f t="shared" si="21"/>
        <v>#DIV/0!</v>
      </c>
      <c r="AL19" s="56">
        <f t="shared" si="22"/>
        <v>1000</v>
      </c>
      <c r="AM19" s="384" t="e">
        <f t="shared" si="23"/>
        <v>#REF!</v>
      </c>
      <c r="AN19" s="384" t="e">
        <f t="shared" si="24"/>
        <v>#REF!</v>
      </c>
      <c r="AO19" s="384" t="e">
        <f t="shared" si="24"/>
        <v>#REF!</v>
      </c>
      <c r="AP19" s="384" t="e">
        <f t="shared" si="24"/>
        <v>#REF!</v>
      </c>
    </row>
    <row r="20" spans="1:42">
      <c r="A20" s="192" t="s">
        <v>170</v>
      </c>
      <c r="B20" s="326">
        <f t="shared" ref="B20:D20" si="27">SUM(B14:B19)</f>
        <v>0</v>
      </c>
      <c r="C20" s="23">
        <f t="shared" si="27"/>
        <v>5.2630943240323705E-2</v>
      </c>
      <c r="D20" s="315">
        <f t="shared" si="27"/>
        <v>3.0527843819436469E-2</v>
      </c>
      <c r="E20" s="326">
        <f>SUM(E14:E19)</f>
        <v>0</v>
      </c>
      <c r="F20" s="23">
        <f t="shared" ref="F20" si="28">SUM(F14:F19)</f>
        <v>0.20246299374737131</v>
      </c>
      <c r="G20" s="315">
        <f>SUM(G14:G19)</f>
        <v>0.12281419565048</v>
      </c>
      <c r="H20" s="326">
        <f>SUM(H14:H19)</f>
        <v>0.18347399881219473</v>
      </c>
      <c r="I20" s="23">
        <f t="shared" ref="I20" si="29">SUM(I14:I19)</f>
        <v>0.19596467213108704</v>
      </c>
      <c r="J20" s="315">
        <f>SUM(J14:J19)</f>
        <v>0.12281419565048</v>
      </c>
      <c r="K20" s="23"/>
      <c r="L20" s="23"/>
      <c r="M20" s="326">
        <f>SUM(M14:M19)</f>
        <v>0.18347399881219473</v>
      </c>
      <c r="N20" s="23">
        <f t="shared" ref="N20:P20" si="30">SUM(N14:N19)</f>
        <v>3.8670304789550067E-2</v>
      </c>
      <c r="O20" s="23" t="e">
        <f t="shared" si="30"/>
        <v>#REF!</v>
      </c>
      <c r="P20" s="315" t="e">
        <f t="shared" si="30"/>
        <v>#REF!</v>
      </c>
      <c r="Q20" s="1">
        <f>SUM(Q14:Q19)</f>
        <v>13210.12791447802</v>
      </c>
      <c r="R20" s="32">
        <f>SUM(R14:R19)</f>
        <v>13210128</v>
      </c>
      <c r="S20" s="32">
        <f>SUM(S14:S19)</f>
        <v>58194</v>
      </c>
      <c r="T20" s="32">
        <f>SUM(T14:T19)</f>
        <v>13268322</v>
      </c>
      <c r="U20" s="19"/>
      <c r="V20" s="19"/>
      <c r="W20" s="265"/>
      <c r="X20" s="21"/>
      <c r="Y20" s="125"/>
      <c r="Z20" s="127"/>
      <c r="AA20" s="32">
        <f>SUM(AA14:AA19)</f>
        <v>0</v>
      </c>
      <c r="AB20" s="32">
        <f>SUM(AB14:AB19)</f>
        <v>0</v>
      </c>
      <c r="AC20" s="32">
        <f>SUM(AC14:AC19)</f>
        <v>13210127.914478021</v>
      </c>
      <c r="AD20" s="32">
        <f>SUM(AD14:AD19)</f>
        <v>13210127.914478021</v>
      </c>
      <c r="AE20" s="19"/>
      <c r="AF20" s="19"/>
      <c r="AG20" s="19"/>
      <c r="AH20" s="19"/>
      <c r="AI20" s="19"/>
      <c r="AJ20" s="19"/>
      <c r="AK20" s="19"/>
      <c r="AL20" s="19"/>
      <c r="AM20" s="385" t="e">
        <f>SUM(AM14:AM19)</f>
        <v>#REF!</v>
      </c>
      <c r="AN20" s="385" t="e">
        <f t="shared" ref="AN20:AP20" si="31">SUM(AN14:AN19)</f>
        <v>#REF!</v>
      </c>
      <c r="AO20" s="385" t="e">
        <f t="shared" si="31"/>
        <v>#REF!</v>
      </c>
      <c r="AP20" s="385" t="e">
        <f t="shared" si="31"/>
        <v>#REF!</v>
      </c>
    </row>
    <row r="21" spans="1:42" ht="15">
      <c r="A21" s="26"/>
      <c r="B21" s="326"/>
      <c r="C21" s="23"/>
      <c r="D21" s="315"/>
      <c r="E21" s="326"/>
      <c r="F21" s="23"/>
      <c r="G21" s="315"/>
      <c r="H21" s="326"/>
      <c r="I21" s="23"/>
      <c r="J21" s="315"/>
      <c r="K21" s="23"/>
      <c r="L21" s="23"/>
      <c r="M21" s="326"/>
      <c r="N21" s="23"/>
      <c r="O21" s="23"/>
      <c r="P21" s="315"/>
      <c r="Q21" s="1">
        <f>Q12+Q20</f>
        <v>21040.803774478019</v>
      </c>
      <c r="R21" s="247">
        <f>R12+R20</f>
        <v>21040804</v>
      </c>
      <c r="S21" s="247">
        <f>S12+S20</f>
        <v>58194</v>
      </c>
      <c r="T21" s="247">
        <f>T12+T20</f>
        <v>21098998</v>
      </c>
      <c r="U21" s="19"/>
      <c r="V21" s="19"/>
      <c r="W21" s="265"/>
      <c r="X21" s="2"/>
      <c r="Y21" s="125"/>
      <c r="Z21" s="127"/>
      <c r="AA21" s="33">
        <f>AA12+AA20</f>
        <v>0</v>
      </c>
      <c r="AB21" s="33">
        <f>AB12+AB20</f>
        <v>0</v>
      </c>
      <c r="AC21" s="33">
        <f>AC12+AC20</f>
        <v>21040803.774478018</v>
      </c>
      <c r="AD21" s="33">
        <f>AD12+AD20</f>
        <v>21040803.774478018</v>
      </c>
      <c r="AE21" s="19"/>
      <c r="AF21" s="19"/>
      <c r="AG21" s="19"/>
      <c r="AH21" s="19"/>
      <c r="AI21" s="19"/>
      <c r="AJ21" s="19"/>
      <c r="AK21" s="19"/>
      <c r="AL21" s="19"/>
      <c r="AM21" s="386" t="e">
        <f>AM12+AM20</f>
        <v>#REF!</v>
      </c>
      <c r="AN21" s="386" t="e">
        <f t="shared" ref="AN21:AP21" si="32">AN12+AN20</f>
        <v>#REF!</v>
      </c>
      <c r="AO21" s="386" t="e">
        <f t="shared" si="32"/>
        <v>#REF!</v>
      </c>
      <c r="AP21" s="386" t="e">
        <f t="shared" si="32"/>
        <v>#REF!</v>
      </c>
    </row>
    <row r="22" spans="1:42">
      <c r="A22" s="192" t="s">
        <v>171</v>
      </c>
      <c r="B22" s="34">
        <f t="shared" ref="B22:D22" si="33">B12+B20</f>
        <v>0</v>
      </c>
      <c r="C22" s="332">
        <f t="shared" si="33"/>
        <v>0.16319470734125502</v>
      </c>
      <c r="D22" s="333">
        <f t="shared" si="33"/>
        <v>0.11424608116299201</v>
      </c>
      <c r="E22" s="34">
        <f>E12+E20</f>
        <v>0</v>
      </c>
      <c r="F22" s="332">
        <f t="shared" ref="F22" si="34">F12+F20</f>
        <v>0.45809389170667603</v>
      </c>
      <c r="G22" s="334">
        <f>G12+G20</f>
        <v>0.28748254016760622</v>
      </c>
      <c r="H22" s="34" t="e">
        <f>H12+H20</f>
        <v>#REF!</v>
      </c>
      <c r="I22" s="332">
        <f t="shared" ref="I22" si="35">I12+I20</f>
        <v>0.82900767399108322</v>
      </c>
      <c r="J22" s="334">
        <f>J12+J20</f>
        <v>0.54575023231046338</v>
      </c>
      <c r="K22" s="18"/>
      <c r="L22" s="18"/>
      <c r="M22" s="34" t="e">
        <f>M12+M20</f>
        <v>#REF!</v>
      </c>
      <c r="N22" s="332" t="e">
        <f t="shared" ref="N22:P22" si="36">N12+N20</f>
        <v>#REF!</v>
      </c>
      <c r="O22" s="332" t="e">
        <f t="shared" si="36"/>
        <v>#REF!</v>
      </c>
      <c r="P22" s="334" t="e">
        <f t="shared" si="36"/>
        <v>#REF!</v>
      </c>
      <c r="Q22" s="1" t="e">
        <f>Q6+Q21</f>
        <v>#REF!</v>
      </c>
      <c r="R22" s="37"/>
      <c r="S22" s="37"/>
      <c r="T22" s="37"/>
      <c r="U22" s="19"/>
      <c r="V22" s="19"/>
      <c r="W22" s="265"/>
      <c r="X22" s="36"/>
      <c r="Y22" s="1026" t="s">
        <v>31</v>
      </c>
      <c r="Z22" s="1026"/>
      <c r="AA22" s="38" t="e">
        <f>ROUND(AA21/AA24,5)</f>
        <v>#DIV/0!</v>
      </c>
      <c r="AB22" s="38" t="e">
        <f>ROUND(AB21/AB24,5)</f>
        <v>#DIV/0!</v>
      </c>
      <c r="AC22" s="38">
        <f>IF(AC24&lt;&gt;0,ROUND(AC21/AC24,5),0)</f>
        <v>0.29222999999999999</v>
      </c>
      <c r="AD22" s="38">
        <f>ROUND(AD21/AD24,5)</f>
        <v>0.29222999999999999</v>
      </c>
      <c r="AE22" s="19"/>
      <c r="AF22" s="19"/>
      <c r="AG22" s="19"/>
      <c r="AH22" s="19"/>
      <c r="AI22" s="19"/>
      <c r="AJ22" s="19"/>
      <c r="AK22" s="19"/>
      <c r="AL22" s="19"/>
    </row>
    <row r="23" spans="1:42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17"/>
      <c r="L23" s="17"/>
      <c r="M23" s="48"/>
      <c r="N23" s="26"/>
      <c r="O23" s="26"/>
      <c r="P23" s="318"/>
      <c r="R23" s="37"/>
      <c r="S23" s="37"/>
      <c r="T23" s="37"/>
      <c r="U23" s="19"/>
      <c r="V23" s="19"/>
      <c r="W23" s="265"/>
      <c r="X23" s="36"/>
      <c r="Y23" s="1026" t="s">
        <v>32</v>
      </c>
      <c r="Z23" s="1026"/>
      <c r="AA23" s="38" t="e">
        <f>ROUND(AA22+B6,5)</f>
        <v>#DIV/0!</v>
      </c>
      <c r="AB23" s="38" t="e">
        <f>ROUND(AB22+E6,5)</f>
        <v>#DIV/0!</v>
      </c>
      <c r="AC23" s="38" t="e">
        <f>IF(AC24&lt;&gt;0,ROUND(AC22+H6,5),0)</f>
        <v>#REF!</v>
      </c>
      <c r="AD23" s="38" t="e">
        <f>ROUND(AD22+(B6*B24+E6*E24+H6*H24)/B25,5)</f>
        <v>#REF!</v>
      </c>
      <c r="AE23" s="19"/>
      <c r="AF23" s="19"/>
      <c r="AG23" s="19"/>
      <c r="AH23" s="19"/>
      <c r="AI23" s="19"/>
      <c r="AJ23" s="19"/>
      <c r="AK23" s="19"/>
      <c r="AL23" s="19"/>
    </row>
    <row r="24" spans="1:42">
      <c r="A24" s="192" t="s">
        <v>264</v>
      </c>
      <c r="B24" s="331">
        <f>$B$30+$B$31</f>
        <v>0</v>
      </c>
      <c r="C24" s="26">
        <v>46860.38</v>
      </c>
      <c r="D24" s="77">
        <v>158900</v>
      </c>
      <c r="E24" s="331">
        <f>$B$32</f>
        <v>0</v>
      </c>
      <c r="F24" s="26">
        <v>21908.955000000002</v>
      </c>
      <c r="G24" s="77">
        <v>58500</v>
      </c>
      <c r="H24" s="331">
        <f>$B$33</f>
        <v>72000</v>
      </c>
      <c r="I24" s="26">
        <v>8127.9740000000002</v>
      </c>
      <c r="J24" s="77">
        <v>0</v>
      </c>
      <c r="K24" s="26"/>
      <c r="L24" s="26"/>
      <c r="M24" s="331">
        <f>B25</f>
        <v>72000</v>
      </c>
      <c r="N24" s="26"/>
      <c r="O24" s="26"/>
      <c r="P24" s="77"/>
      <c r="R24" s="41"/>
      <c r="S24" s="41"/>
      <c r="T24" s="41"/>
      <c r="U24" s="19"/>
      <c r="V24" s="19"/>
      <c r="W24" s="265"/>
      <c r="X24" s="5"/>
      <c r="Y24" s="1026" t="s">
        <v>33</v>
      </c>
      <c r="Z24" s="1026"/>
      <c r="AA24" s="41">
        <f>ROUND(B24*1000,0)</f>
        <v>0</v>
      </c>
      <c r="AB24" s="41">
        <f>ROUND(E24*1000,0)</f>
        <v>0</v>
      </c>
      <c r="AC24" s="41">
        <f>ROUND(H24*1000,0)</f>
        <v>72000000</v>
      </c>
      <c r="AD24" s="41">
        <f>SUM(AA24:AC24)</f>
        <v>72000000</v>
      </c>
      <c r="AE24" s="19"/>
      <c r="AF24" s="19"/>
      <c r="AG24" s="19"/>
      <c r="AH24" s="19"/>
      <c r="AI24" s="19"/>
      <c r="AJ24" s="19"/>
      <c r="AK24" s="19"/>
      <c r="AL24" s="19"/>
    </row>
    <row r="25" spans="1:42">
      <c r="A25" s="192" t="s">
        <v>265</v>
      </c>
      <c r="B25" s="337">
        <f>$B$24+$E$24+$H$24</f>
        <v>72000</v>
      </c>
      <c r="C25" s="113">
        <f>$C$24+$F$24+$I$24</f>
        <v>76897.308999999994</v>
      </c>
      <c r="D25" s="338">
        <f>D24+G24+J24</f>
        <v>217400</v>
      </c>
      <c r="E25" s="99"/>
      <c r="F25" s="72"/>
      <c r="G25" s="75"/>
      <c r="H25" s="99"/>
      <c r="I25" s="72"/>
      <c r="J25" s="75"/>
      <c r="M25" s="99"/>
      <c r="N25" s="72"/>
      <c r="O25" s="72"/>
      <c r="P25" s="75"/>
    </row>
    <row r="27" spans="1:42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M27" s="17"/>
      <c r="N27" s="199" t="s">
        <v>107</v>
      </c>
      <c r="O27" s="199" t="s">
        <v>310</v>
      </c>
      <c r="P27" s="199" t="s">
        <v>311</v>
      </c>
    </row>
    <row r="28" spans="1:42">
      <c r="A28" s="44"/>
      <c r="H28" s="45"/>
      <c r="M28" s="371" t="s">
        <v>318</v>
      </c>
      <c r="N28" s="1027" t="s">
        <v>312</v>
      </c>
      <c r="O28" s="1027"/>
      <c r="P28" s="1027"/>
    </row>
    <row r="29" spans="1:42">
      <c r="A29" s="190" t="s">
        <v>176</v>
      </c>
      <c r="B29" s="46" t="s">
        <v>168</v>
      </c>
      <c r="C29" s="46" t="s">
        <v>36</v>
      </c>
      <c r="D29" s="47"/>
      <c r="F29" s="47"/>
      <c r="H29" s="45"/>
      <c r="M29" s="17" t="s">
        <v>315</v>
      </c>
      <c r="N29" s="366" t="e">
        <f>SUM(O29:P29)</f>
        <v>#REF!</v>
      </c>
      <c r="O29" s="366" t="e">
        <f>O12*$M$24</f>
        <v>#REF!</v>
      </c>
      <c r="P29" s="366" t="e">
        <f>O20*$M$24</f>
        <v>#REF!</v>
      </c>
    </row>
    <row r="30" spans="1:42" ht="15">
      <c r="A30" s="48" t="s">
        <v>188</v>
      </c>
      <c r="B30" s="342">
        <v>0</v>
      </c>
      <c r="C30" s="183">
        <f>+B30/$B$34</f>
        <v>0</v>
      </c>
      <c r="D30" s="50"/>
      <c r="F30" s="51"/>
      <c r="H30" s="45"/>
      <c r="M30" s="17" t="s">
        <v>316</v>
      </c>
      <c r="N30" s="367" t="e">
        <f>SUM(O30:P30)</f>
        <v>#REF!</v>
      </c>
      <c r="O30" s="367" t="e">
        <f>P12*M24</f>
        <v>#REF!</v>
      </c>
      <c r="P30" s="367" t="e">
        <f>P20*M24</f>
        <v>#REF!</v>
      </c>
      <c r="AL30" s="39"/>
    </row>
    <row r="31" spans="1:42" ht="16.5">
      <c r="A31" s="48" t="s">
        <v>187</v>
      </c>
      <c r="B31" s="342">
        <v>0</v>
      </c>
      <c r="C31" s="183">
        <f>+B31/$B$34</f>
        <v>0</v>
      </c>
      <c r="D31" s="50"/>
      <c r="F31" s="51"/>
      <c r="H31" s="45"/>
      <c r="M31" s="17" t="s">
        <v>314</v>
      </c>
      <c r="N31" s="213">
        <f>SUM(O31:P31)</f>
        <v>397.02475200756709</v>
      </c>
      <c r="O31" s="213">
        <f>IF(C95&lt;&gt;0,0,(((((D94/1.06564)-0.33)*0.974)-D95)*(480000-C94))/1000)</f>
        <v>397.02475200756709</v>
      </c>
      <c r="P31" s="213">
        <v>0</v>
      </c>
      <c r="AL31" s="39"/>
    </row>
    <row r="32" spans="1:42" ht="15">
      <c r="A32" s="48" t="s">
        <v>280</v>
      </c>
      <c r="B32" s="342">
        <v>0</v>
      </c>
      <c r="C32" s="183">
        <f>+B32/$B$34</f>
        <v>0</v>
      </c>
      <c r="D32" s="50"/>
      <c r="F32" s="51"/>
      <c r="H32" s="45"/>
      <c r="M32" s="192" t="s">
        <v>3</v>
      </c>
      <c r="N32" s="368" t="e">
        <f>SUM(N29:N31)</f>
        <v>#REF!</v>
      </c>
      <c r="O32" s="368" t="e">
        <f>SUM(O29:O31)</f>
        <v>#REF!</v>
      </c>
      <c r="P32" s="368" t="e">
        <f>SUM(P29:P31)</f>
        <v>#REF!</v>
      </c>
      <c r="AL32" s="39"/>
    </row>
    <row r="33" spans="1:42" ht="16.5">
      <c r="A33" s="48" t="s">
        <v>281</v>
      </c>
      <c r="B33" s="342">
        <f>'17 Std'!B3*12</f>
        <v>72000</v>
      </c>
      <c r="C33" s="184">
        <f>+B33/$B$34</f>
        <v>1</v>
      </c>
      <c r="D33" s="50"/>
      <c r="F33" s="51"/>
      <c r="H33" s="45"/>
      <c r="M33" s="192" t="s">
        <v>317</v>
      </c>
      <c r="N33" s="369">
        <f>SUM(O33:P33)</f>
        <v>-4800</v>
      </c>
      <c r="O33" s="369">
        <v>0</v>
      </c>
      <c r="P33" s="369">
        <f>-M19*M24</f>
        <v>-4800</v>
      </c>
      <c r="AL33" s="39"/>
    </row>
    <row r="34" spans="1:42" ht="15">
      <c r="A34" s="141" t="s">
        <v>107</v>
      </c>
      <c r="B34" s="49">
        <f>SUM(B30:B33)</f>
        <v>72000</v>
      </c>
      <c r="C34" s="183">
        <f>SUM(C30:C33)</f>
        <v>1</v>
      </c>
      <c r="D34" s="50"/>
      <c r="F34" s="51"/>
      <c r="H34" s="45"/>
      <c r="M34" s="192" t="s">
        <v>313</v>
      </c>
      <c r="N34" s="370" t="e">
        <f>SUM(N32:N33)</f>
        <v>#REF!</v>
      </c>
      <c r="O34" s="370" t="e">
        <f>SUM(O32:O33)</f>
        <v>#REF!</v>
      </c>
      <c r="P34" s="370" t="e">
        <f>SUM(P32:P33)</f>
        <v>#REF!</v>
      </c>
      <c r="AL34" s="39"/>
    </row>
    <row r="35" spans="1:42">
      <c r="A35" s="141"/>
      <c r="B35" s="49"/>
      <c r="C35" s="183"/>
      <c r="D35" s="50"/>
      <c r="F35" s="51"/>
      <c r="H35" s="45"/>
      <c r="AL35" s="39"/>
    </row>
    <row r="36" spans="1:42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M36" s="371" t="s">
        <v>319</v>
      </c>
      <c r="AL36" s="39"/>
    </row>
    <row r="37" spans="1:42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M37" s="17" t="s">
        <v>315</v>
      </c>
      <c r="N37" s="366" t="e">
        <f>SUM(O37:P37)</f>
        <v>#REF!</v>
      </c>
      <c r="O37" s="366" t="e">
        <f>O29/12</f>
        <v>#REF!</v>
      </c>
      <c r="P37" s="366" t="e">
        <f>P29/12</f>
        <v>#REF!</v>
      </c>
      <c r="W37" s="13"/>
      <c r="X37" s="46"/>
      <c r="AJ37" s="11"/>
    </row>
    <row r="38" spans="1:42" ht="15">
      <c r="A38" s="176" t="s">
        <v>173</v>
      </c>
      <c r="B38" s="347" t="e">
        <f>#REF!-3.57</f>
        <v>#REF!</v>
      </c>
      <c r="C38" s="343">
        <v>0.5</v>
      </c>
      <c r="D38" s="134"/>
      <c r="E38" s="343">
        <v>0.5</v>
      </c>
      <c r="F38" s="134"/>
      <c r="G38" s="343">
        <v>0</v>
      </c>
      <c r="H38" s="186"/>
      <c r="M38" s="17" t="s">
        <v>316</v>
      </c>
      <c r="N38" s="367" t="e">
        <f>SUM(O38:P38)</f>
        <v>#REF!</v>
      </c>
      <c r="O38" s="367" t="e">
        <f t="shared" ref="O38:P39" si="37">O30/12</f>
        <v>#REF!</v>
      </c>
      <c r="P38" s="367" t="e">
        <f t="shared" si="37"/>
        <v>#REF!</v>
      </c>
      <c r="W38" s="13"/>
      <c r="X38" s="250"/>
      <c r="AJ38" s="251"/>
      <c r="AK38" s="251"/>
    </row>
    <row r="39" spans="1:42" ht="16.5">
      <c r="A39" s="176" t="s">
        <v>178</v>
      </c>
      <c r="B39" s="355" t="e">
        <f>#REF!-3.09</f>
        <v>#REF!</v>
      </c>
      <c r="C39" s="343">
        <v>0.5</v>
      </c>
      <c r="D39" s="134"/>
      <c r="E39" s="343">
        <v>0.5</v>
      </c>
      <c r="F39" s="134"/>
      <c r="G39" s="343">
        <v>0</v>
      </c>
      <c r="H39" s="186"/>
      <c r="M39" s="17" t="s">
        <v>314</v>
      </c>
      <c r="N39" s="213">
        <f>SUM(O39:P39)</f>
        <v>33.085396000630588</v>
      </c>
      <c r="O39" s="213">
        <f t="shared" si="37"/>
        <v>33.085396000630588</v>
      </c>
      <c r="P39" s="213">
        <f t="shared" si="37"/>
        <v>0</v>
      </c>
      <c r="W39" s="13"/>
      <c r="X39" s="250"/>
      <c r="AJ39" s="252"/>
      <c r="AK39" s="252"/>
    </row>
    <row r="40" spans="1:42">
      <c r="A40" s="141" t="s">
        <v>174</v>
      </c>
      <c r="B40" s="157" t="e">
        <f>+B38*C38+B39*C39</f>
        <v>#REF!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M40" s="192" t="s">
        <v>3</v>
      </c>
      <c r="N40" s="368" t="e">
        <f>SUM(N37:N39)</f>
        <v>#REF!</v>
      </c>
      <c r="O40" s="368" t="e">
        <f>SUM(O37:O39)</f>
        <v>#REF!</v>
      </c>
      <c r="P40" s="368" t="e">
        <f>SUM(P37:P39)</f>
        <v>#REF!</v>
      </c>
      <c r="W40" s="13"/>
      <c r="X40" s="250"/>
      <c r="AJ40" s="251"/>
      <c r="AK40" s="251"/>
    </row>
    <row r="41" spans="1:42" ht="15">
      <c r="A41" s="43"/>
      <c r="B41" s="50"/>
      <c r="C41" s="60"/>
      <c r="D41" s="59"/>
      <c r="E41" s="60"/>
      <c r="F41" s="59"/>
      <c r="G41" s="60"/>
      <c r="H41" s="187"/>
      <c r="M41" s="192" t="s">
        <v>317</v>
      </c>
      <c r="N41" s="369">
        <f>SUM(O41:P41)</f>
        <v>-400</v>
      </c>
      <c r="O41" s="369">
        <f>O33/12</f>
        <v>0</v>
      </c>
      <c r="P41" s="369">
        <f>P33/12</f>
        <v>-400</v>
      </c>
      <c r="U41" s="39"/>
      <c r="V41" s="39"/>
      <c r="W41" s="13"/>
      <c r="X41" s="62"/>
    </row>
    <row r="42" spans="1:42" ht="18" customHeight="1">
      <c r="A42" s="198" t="s">
        <v>39</v>
      </c>
      <c r="B42" s="61" t="s">
        <v>40</v>
      </c>
      <c r="C42" s="185" t="s">
        <v>299</v>
      </c>
      <c r="D42" s="61" t="s">
        <v>179</v>
      </c>
      <c r="E42" s="185" t="s">
        <v>299</v>
      </c>
      <c r="F42" s="61" t="s">
        <v>179</v>
      </c>
      <c r="G42" s="185" t="s">
        <v>299</v>
      </c>
      <c r="H42" s="188" t="s">
        <v>179</v>
      </c>
      <c r="J42" s="62"/>
      <c r="K42" s="62"/>
      <c r="L42" s="62"/>
      <c r="M42" s="192" t="s">
        <v>313</v>
      </c>
      <c r="N42" s="370" t="e">
        <f>SUM(N40:N41)</f>
        <v>#REF!</v>
      </c>
      <c r="O42" s="370" t="e">
        <f>SUM(O40:O41)</f>
        <v>#REF!</v>
      </c>
      <c r="P42" s="370" t="e">
        <f>SUM(P40:P41)</f>
        <v>#REF!</v>
      </c>
      <c r="W42" s="13"/>
      <c r="X42" s="46"/>
      <c r="AJ42" s="11"/>
      <c r="AK42" s="11"/>
      <c r="AL42" s="11"/>
      <c r="AM42" s="52" t="s">
        <v>291</v>
      </c>
      <c r="AN42" s="52" t="s">
        <v>294</v>
      </c>
      <c r="AO42" s="52" t="s">
        <v>295</v>
      </c>
      <c r="AP42" s="52" t="s">
        <v>296</v>
      </c>
    </row>
    <row r="43" spans="1:42" ht="15">
      <c r="A43" s="176" t="s">
        <v>404</v>
      </c>
      <c r="B43" s="64" t="e">
        <f>$B$40/2000</f>
        <v>#REF!</v>
      </c>
      <c r="C43" s="345">
        <v>1.81</v>
      </c>
      <c r="D43" s="307" t="e">
        <f t="shared" ref="D43:D49" si="38">B43*C43</f>
        <v>#REF!</v>
      </c>
      <c r="E43" s="345">
        <v>3</v>
      </c>
      <c r="F43" s="307" t="e">
        <f t="shared" ref="F43:F49" si="39">B43*E43</f>
        <v>#REF!</v>
      </c>
      <c r="G43" s="345">
        <v>0</v>
      </c>
      <c r="H43" s="311" t="e">
        <f>B43*G43</f>
        <v>#REF!</v>
      </c>
      <c r="J43" s="65"/>
      <c r="K43" s="65"/>
      <c r="L43" s="65"/>
      <c r="M43" s="65"/>
      <c r="N43" s="65"/>
      <c r="O43" s="65"/>
      <c r="P43" s="65"/>
      <c r="V43" s="312" t="e">
        <f>B43*1000</f>
        <v>#REF!</v>
      </c>
      <c r="W43" s="256" t="s">
        <v>12</v>
      </c>
      <c r="X43" s="255" t="s">
        <v>154</v>
      </c>
      <c r="AJ43" s="56" t="e">
        <f t="shared" ref="AJ43:AJ49" si="40">IF(B43&lt;&gt;0,D43/B43*1000,0)</f>
        <v>#REF!</v>
      </c>
      <c r="AK43" s="56" t="e">
        <f t="shared" ref="AK43:AK49" si="41">IF(B43&lt;&gt;0,F43/B43*1000,0)</f>
        <v>#REF!</v>
      </c>
      <c r="AL43" s="56" t="e">
        <f>IF(B43&lt;&gt;0,H43/B43*1000,0)</f>
        <v>#REF!</v>
      </c>
      <c r="AM43" s="26" t="e">
        <f t="shared" ref="AM43:AM49" si="42">AJ43*$B$24+AK43*$E$24+AL43*$H$24</f>
        <v>#REF!</v>
      </c>
      <c r="AN43" s="26">
        <v>202343432</v>
      </c>
      <c r="AO43" s="183" t="e">
        <f t="shared" ref="AO43:AO49" si="43">AN43/AM43</f>
        <v>#REF!</v>
      </c>
      <c r="AP43" s="341">
        <f>343597.02/24291676.299</f>
        <v>1.414464015454317E-2</v>
      </c>
    </row>
    <row r="44" spans="1:42" ht="15">
      <c r="A44" s="176" t="s">
        <v>403</v>
      </c>
      <c r="B44" s="344">
        <v>0.1525</v>
      </c>
      <c r="C44" s="345">
        <v>0</v>
      </c>
      <c r="D44" s="307">
        <f t="shared" si="38"/>
        <v>0</v>
      </c>
      <c r="E44" s="345">
        <v>0</v>
      </c>
      <c r="F44" s="307">
        <f t="shared" si="39"/>
        <v>0</v>
      </c>
      <c r="G44" s="345">
        <v>2.8</v>
      </c>
      <c r="H44" s="311">
        <f t="shared" ref="H44:H49" si="44">B44*G44</f>
        <v>0.42699999999999999</v>
      </c>
      <c r="J44" s="65"/>
      <c r="K44" s="65"/>
      <c r="L44" s="65"/>
      <c r="M44" s="65"/>
      <c r="N44" s="65"/>
      <c r="O44" s="65"/>
      <c r="P44" s="65"/>
      <c r="V44" s="312">
        <f t="shared" ref="V44:V49" si="45">B44*1000</f>
        <v>152.5</v>
      </c>
      <c r="W44" s="256" t="s">
        <v>12</v>
      </c>
      <c r="X44" s="256" t="s">
        <v>298</v>
      </c>
      <c r="AJ44" s="56">
        <f t="shared" si="40"/>
        <v>0</v>
      </c>
      <c r="AK44" s="56">
        <f t="shared" si="41"/>
        <v>0</v>
      </c>
      <c r="AL44" s="56">
        <f t="shared" ref="AL44:AL49" si="46">IF(B44&lt;&gt;0,H44/B44*1000,0)</f>
        <v>2800</v>
      </c>
      <c r="AM44" s="26">
        <f t="shared" si="42"/>
        <v>201600000</v>
      </c>
      <c r="AN44" s="26">
        <v>0</v>
      </c>
      <c r="AO44" s="183">
        <f t="shared" si="43"/>
        <v>0</v>
      </c>
      <c r="AP44" s="341">
        <v>6.2740000000000004E-2</v>
      </c>
    </row>
    <row r="45" spans="1:42" ht="15">
      <c r="A45" s="176" t="s">
        <v>405</v>
      </c>
      <c r="B45" s="344">
        <v>1.4107000000000001</v>
      </c>
      <c r="C45" s="345">
        <v>1.0999999999999999E-2</v>
      </c>
      <c r="D45" s="307">
        <f t="shared" si="38"/>
        <v>1.5517700000000001E-2</v>
      </c>
      <c r="E45" s="345">
        <v>0</v>
      </c>
      <c r="F45" s="307">
        <f t="shared" si="39"/>
        <v>0</v>
      </c>
      <c r="G45" s="345">
        <v>0</v>
      </c>
      <c r="H45" s="311">
        <f t="shared" si="44"/>
        <v>0</v>
      </c>
      <c r="J45" s="65"/>
      <c r="K45" s="65"/>
      <c r="L45" s="65"/>
      <c r="M45" s="65"/>
      <c r="N45" s="65"/>
      <c r="O45" s="65"/>
      <c r="P45" s="65"/>
      <c r="V45" s="312">
        <f t="shared" si="45"/>
        <v>1410.7</v>
      </c>
      <c r="W45" s="256" t="s">
        <v>12</v>
      </c>
      <c r="X45" s="255" t="s">
        <v>155</v>
      </c>
      <c r="AJ45" s="56">
        <f t="shared" si="40"/>
        <v>11</v>
      </c>
      <c r="AK45" s="56">
        <f t="shared" si="41"/>
        <v>0</v>
      </c>
      <c r="AL45" s="56">
        <f t="shared" si="46"/>
        <v>0</v>
      </c>
      <c r="AM45" s="26">
        <f t="shared" si="42"/>
        <v>0</v>
      </c>
      <c r="AN45" s="26">
        <v>101933</v>
      </c>
      <c r="AO45" s="183" t="e">
        <f t="shared" si="43"/>
        <v>#DIV/0!</v>
      </c>
      <c r="AP45" s="341">
        <f>143105.19/AN45</f>
        <v>1.4039142377836422</v>
      </c>
    </row>
    <row r="46" spans="1:42" ht="15">
      <c r="A46" s="176" t="s">
        <v>406</v>
      </c>
      <c r="B46" s="344">
        <v>0.46</v>
      </c>
      <c r="C46" s="345">
        <v>5.0000000000000001E-3</v>
      </c>
      <c r="D46" s="307">
        <f t="shared" si="38"/>
        <v>2.3E-3</v>
      </c>
      <c r="E46" s="345">
        <v>1.2999999999999999E-2</v>
      </c>
      <c r="F46" s="307">
        <f t="shared" si="39"/>
        <v>5.9800000000000001E-3</v>
      </c>
      <c r="G46" s="345">
        <v>0.02</v>
      </c>
      <c r="H46" s="311">
        <f t="shared" si="44"/>
        <v>9.1999999999999998E-3</v>
      </c>
      <c r="I46" s="62"/>
      <c r="J46" s="65"/>
      <c r="K46" s="65"/>
      <c r="L46" s="65"/>
      <c r="M46" s="65"/>
      <c r="N46" s="65"/>
      <c r="O46" s="65"/>
      <c r="P46" s="65"/>
      <c r="V46" s="312">
        <f t="shared" si="45"/>
        <v>460</v>
      </c>
      <c r="W46" s="256" t="s">
        <v>12</v>
      </c>
      <c r="X46" s="255" t="s">
        <v>156</v>
      </c>
      <c r="AJ46" s="56">
        <f t="shared" si="40"/>
        <v>5</v>
      </c>
      <c r="AK46" s="56">
        <f t="shared" si="41"/>
        <v>13</v>
      </c>
      <c r="AL46" s="56">
        <f t="shared" si="46"/>
        <v>20</v>
      </c>
      <c r="AM46" s="26">
        <f t="shared" si="42"/>
        <v>1440000</v>
      </c>
      <c r="AN46" s="26">
        <v>84108</v>
      </c>
      <c r="AO46" s="183">
        <f t="shared" si="43"/>
        <v>5.8408333333333333E-2</v>
      </c>
      <c r="AP46" s="341">
        <f>38613.79/AN46</f>
        <v>0.45909770770913588</v>
      </c>
    </row>
    <row r="47" spans="1:42" ht="15">
      <c r="A47" s="176" t="s">
        <v>407</v>
      </c>
      <c r="B47" s="344">
        <v>5.7000000000000002E-2</v>
      </c>
      <c r="C47" s="345">
        <v>1.2E-2</v>
      </c>
      <c r="D47" s="307">
        <f t="shared" si="38"/>
        <v>6.8400000000000004E-4</v>
      </c>
      <c r="E47" s="345">
        <v>8.9999999999999993E-3</v>
      </c>
      <c r="F47" s="307">
        <f t="shared" si="39"/>
        <v>5.13E-4</v>
      </c>
      <c r="G47" s="345">
        <v>4.0000000000000001E-3</v>
      </c>
      <c r="H47" s="311">
        <f t="shared" si="44"/>
        <v>2.2800000000000001E-4</v>
      </c>
      <c r="I47" s="62"/>
      <c r="J47" s="65"/>
      <c r="K47" s="65"/>
      <c r="L47" s="65"/>
      <c r="M47" s="65"/>
      <c r="N47" s="65"/>
      <c r="O47" s="65"/>
      <c r="P47" s="65"/>
      <c r="V47" s="312">
        <f t="shared" si="45"/>
        <v>57</v>
      </c>
      <c r="W47" s="256" t="s">
        <v>12</v>
      </c>
      <c r="X47" s="255" t="s">
        <v>157</v>
      </c>
      <c r="AJ47" s="56">
        <f t="shared" si="40"/>
        <v>12</v>
      </c>
      <c r="AK47" s="56">
        <f t="shared" si="41"/>
        <v>9</v>
      </c>
      <c r="AL47" s="56">
        <f t="shared" si="46"/>
        <v>4</v>
      </c>
      <c r="AM47" s="26">
        <f t="shared" si="42"/>
        <v>288000</v>
      </c>
      <c r="AN47" s="26">
        <v>47388</v>
      </c>
      <c r="AO47" s="183">
        <f t="shared" si="43"/>
        <v>0.16454166666666667</v>
      </c>
      <c r="AP47" s="341">
        <f>2705.86/AN47</f>
        <v>5.710010973242171E-2</v>
      </c>
    </row>
    <row r="48" spans="1:42" ht="15">
      <c r="A48" s="176" t="s">
        <v>408</v>
      </c>
      <c r="B48" s="344">
        <v>8.7499999999999994E-2</v>
      </c>
      <c r="C48" s="345">
        <v>0</v>
      </c>
      <c r="D48" s="307">
        <f t="shared" si="38"/>
        <v>0</v>
      </c>
      <c r="E48" s="345">
        <v>0.27800000000000002</v>
      </c>
      <c r="F48" s="307">
        <f t="shared" si="39"/>
        <v>2.4324999999999999E-2</v>
      </c>
      <c r="G48" s="345">
        <v>0.215</v>
      </c>
      <c r="H48" s="311">
        <f t="shared" si="44"/>
        <v>1.8812499999999999E-2</v>
      </c>
      <c r="I48" s="62"/>
      <c r="J48" s="65"/>
      <c r="K48" s="65"/>
      <c r="L48" s="65"/>
      <c r="M48" s="65"/>
      <c r="N48" s="65"/>
      <c r="O48" s="65"/>
      <c r="P48" s="65"/>
      <c r="V48" s="312">
        <f t="shared" si="45"/>
        <v>87.5</v>
      </c>
      <c r="W48" s="256" t="s">
        <v>12</v>
      </c>
      <c r="X48" s="255" t="s">
        <v>231</v>
      </c>
      <c r="AJ48" s="56">
        <f t="shared" si="40"/>
        <v>0</v>
      </c>
      <c r="AK48" s="56">
        <f t="shared" si="41"/>
        <v>278</v>
      </c>
      <c r="AL48" s="56">
        <f t="shared" si="46"/>
        <v>215</v>
      </c>
      <c r="AM48" s="26">
        <f t="shared" si="42"/>
        <v>15480000</v>
      </c>
      <c r="AN48" s="26">
        <v>560786</v>
      </c>
      <c r="AO48" s="183">
        <f t="shared" si="43"/>
        <v>3.6226485788113695E-2</v>
      </c>
      <c r="AP48" s="341">
        <f>49077.4/AN48</f>
        <v>8.7515380198507103E-2</v>
      </c>
    </row>
    <row r="49" spans="1:42" ht="15">
      <c r="A49" s="176" t="s">
        <v>409</v>
      </c>
      <c r="B49" s="344">
        <v>6.0780000000000003</v>
      </c>
      <c r="C49" s="345">
        <v>0</v>
      </c>
      <c r="D49" s="307">
        <f t="shared" si="38"/>
        <v>0</v>
      </c>
      <c r="E49" s="345">
        <v>1.0999999999999999E-2</v>
      </c>
      <c r="F49" s="307">
        <f t="shared" si="39"/>
        <v>6.6858000000000001E-2</v>
      </c>
      <c r="G49" s="345">
        <v>1.2E-2</v>
      </c>
      <c r="H49" s="311">
        <f t="shared" si="44"/>
        <v>7.2936000000000001E-2</v>
      </c>
      <c r="I49" s="62"/>
      <c r="J49" s="65"/>
      <c r="K49" s="65"/>
      <c r="L49" s="65"/>
      <c r="M49" s="65"/>
      <c r="N49" s="65"/>
      <c r="O49" s="65"/>
      <c r="P49" s="65"/>
      <c r="V49" s="312">
        <f t="shared" si="45"/>
        <v>6078</v>
      </c>
      <c r="W49" s="256" t="s">
        <v>12</v>
      </c>
      <c r="X49" s="255" t="s">
        <v>232</v>
      </c>
      <c r="AJ49" s="56">
        <f t="shared" si="40"/>
        <v>0</v>
      </c>
      <c r="AK49" s="56">
        <f t="shared" si="41"/>
        <v>11</v>
      </c>
      <c r="AL49" s="56">
        <f t="shared" si="46"/>
        <v>12</v>
      </c>
      <c r="AM49" s="26">
        <f t="shared" si="42"/>
        <v>864000</v>
      </c>
      <c r="AN49" s="26">
        <v>208883</v>
      </c>
      <c r="AO49" s="183">
        <f t="shared" si="43"/>
        <v>0.24176273148148147</v>
      </c>
      <c r="AP49" s="341">
        <f>1269211.15/AN49</f>
        <v>6.0761821210917111</v>
      </c>
    </row>
    <row r="50" spans="1:42">
      <c r="A50" s="63"/>
      <c r="B50" s="67"/>
      <c r="C50" s="51"/>
      <c r="D50" s="68"/>
      <c r="E50" s="51"/>
      <c r="F50" s="68"/>
      <c r="G50" s="51"/>
      <c r="H50" s="98"/>
      <c r="I50" s="62"/>
      <c r="J50" s="65"/>
      <c r="K50" s="65"/>
      <c r="L50" s="65"/>
      <c r="M50" s="65"/>
      <c r="N50" s="65"/>
      <c r="O50" s="65"/>
      <c r="P50" s="65"/>
      <c r="X50" s="156"/>
      <c r="AL50" s="157"/>
    </row>
    <row r="51" spans="1:42" ht="15">
      <c r="A51" s="63" t="s">
        <v>42</v>
      </c>
      <c r="C51" s="69"/>
      <c r="D51" s="199" t="s">
        <v>43</v>
      </c>
      <c r="F51" s="199" t="s">
        <v>43</v>
      </c>
      <c r="H51" s="283" t="s">
        <v>43</v>
      </c>
    </row>
    <row r="52" spans="1:42">
      <c r="A52" s="63" t="s">
        <v>284</v>
      </c>
      <c r="C52" s="69"/>
      <c r="D52" s="64" t="e">
        <f>D43+D44</f>
        <v>#REF!</v>
      </c>
      <c r="F52" s="64" t="e">
        <f>F43+F44</f>
        <v>#REF!</v>
      </c>
      <c r="H52" s="189" t="e">
        <f>H43+H44</f>
        <v>#REF!</v>
      </c>
    </row>
    <row r="53" spans="1:42" ht="15">
      <c r="A53" s="63" t="s">
        <v>44</v>
      </c>
      <c r="C53" s="69"/>
      <c r="D53" s="70">
        <f>SUM(D45:D49)</f>
        <v>1.8501699999999999E-2</v>
      </c>
      <c r="F53" s="70">
        <f>SUM(F45:F49)</f>
        <v>9.7675999999999999E-2</v>
      </c>
      <c r="H53" s="310">
        <f>SUM(H45:H49)</f>
        <v>0.1011765</v>
      </c>
    </row>
    <row r="54" spans="1:42" ht="15">
      <c r="A54" s="63" t="s">
        <v>45</v>
      </c>
      <c r="C54" s="51"/>
      <c r="D54" s="339" t="e">
        <f>SUM(D52:D53)</f>
        <v>#REF!</v>
      </c>
      <c r="F54" s="339" t="e">
        <f>SUM(F52:F53)</f>
        <v>#REF!</v>
      </c>
      <c r="H54" s="340" t="e">
        <f>SUM(H52:H53)</f>
        <v>#REF!</v>
      </c>
    </row>
    <row r="55" spans="1:42">
      <c r="A55" s="71"/>
      <c r="B55" s="72"/>
      <c r="C55" s="72"/>
      <c r="D55" s="72"/>
      <c r="E55" s="73"/>
      <c r="F55" s="74"/>
      <c r="G55" s="72"/>
      <c r="H55" s="75"/>
      <c r="W55" s="69"/>
    </row>
    <row r="56" spans="1:42">
      <c r="A56" s="39"/>
      <c r="E56" s="51"/>
      <c r="F56" s="76"/>
      <c r="W56" s="69"/>
    </row>
    <row r="57" spans="1:42" ht="13.5" thickBot="1">
      <c r="F57" s="39"/>
      <c r="G57" s="39"/>
    </row>
    <row r="58" spans="1:42" ht="14.65" customHeight="1">
      <c r="A58" s="82" t="s">
        <v>269</v>
      </c>
      <c r="B58" s="1020" t="s">
        <v>18</v>
      </c>
      <c r="C58" s="1020"/>
      <c r="D58" s="1020"/>
      <c r="E58" s="93"/>
      <c r="F58" s="1020" t="s">
        <v>46</v>
      </c>
      <c r="G58" s="1020"/>
      <c r="H58" s="1021"/>
      <c r="AA58" s="1014" t="s">
        <v>253</v>
      </c>
      <c r="AB58" s="1015"/>
      <c r="AC58" s="1015"/>
      <c r="AD58" s="1015"/>
      <c r="AE58" s="1015"/>
      <c r="AF58" s="1015"/>
      <c r="AG58" s="1015"/>
      <c r="AH58" s="1015"/>
      <c r="AI58" s="1015"/>
      <c r="AJ58" s="1015"/>
      <c r="AK58" s="1016"/>
    </row>
    <row r="59" spans="1:42" ht="14.65" customHeight="1">
      <c r="A59" s="43"/>
      <c r="B59" s="199" t="s">
        <v>159</v>
      </c>
      <c r="C59" s="199" t="s">
        <v>109</v>
      </c>
      <c r="D59" s="199" t="s">
        <v>107</v>
      </c>
      <c r="E59" s="26"/>
      <c r="F59" s="199" t="s">
        <v>159</v>
      </c>
      <c r="G59" s="199" t="s">
        <v>109</v>
      </c>
      <c r="H59" s="283" t="s">
        <v>107</v>
      </c>
      <c r="R59" s="240"/>
      <c r="S59" s="240"/>
      <c r="T59" s="261">
        <f>$T$14*$Z59</f>
        <v>3406628.3</v>
      </c>
      <c r="U59" s="250"/>
      <c r="V59" s="250"/>
      <c r="W59" s="256"/>
      <c r="X59" s="20" t="s">
        <v>79</v>
      </c>
      <c r="Y59" s="128" t="s">
        <v>80</v>
      </c>
      <c r="Z59" s="206">
        <f>100%-D62</f>
        <v>0.85</v>
      </c>
      <c r="AA59" s="274"/>
      <c r="AB59" s="261"/>
      <c r="AC59" s="261"/>
      <c r="AD59" s="261" t="s">
        <v>159</v>
      </c>
      <c r="AE59" s="278">
        <f>($B$66+$B$68+$B$70+$B$73-$B$75)/$B$25*$B$24</f>
        <v>0</v>
      </c>
      <c r="AF59" s="278">
        <f>($B$66+$B$68+$B$70+$B$73-$B$75)/$B$25*($E$24+$H$24)</f>
        <v>72997.8</v>
      </c>
      <c r="AG59" s="278"/>
      <c r="AH59" s="278">
        <f>SUM(AE59:AF59)</f>
        <v>72997.8</v>
      </c>
      <c r="AI59" s="25"/>
      <c r="AJ59" s="24"/>
      <c r="AK59" s="270"/>
      <c r="AL59" s="131"/>
    </row>
    <row r="60" spans="1:42" ht="14.65" customHeight="1">
      <c r="A60" s="48" t="s">
        <v>191</v>
      </c>
      <c r="B60" s="346">
        <f>'17 Std'!O3</f>
        <v>33</v>
      </c>
      <c r="C60" s="346">
        <f>'17 Std'!P3</f>
        <v>20</v>
      </c>
      <c r="D60" s="78">
        <f>SUM(B60:C60)</f>
        <v>53</v>
      </c>
      <c r="F60" s="346">
        <f>'17 Std'!Q3</f>
        <v>12</v>
      </c>
      <c r="G60" s="346">
        <f>'17 Std'!R3</f>
        <v>4</v>
      </c>
      <c r="H60" s="79">
        <f>SUM(F60:G60)</f>
        <v>16</v>
      </c>
      <c r="R60" s="269"/>
      <c r="S60" s="269"/>
      <c r="T60" s="262">
        <f>$T$14*$Z60</f>
        <v>601169.69999999995</v>
      </c>
      <c r="U60" s="250"/>
      <c r="V60" s="250"/>
      <c r="W60" s="256"/>
      <c r="X60" s="20" t="s">
        <v>81</v>
      </c>
      <c r="Y60" s="128" t="s">
        <v>82</v>
      </c>
      <c r="Z60" s="138">
        <f>D62</f>
        <v>0.15</v>
      </c>
      <c r="AA60" s="274"/>
      <c r="AB60" s="261"/>
      <c r="AC60" s="261"/>
      <c r="AD60" s="261" t="s">
        <v>109</v>
      </c>
      <c r="AE60" s="279">
        <v>0</v>
      </c>
      <c r="AF60" s="279" t="e">
        <f>($B$67+$B$69+$B$71)/$E$24*($E$24+$H$24)</f>
        <v>#DIV/0!</v>
      </c>
      <c r="AG60" s="279"/>
      <c r="AH60" s="279" t="e">
        <f>SUM(AE60:AF60)</f>
        <v>#DIV/0!</v>
      </c>
      <c r="AI60" s="25"/>
      <c r="AJ60" s="24"/>
      <c r="AK60" s="270"/>
      <c r="AL60" s="131"/>
    </row>
    <row r="61" spans="1:42" ht="14.65" customHeight="1" thickBot="1">
      <c r="A61" s="48" t="s">
        <v>192</v>
      </c>
      <c r="B61" s="347">
        <f>28.16*(1+$F$148)</f>
        <v>28.723200000000002</v>
      </c>
      <c r="C61" s="347">
        <f>30.44*(1+$F$148)</f>
        <v>31.048800000000004</v>
      </c>
      <c r="D61" s="80">
        <f>($B$60*B61+$C$60*C61)/$D$60</f>
        <v>29.60078490566038</v>
      </c>
      <c r="E61" s="26"/>
      <c r="F61" s="347">
        <f>32.42*(1+$F$148)</f>
        <v>33.068400000000004</v>
      </c>
      <c r="G61" s="347">
        <f>32.42*(1+$F$148)</f>
        <v>33.068400000000004</v>
      </c>
      <c r="H61" s="81">
        <f>($F$60*F61+$G$60*G61)/$H$60</f>
        <v>33.068400000000004</v>
      </c>
      <c r="R61" s="235"/>
      <c r="S61" s="235"/>
      <c r="T61" s="24">
        <f>SUM(T59:T60)</f>
        <v>4007798</v>
      </c>
      <c r="U61" s="268"/>
      <c r="V61" s="268"/>
      <c r="W61" s="256" t="s">
        <v>19</v>
      </c>
      <c r="X61" s="130" t="s">
        <v>20</v>
      </c>
      <c r="Y61" s="257" t="s">
        <v>107</v>
      </c>
      <c r="Z61" s="138"/>
      <c r="AA61" s="271" t="e">
        <f>$AI$61*AJ61*$B$24</f>
        <v>#DIV/0!</v>
      </c>
      <c r="AB61" s="272" t="e">
        <f>$AI$61*AK61*($E$24+$H$24)</f>
        <v>#DIV/0!</v>
      </c>
      <c r="AC61" s="272"/>
      <c r="AD61" s="273" t="e">
        <f>SUM(AA61:AB61)</f>
        <v>#DIV/0!</v>
      </c>
      <c r="AE61" s="280">
        <f>SUM(AE59:AE60)</f>
        <v>0</v>
      </c>
      <c r="AF61" s="280" t="e">
        <f>SUM(AF59:AF60)</f>
        <v>#DIV/0!</v>
      </c>
      <c r="AG61" s="280"/>
      <c r="AH61" s="280" t="e">
        <f>SUM(AH59:AH60)</f>
        <v>#DIV/0!</v>
      </c>
      <c r="AI61" s="277">
        <f>$AI$14</f>
        <v>32.228736092535236</v>
      </c>
      <c r="AJ61" s="275" t="e">
        <f>AE61/$B$24</f>
        <v>#DIV/0!</v>
      </c>
      <c r="AK61" s="276" t="e">
        <f>AF61/($E$24+$H$24)</f>
        <v>#DIV/0!</v>
      </c>
      <c r="AL61" s="131"/>
    </row>
    <row r="62" spans="1:42" ht="14.65" customHeight="1">
      <c r="A62" s="48" t="s">
        <v>193</v>
      </c>
      <c r="B62" s="343">
        <v>0.15</v>
      </c>
      <c r="C62" s="343">
        <v>0.15</v>
      </c>
      <c r="D62" s="203">
        <f>($B$60*B62+$C$60*C62)/$D$60</f>
        <v>0.15</v>
      </c>
      <c r="E62" s="26"/>
      <c r="F62" s="343">
        <v>0.12</v>
      </c>
      <c r="G62" s="343">
        <v>0.16</v>
      </c>
      <c r="H62" s="211">
        <f>($F$60*F62+$G$60*G62)/$H$60</f>
        <v>0.13</v>
      </c>
      <c r="AA62" s="1014" t="s">
        <v>254</v>
      </c>
      <c r="AB62" s="1015"/>
      <c r="AC62" s="1015"/>
      <c r="AD62" s="1015"/>
      <c r="AE62" s="1015"/>
      <c r="AF62" s="1015"/>
      <c r="AG62" s="1015"/>
      <c r="AH62" s="1015"/>
      <c r="AI62" s="1015"/>
      <c r="AJ62" s="1015"/>
      <c r="AK62" s="1016"/>
    </row>
    <row r="63" spans="1:42" ht="14.65" customHeight="1">
      <c r="A63" s="43"/>
      <c r="H63" s="45"/>
      <c r="R63" s="240"/>
      <c r="S63" s="240"/>
      <c r="T63" s="261">
        <f>$T$15*$Z63</f>
        <v>1201359.51</v>
      </c>
      <c r="U63" s="250"/>
      <c r="V63" s="250"/>
      <c r="W63" s="256"/>
      <c r="X63" s="20" t="s">
        <v>83</v>
      </c>
      <c r="Y63" s="128" t="s">
        <v>84</v>
      </c>
      <c r="Z63" s="138">
        <f>100%-H62</f>
        <v>0.87</v>
      </c>
      <c r="AA63" s="274"/>
      <c r="AB63" s="261"/>
      <c r="AC63" s="261"/>
      <c r="AD63" s="261" t="s">
        <v>159</v>
      </c>
      <c r="AE63" s="278">
        <f>($F$66+$F$68+$F$70+$F$73-$F$75)/$B$25*$B$24</f>
        <v>0</v>
      </c>
      <c r="AF63" s="278">
        <f>($F$66+$F$68+$F$70+$F$73-$F$75)/$B$25*($E$24+$H$24)</f>
        <v>29352.959999999999</v>
      </c>
      <c r="AG63" s="278"/>
      <c r="AH63" s="278">
        <f>SUM(AE63:AF63)</f>
        <v>29352.959999999999</v>
      </c>
      <c r="AI63" s="25"/>
      <c r="AJ63" s="24"/>
      <c r="AK63" s="270"/>
      <c r="AL63" s="131"/>
    </row>
    <row r="64" spans="1:42" ht="14.65" customHeight="1">
      <c r="A64" s="48"/>
      <c r="B64" s="1017" t="s">
        <v>18</v>
      </c>
      <c r="C64" s="1017"/>
      <c r="D64" s="1017"/>
      <c r="F64" s="1017" t="s">
        <v>47</v>
      </c>
      <c r="G64" s="1017"/>
      <c r="H64" s="1018"/>
      <c r="R64" s="269"/>
      <c r="S64" s="269"/>
      <c r="T64" s="262">
        <f>$T$15*$Z64</f>
        <v>179513.49000000002</v>
      </c>
      <c r="U64" s="250"/>
      <c r="V64" s="250"/>
      <c r="W64" s="256"/>
      <c r="X64" s="20" t="s">
        <v>85</v>
      </c>
      <c r="Y64" s="128" t="s">
        <v>86</v>
      </c>
      <c r="Z64" s="138">
        <f>H62</f>
        <v>0.13</v>
      </c>
      <c r="AA64" s="274"/>
      <c r="AB64" s="261"/>
      <c r="AC64" s="261"/>
      <c r="AD64" s="261" t="s">
        <v>109</v>
      </c>
      <c r="AE64" s="279">
        <v>0</v>
      </c>
      <c r="AF64" s="279" t="e">
        <f>($F$67+$F$69+$F$71)/$E$24*($E$24+$H$24)</f>
        <v>#DIV/0!</v>
      </c>
      <c r="AG64" s="279"/>
      <c r="AH64" s="279" t="e">
        <f>SUM(AE64:AF64)</f>
        <v>#DIV/0!</v>
      </c>
      <c r="AI64" s="25"/>
      <c r="AJ64" s="24"/>
      <c r="AK64" s="270"/>
      <c r="AL64" s="131"/>
    </row>
    <row r="65" spans="1:37" ht="14.65" customHeight="1" thickBot="1">
      <c r="A65" s="48"/>
      <c r="B65" s="83" t="s">
        <v>48</v>
      </c>
      <c r="C65" s="83" t="s">
        <v>49</v>
      </c>
      <c r="D65" s="84" t="s">
        <v>50</v>
      </c>
      <c r="E65" s="52"/>
      <c r="F65" s="83" t="s">
        <v>48</v>
      </c>
      <c r="G65" s="83" t="s">
        <v>49</v>
      </c>
      <c r="H65" s="85" t="s">
        <v>50</v>
      </c>
      <c r="I65" s="52"/>
      <c r="R65" s="235"/>
      <c r="S65" s="235"/>
      <c r="T65" s="24">
        <f>SUM(T63:T64)</f>
        <v>1380873</v>
      </c>
      <c r="U65" s="268"/>
      <c r="V65" s="268"/>
      <c r="W65" s="256" t="s">
        <v>19</v>
      </c>
      <c r="X65" s="130" t="s">
        <v>22</v>
      </c>
      <c r="Y65" s="257" t="s">
        <v>107</v>
      </c>
      <c r="Z65" s="138"/>
      <c r="AA65" s="271" t="e">
        <f>$AI$65*AJ65*$B$24</f>
        <v>#DIV/0!</v>
      </c>
      <c r="AB65" s="272" t="e">
        <f>$AI$65*AK65*($E$24+$H$24)</f>
        <v>#DIV/0!</v>
      </c>
      <c r="AC65" s="272"/>
      <c r="AD65" s="273" t="e">
        <f>SUM(AA65:AB65)</f>
        <v>#DIV/0!</v>
      </c>
      <c r="AE65" s="280">
        <f>SUM(AE63:AE64)</f>
        <v>0</v>
      </c>
      <c r="AF65" s="280" t="e">
        <f>SUM(AF63:AF64)</f>
        <v>#DIV/0!</v>
      </c>
      <c r="AG65" s="280"/>
      <c r="AH65" s="280" t="e">
        <f>SUM(AH63:AH64)</f>
        <v>#DIV/0!</v>
      </c>
      <c r="AI65" s="277">
        <f>$AI$15</f>
        <v>34.970564601769915</v>
      </c>
      <c r="AJ65" s="275" t="e">
        <f>AE65/$B$24</f>
        <v>#DIV/0!</v>
      </c>
      <c r="AK65" s="276" t="e">
        <f>AF65/($E$24+$H$24)</f>
        <v>#DIV/0!</v>
      </c>
    </row>
    <row r="66" spans="1:37" ht="14.65" customHeight="1">
      <c r="A66" s="48" t="s">
        <v>195</v>
      </c>
      <c r="B66" s="49">
        <f>$D$148*$D$149*B$60</f>
        <v>72072</v>
      </c>
      <c r="C66" s="86">
        <f>B$61</f>
        <v>28.723200000000002</v>
      </c>
      <c r="D66" s="87">
        <f>B66*C66</f>
        <v>2070138.4704000002</v>
      </c>
      <c r="F66" s="49">
        <f>$D$148*$D$149*F$60</f>
        <v>26208</v>
      </c>
      <c r="G66" s="86">
        <f>F$61</f>
        <v>33.068400000000004</v>
      </c>
      <c r="H66" s="88">
        <f>F66*G66</f>
        <v>866656.6272000001</v>
      </c>
      <c r="I66" s="26"/>
      <c r="R66"/>
      <c r="S66"/>
      <c r="T66"/>
      <c r="U66" s="131"/>
      <c r="V66" s="131"/>
      <c r="W66" s="146"/>
      <c r="X66" s="131"/>
      <c r="Y66" s="132"/>
      <c r="Z66"/>
      <c r="AA66" s="260" t="s">
        <v>398</v>
      </c>
      <c r="AB66" s="131"/>
      <c r="AC66" s="131"/>
      <c r="AD66" s="131"/>
      <c r="AE66" s="162"/>
    </row>
    <row r="67" spans="1:37" ht="14.65" customHeight="1">
      <c r="A67" s="48" t="s">
        <v>196</v>
      </c>
      <c r="B67" s="49">
        <f>$D$148*$D$149*C$60</f>
        <v>43680</v>
      </c>
      <c r="C67" s="205">
        <f>C$61</f>
        <v>31.048800000000004</v>
      </c>
      <c r="D67" s="78">
        <f>B67*C67</f>
        <v>1356211.5840000003</v>
      </c>
      <c r="F67" s="49">
        <f>$D$148*$D$149*G$60</f>
        <v>8736</v>
      </c>
      <c r="G67" s="205">
        <f>G$61</f>
        <v>33.068400000000004</v>
      </c>
      <c r="H67" s="79">
        <f>F67*G67</f>
        <v>288885.54240000003</v>
      </c>
      <c r="I67" s="26"/>
      <c r="R67" s="240"/>
      <c r="S67" s="240"/>
      <c r="T67" s="261">
        <f t="shared" ref="T67:T72" si="47">$T$16*$Z67</f>
        <v>215080.1622804965</v>
      </c>
      <c r="U67" s="250"/>
      <c r="V67" s="250"/>
      <c r="W67" s="159"/>
      <c r="X67" s="20" t="s">
        <v>87</v>
      </c>
      <c r="Y67" s="128" t="s">
        <v>88</v>
      </c>
      <c r="Z67" s="138">
        <f t="shared" ref="Z67:Z72" si="48">AA67/$AA$73</f>
        <v>8.8696471435533455E-2</v>
      </c>
      <c r="AA67" s="143">
        <v>113854.1</v>
      </c>
      <c r="AB67" s="133"/>
      <c r="AC67" s="133"/>
      <c r="AD67" s="133"/>
      <c r="AE67" s="143"/>
      <c r="AI67" s="240"/>
      <c r="AJ67" s="240"/>
    </row>
    <row r="68" spans="1:37" ht="14.65" customHeight="1">
      <c r="A68" s="48" t="s">
        <v>197</v>
      </c>
      <c r="B68" s="49">
        <f>B66*B62</f>
        <v>10810.8</v>
      </c>
      <c r="C68" s="89">
        <f>B61*D150</f>
        <v>43.084800000000001</v>
      </c>
      <c r="D68" s="78">
        <f>B68*C68</f>
        <v>465781.15583999996</v>
      </c>
      <c r="F68" s="49">
        <f>F66*F62</f>
        <v>3144.96</v>
      </c>
      <c r="G68" s="89">
        <f>F61*D150</f>
        <v>49.60260000000001</v>
      </c>
      <c r="H68" s="79">
        <f>F68*G68</f>
        <v>155998.19289600002</v>
      </c>
      <c r="I68" s="26"/>
      <c r="R68" s="240"/>
      <c r="S68" s="240"/>
      <c r="T68" s="261">
        <f t="shared" si="47"/>
        <v>201675.90848654127</v>
      </c>
      <c r="U68" s="250"/>
      <c r="V68" s="250"/>
      <c r="W68" s="159"/>
      <c r="X68" s="20" t="s">
        <v>89</v>
      </c>
      <c r="Y68" s="128" t="s">
        <v>90</v>
      </c>
      <c r="Z68" s="138">
        <f t="shared" si="48"/>
        <v>8.3168718428728125E-2</v>
      </c>
      <c r="AA68" s="143">
        <v>106758.47</v>
      </c>
      <c r="AB68" s="133"/>
      <c r="AC68" s="133"/>
      <c r="AD68" s="133"/>
      <c r="AE68" s="143"/>
      <c r="AI68" s="240"/>
      <c r="AJ68" s="240"/>
    </row>
    <row r="69" spans="1:37" ht="14.65" customHeight="1">
      <c r="A69" s="48" t="s">
        <v>198</v>
      </c>
      <c r="B69" s="49">
        <f>B67*C62</f>
        <v>6552</v>
      </c>
      <c r="C69" s="89">
        <f>C61*D150</f>
        <v>46.573200000000007</v>
      </c>
      <c r="D69" s="78">
        <f>B69*C69</f>
        <v>305147.60640000005</v>
      </c>
      <c r="F69" s="49">
        <f>F67*G62</f>
        <v>1397.76</v>
      </c>
      <c r="G69" s="89">
        <f>G61*D150</f>
        <v>49.60260000000001</v>
      </c>
      <c r="H69" s="79">
        <f>F69*G69</f>
        <v>69332.530176000015</v>
      </c>
      <c r="I69" s="26"/>
      <c r="R69" s="240"/>
      <c r="S69" s="240"/>
      <c r="T69" s="261">
        <f t="shared" si="47"/>
        <v>200153.55092210587</v>
      </c>
      <c r="U69" s="250"/>
      <c r="V69" s="250"/>
      <c r="W69" s="159"/>
      <c r="X69" s="20" t="s">
        <v>91</v>
      </c>
      <c r="Y69" s="128" t="s">
        <v>92</v>
      </c>
      <c r="Z69" s="138">
        <f t="shared" si="48"/>
        <v>8.2540916483644436E-2</v>
      </c>
      <c r="AA69" s="143">
        <v>105952.6</v>
      </c>
      <c r="AB69" s="133"/>
      <c r="AC69" s="133"/>
      <c r="AD69" s="133"/>
      <c r="AE69" s="143"/>
      <c r="AI69" s="240"/>
      <c r="AJ69" s="240"/>
    </row>
    <row r="70" spans="1:37" ht="14.65" customHeight="1">
      <c r="A70" s="48" t="s">
        <v>199</v>
      </c>
      <c r="B70" s="49">
        <v>0</v>
      </c>
      <c r="C70" s="90"/>
      <c r="D70" s="78">
        <f>96*(34.91*1.03)*12*1.5</f>
        <v>62134.21439999999</v>
      </c>
      <c r="F70" s="49">
        <v>0</v>
      </c>
      <c r="G70" s="89"/>
      <c r="H70" s="79">
        <v>0</v>
      </c>
      <c r="I70" s="26"/>
      <c r="R70" s="240"/>
      <c r="S70" s="240"/>
      <c r="T70" s="261">
        <f t="shared" si="47"/>
        <v>1209891.0060013526</v>
      </c>
      <c r="U70" s="250"/>
      <c r="V70" s="250"/>
      <c r="W70" s="159"/>
      <c r="X70" s="20" t="s">
        <v>93</v>
      </c>
      <c r="Y70" s="128" t="s">
        <v>94</v>
      </c>
      <c r="Z70" s="138">
        <f t="shared" si="48"/>
        <v>0.49894449546655822</v>
      </c>
      <c r="AA70" s="143">
        <v>640463.77</v>
      </c>
      <c r="AB70" s="133"/>
      <c r="AC70" s="133"/>
      <c r="AD70" s="133"/>
      <c r="AE70" s="143"/>
      <c r="AI70" s="240"/>
      <c r="AJ70" s="240"/>
    </row>
    <row r="71" spans="1:37" ht="14.65" customHeight="1">
      <c r="A71" s="48" t="s">
        <v>200</v>
      </c>
      <c r="B71" s="170">
        <v>0</v>
      </c>
      <c r="C71" s="177"/>
      <c r="D71" s="178">
        <v>0</v>
      </c>
      <c r="E71" s="163"/>
      <c r="F71" s="170">
        <v>0</v>
      </c>
      <c r="G71" s="177"/>
      <c r="H71" s="194">
        <v>0</v>
      </c>
      <c r="I71" s="26"/>
      <c r="R71" s="240"/>
      <c r="S71" s="240"/>
      <c r="T71" s="261">
        <f t="shared" si="47"/>
        <v>553380.12000010337</v>
      </c>
      <c r="U71" s="250"/>
      <c r="V71" s="250"/>
      <c r="W71" s="159"/>
      <c r="X71" s="20" t="s">
        <v>95</v>
      </c>
      <c r="Y71" s="128" t="s">
        <v>96</v>
      </c>
      <c r="Z71" s="138">
        <f t="shared" si="48"/>
        <v>0.22820730413328355</v>
      </c>
      <c r="AA71" s="143">
        <v>292935.40999999997</v>
      </c>
      <c r="AB71" s="133"/>
      <c r="AC71" s="133"/>
      <c r="AD71" s="133"/>
      <c r="AE71" s="143"/>
      <c r="AI71" s="240"/>
      <c r="AJ71" s="240"/>
    </row>
    <row r="72" spans="1:37" ht="14.65" customHeight="1">
      <c r="A72" s="176" t="s">
        <v>161</v>
      </c>
      <c r="B72" s="49">
        <f>SUM(B66:B71)</f>
        <v>133114.79999999999</v>
      </c>
      <c r="C72" s="80">
        <f>D72/B72</f>
        <v>31.998042524497659</v>
      </c>
      <c r="D72" s="167">
        <f>SUM(D66:D71)</f>
        <v>4259413.0310400007</v>
      </c>
      <c r="E72" s="163"/>
      <c r="F72" s="49">
        <f>SUM(F66:F71)</f>
        <v>39486.720000000001</v>
      </c>
      <c r="G72" s="80">
        <f>H72/F72</f>
        <v>34.970564601769915</v>
      </c>
      <c r="H72" s="91">
        <f>SUM(H66:H71)</f>
        <v>1380872.8926720002</v>
      </c>
      <c r="I72" s="26"/>
      <c r="R72" s="269"/>
      <c r="S72" s="269"/>
      <c r="T72" s="262">
        <f t="shared" si="47"/>
        <v>44720.252309400385</v>
      </c>
      <c r="U72" s="250"/>
      <c r="V72" s="250"/>
      <c r="W72" s="159"/>
      <c r="X72" s="20" t="s">
        <v>97</v>
      </c>
      <c r="Y72" s="128" t="s">
        <v>98</v>
      </c>
      <c r="Z72" s="258">
        <f t="shared" si="48"/>
        <v>1.8442094052252188E-2</v>
      </c>
      <c r="AA72" s="161">
        <v>23672.959999999999</v>
      </c>
      <c r="AB72" s="133"/>
      <c r="AC72" s="133"/>
      <c r="AD72" s="133"/>
      <c r="AE72" s="161"/>
      <c r="AI72" s="240"/>
      <c r="AJ72" s="240"/>
    </row>
    <row r="73" spans="1:37" ht="14.65" customHeight="1">
      <c r="A73" s="176" t="s">
        <v>217</v>
      </c>
      <c r="B73" s="170">
        <f>-H82</f>
        <v>-8760</v>
      </c>
      <c r="C73" s="209">
        <f>D73/B73</f>
        <v>28.723173515981735</v>
      </c>
      <c r="D73" s="179">
        <f>ROUND(B73*B61,0)</f>
        <v>-251615</v>
      </c>
      <c r="E73" s="163"/>
      <c r="F73" s="170">
        <v>0</v>
      </c>
      <c r="G73" s="210"/>
      <c r="H73" s="195">
        <v>0</v>
      </c>
      <c r="I73" s="163"/>
      <c r="R73" s="235"/>
      <c r="S73" s="235"/>
      <c r="T73" s="24">
        <f>SUM(T67:T72)</f>
        <v>2424901.0000000005</v>
      </c>
      <c r="U73" s="268"/>
      <c r="V73" s="268"/>
      <c r="W73" s="256" t="s">
        <v>19</v>
      </c>
      <c r="X73" s="130" t="s">
        <v>24</v>
      </c>
      <c r="Y73" s="257" t="s">
        <v>107</v>
      </c>
      <c r="Z73" s="138">
        <f>SUM(Z67:Z72)</f>
        <v>0.99999999999999989</v>
      </c>
      <c r="AA73" s="259">
        <f>SUM(AA67:AA72)</f>
        <v>1283637.31</v>
      </c>
      <c r="AB73"/>
      <c r="AC73"/>
      <c r="AD73"/>
      <c r="AE73" s="160"/>
      <c r="AI73" s="241"/>
      <c r="AJ73" s="241"/>
    </row>
    <row r="74" spans="1:37" ht="14.65" customHeight="1">
      <c r="A74" s="176" t="s">
        <v>162</v>
      </c>
      <c r="B74" s="165">
        <f>SUM(B72:B73)</f>
        <v>124354.79999999999</v>
      </c>
      <c r="C74" s="166">
        <f>D74/B74</f>
        <v>32.228736092535236</v>
      </c>
      <c r="D74" s="169">
        <f>SUM(D72:D73)</f>
        <v>4007798.0310400007</v>
      </c>
      <c r="E74" s="163"/>
      <c r="F74" s="165">
        <f>SUM(F72:F73)</f>
        <v>39486.720000000001</v>
      </c>
      <c r="G74" s="196">
        <f>H74/F74</f>
        <v>34.970564601769915</v>
      </c>
      <c r="H74" s="164">
        <f>SUM(H72:H73)</f>
        <v>1380872.8926720002</v>
      </c>
    </row>
    <row r="75" spans="1:37" ht="14.65" customHeight="1">
      <c r="A75" s="141" t="s">
        <v>163</v>
      </c>
      <c r="B75" s="165">
        <f>H83</f>
        <v>1125</v>
      </c>
      <c r="C75" s="166"/>
      <c r="D75" s="169">
        <f>B75*C74</f>
        <v>36257.32810410214</v>
      </c>
      <c r="E75" s="163"/>
      <c r="F75" s="165">
        <v>0</v>
      </c>
      <c r="G75" s="40"/>
      <c r="H75" s="164">
        <f>F75*G74</f>
        <v>0</v>
      </c>
    </row>
    <row r="76" spans="1:37" ht="14.65" customHeight="1">
      <c r="A76" s="141" t="s">
        <v>164</v>
      </c>
      <c r="B76" s="165">
        <f>B74-B75</f>
        <v>123229.79999999999</v>
      </c>
      <c r="C76" s="166"/>
      <c r="D76" s="169">
        <f>B76*C74</f>
        <v>3971540.7029358982</v>
      </c>
      <c r="E76" s="163"/>
      <c r="F76" s="165">
        <f>F74-F75</f>
        <v>39486.720000000001</v>
      </c>
      <c r="G76" s="196"/>
      <c r="H76" s="197">
        <f>F76*G74</f>
        <v>1380872.8926720002</v>
      </c>
    </row>
    <row r="77" spans="1:37" ht="14.65" customHeight="1" thickBot="1">
      <c r="A77" s="48"/>
      <c r="B77" s="59"/>
      <c r="H77" s="45"/>
    </row>
    <row r="78" spans="1:37" ht="14.65" customHeight="1">
      <c r="A78" s="48" t="str">
        <f>CONCATENATE("Indirect Payroll Cost (IPC) at ",$D$151*100,"% (NIRO)")</f>
        <v>Indirect Payroll Cost (IPC) at 45% (NIRO)</v>
      </c>
      <c r="B78" s="49">
        <f>B66+B68+B70</f>
        <v>82882.8</v>
      </c>
      <c r="C78" s="80">
        <f>D78/B78</f>
        <v>19.658106354167572</v>
      </c>
      <c r="D78" s="204">
        <f>((D66+D68+D70)*$D$151)+((H66+H68+H70)*$D$151)</f>
        <v>1629318.8973312001</v>
      </c>
      <c r="E78" s="1019" t="s">
        <v>300</v>
      </c>
      <c r="F78" s="1019"/>
      <c r="G78" s="1019"/>
      <c r="H78" s="357">
        <f>B61*(1+D151)*H81</f>
        <v>411696.8064</v>
      </c>
      <c r="AA78" s="1014" t="s">
        <v>255</v>
      </c>
      <c r="AB78" s="1015"/>
      <c r="AC78" s="1015"/>
      <c r="AD78" s="1015"/>
      <c r="AE78" s="1015"/>
      <c r="AF78" s="1015"/>
      <c r="AG78" s="1015"/>
      <c r="AH78" s="1015"/>
      <c r="AI78" s="1015"/>
      <c r="AJ78" s="1015"/>
      <c r="AK78" s="1016"/>
    </row>
    <row r="79" spans="1:37" ht="14.65" customHeight="1">
      <c r="A79" s="48" t="str">
        <f>CONCATENATE("Indirect Payroll Cost (IPC) at ",$D$151*100,"% (KS)")</f>
        <v>Indirect Payroll Cost (IPC) at 45% (KS)</v>
      </c>
      <c r="B79" s="170">
        <f>B67+B69+B71</f>
        <v>50232</v>
      </c>
      <c r="C79" s="209">
        <f>D79/B79</f>
        <v>18.092247339130434</v>
      </c>
      <c r="D79" s="179">
        <f>((D67+D69+D71)*$D$151)+((H67+H69+H71)*$D$151)</f>
        <v>908809.76833920006</v>
      </c>
      <c r="E79" s="1019" t="s">
        <v>301</v>
      </c>
      <c r="F79" s="1022"/>
      <c r="G79" s="356">
        <v>0.2</v>
      </c>
      <c r="H79" s="292">
        <f>B25*G79*1000</f>
        <v>14400000</v>
      </c>
      <c r="AA79" s="274"/>
      <c r="AB79" s="261"/>
      <c r="AC79" s="261"/>
      <c r="AD79" s="261" t="s">
        <v>159</v>
      </c>
      <c r="AE79" s="278">
        <f>($B$66+$B$68+$B$70+$B$73-$B$75)/$B$25*$B$24</f>
        <v>0</v>
      </c>
      <c r="AF79" s="278">
        <f>($B$66+$B$68+$B$70+$B$73-$B$75)/$B$25*($E$24+$H$24)</f>
        <v>72997.8</v>
      </c>
      <c r="AG79" s="278"/>
      <c r="AH79" s="278">
        <f>SUM(AE79:AF79)</f>
        <v>72997.8</v>
      </c>
      <c r="AI79" s="25"/>
      <c r="AJ79" s="24"/>
      <c r="AK79" s="270"/>
    </row>
    <row r="80" spans="1:37" ht="14.65" customHeight="1">
      <c r="A80" s="176" t="str">
        <f>CONCATENATE("Total IPC at ",$D$151*100,"% (KS)")</f>
        <v>Total IPC at 45% (KS)</v>
      </c>
      <c r="B80" s="49">
        <f>SUM(B78:B79)</f>
        <v>133114.79999999999</v>
      </c>
      <c r="C80" s="80">
        <f>D80/B80</f>
        <v>19.067216159813938</v>
      </c>
      <c r="D80" s="207">
        <f>SUM(D78:D79)</f>
        <v>2538128.6656704</v>
      </c>
      <c r="E80" s="293" t="s">
        <v>158</v>
      </c>
      <c r="F80" s="294" t="s">
        <v>50</v>
      </c>
      <c r="G80" s="294" t="s">
        <v>52</v>
      </c>
      <c r="H80" s="295" t="s">
        <v>53</v>
      </c>
      <c r="AA80" s="274"/>
      <c r="AB80" s="261"/>
      <c r="AC80" s="261"/>
      <c r="AD80" s="261" t="s">
        <v>109</v>
      </c>
      <c r="AE80" s="279">
        <v>0</v>
      </c>
      <c r="AF80" s="279">
        <f>($B$67+$B$69+$B$71)/($E$24+$H$24)*($E$24+$H$24)</f>
        <v>50232</v>
      </c>
      <c r="AG80" s="279"/>
      <c r="AH80" s="279">
        <f>SUM(AE80:AF80)</f>
        <v>50232</v>
      </c>
      <c r="AI80" s="25"/>
      <c r="AJ80" s="24"/>
      <c r="AK80" s="270"/>
    </row>
    <row r="81" spans="1:37" ht="14.65" customHeight="1" thickBot="1">
      <c r="A81" s="176" t="s">
        <v>201</v>
      </c>
      <c r="B81" s="147">
        <f>B73</f>
        <v>-8760</v>
      </c>
      <c r="C81" s="208">
        <f>D81/B81</f>
        <v>12.925456621004566</v>
      </c>
      <c r="D81" s="168">
        <f>ROUND(B81*$B$61*D151,0)</f>
        <v>-113227</v>
      </c>
      <c r="E81" s="298" t="s">
        <v>151</v>
      </c>
      <c r="F81" s="296">
        <f>SUM(F82:F83)</f>
        <v>283928.83199999999</v>
      </c>
      <c r="G81" s="296">
        <f>SUM(G82:G83)</f>
        <v>127767.97440000001</v>
      </c>
      <c r="H81" s="297">
        <f>SUM(H82:H83)</f>
        <v>9885</v>
      </c>
      <c r="AA81" s="271" t="e">
        <f>$AI$81*AJ81*$B$24</f>
        <v>#DIV/0!</v>
      </c>
      <c r="AB81" s="272">
        <f>$AI$81*AK81*($E$24+$H$24)</f>
        <v>2402964.318870123</v>
      </c>
      <c r="AC81" s="272"/>
      <c r="AD81" s="273" t="e">
        <f>SUM(AA81:AB81)</f>
        <v>#DIV/0!</v>
      </c>
      <c r="AE81" s="280">
        <f>SUM(AE79:AE80)</f>
        <v>0</v>
      </c>
      <c r="AF81" s="280">
        <f>SUM(AF79:AF80)</f>
        <v>123229.8</v>
      </c>
      <c r="AG81" s="280"/>
      <c r="AH81" s="280">
        <f>SUM(AH79:AH80)</f>
        <v>123229.8</v>
      </c>
      <c r="AI81" s="277">
        <f>$AI$16</f>
        <v>19.499863822469262</v>
      </c>
      <c r="AJ81" s="275" t="e">
        <f>AE81/$B$24</f>
        <v>#DIV/0!</v>
      </c>
      <c r="AK81" s="276">
        <f>AF81/($E$24+$H$24)</f>
        <v>1.711525</v>
      </c>
    </row>
    <row r="82" spans="1:37" ht="14.65" customHeight="1">
      <c r="A82" s="176" t="s">
        <v>165</v>
      </c>
      <c r="B82" s="165">
        <f>SUM(B80:B81)</f>
        <v>124354.79999999999</v>
      </c>
      <c r="C82" s="166">
        <f>D82/B82</f>
        <v>19.499863822469258</v>
      </c>
      <c r="D82" s="169">
        <f>SUM(D80:D81)</f>
        <v>2424901.6656704</v>
      </c>
      <c r="E82" s="298" t="s">
        <v>54</v>
      </c>
      <c r="F82" s="296">
        <f>$H82*$B$61</f>
        <v>251615.23200000002</v>
      </c>
      <c r="G82" s="296">
        <f>$H82*$B$61*$D$151</f>
        <v>113226.85440000001</v>
      </c>
      <c r="H82" s="297">
        <f>1*365*24</f>
        <v>8760</v>
      </c>
    </row>
    <row r="83" spans="1:37" ht="14.65" customHeight="1">
      <c r="A83" s="141" t="s">
        <v>166</v>
      </c>
      <c r="B83" s="165">
        <f>H83</f>
        <v>1125</v>
      </c>
      <c r="C83" s="166"/>
      <c r="D83" s="169">
        <f>B83*C82</f>
        <v>21937.346800277915</v>
      </c>
      <c r="E83" s="298" t="s">
        <v>55</v>
      </c>
      <c r="F83" s="296">
        <f>$H83*$B$61</f>
        <v>32313.600000000002</v>
      </c>
      <c r="G83" s="296">
        <f>$H83*$B$61*$D$151</f>
        <v>14541.12</v>
      </c>
      <c r="H83" s="297">
        <f>H79/12800</f>
        <v>1125</v>
      </c>
    </row>
    <row r="84" spans="1:37" ht="14.65" customHeight="1">
      <c r="A84" s="141" t="s">
        <v>167</v>
      </c>
      <c r="B84" s="165">
        <f>B82-B83</f>
        <v>123229.79999999999</v>
      </c>
      <c r="C84" s="196"/>
      <c r="D84" s="169">
        <f>B84*C82</f>
        <v>2402964.3188701221</v>
      </c>
      <c r="E84" s="26"/>
      <c r="F84" s="26"/>
      <c r="G84" s="26"/>
      <c r="H84" s="77"/>
    </row>
    <row r="85" spans="1:37" ht="14.65" customHeight="1">
      <c r="A85" s="48"/>
      <c r="B85" s="26"/>
      <c r="C85" s="26"/>
      <c r="D85" s="299"/>
      <c r="E85" s="1009" t="s">
        <v>186</v>
      </c>
      <c r="F85" s="1009"/>
      <c r="G85" s="1009" t="s">
        <v>259</v>
      </c>
      <c r="H85" s="1010"/>
    </row>
    <row r="86" spans="1:37" ht="14.65" customHeight="1">
      <c r="A86" s="48"/>
      <c r="B86" s="26"/>
      <c r="C86" s="26"/>
      <c r="D86" s="299"/>
      <c r="E86" s="199" t="s">
        <v>53</v>
      </c>
      <c r="F86" s="199" t="s">
        <v>273</v>
      </c>
      <c r="G86" s="199" t="s">
        <v>53</v>
      </c>
      <c r="H86" s="305" t="s">
        <v>273</v>
      </c>
    </row>
    <row r="87" spans="1:37" ht="14.65" customHeight="1">
      <c r="A87" s="48" t="s">
        <v>274</v>
      </c>
      <c r="B87" s="26"/>
      <c r="C87" s="26"/>
      <c r="D87" s="299"/>
      <c r="E87" s="49">
        <f>IF(AND($B$130&lt;&gt;0,$C$130&lt;&gt;0),$B$76/$D$130*$B$130,IF(AND($B$130&lt;&gt;0,$C$130=0),$B$76,0))</f>
        <v>0</v>
      </c>
      <c r="F87" s="102">
        <f>E87*$C$74</f>
        <v>0</v>
      </c>
      <c r="G87" s="49">
        <f>IF(AND($B$130&lt;&gt;0,$C$130&lt;&gt;0),$B$76/$D$130*$C$130,IF(AND($B$130=0,$C$130&lt;&gt;0),$B$76,0))</f>
        <v>123229.79999999999</v>
      </c>
      <c r="H87" s="303">
        <f>G87*$C$74</f>
        <v>3971540.7029358982</v>
      </c>
    </row>
    <row r="88" spans="1:37" ht="14.65" customHeight="1">
      <c r="A88" s="48" t="s">
        <v>275</v>
      </c>
      <c r="B88" s="26"/>
      <c r="C88" s="26"/>
      <c r="D88" s="299"/>
      <c r="E88" s="49">
        <f>IF(AND($B$130&lt;&gt;0,$C$130&lt;&gt;0),$F$76/$D$130*$B$130,IF(AND($B$130&lt;&gt;0,$C$130=0),$F$76,0))</f>
        <v>0</v>
      </c>
      <c r="F88" s="102">
        <f>E88*$G$74</f>
        <v>0</v>
      </c>
      <c r="G88" s="49">
        <f>IF(AND($B$130&lt;&gt;0,$C$130&lt;&gt;0),$F$76/$D$130*$C$130,IF(AND($B$130=0,$C$130&lt;&gt;0),$F$76,0))</f>
        <v>39486.720000000001</v>
      </c>
      <c r="H88" s="303">
        <f>G88*$G$74</f>
        <v>1380872.8926720002</v>
      </c>
    </row>
    <row r="89" spans="1:37" ht="14.65" customHeight="1">
      <c r="A89" s="112" t="s">
        <v>276</v>
      </c>
      <c r="B89" s="113"/>
      <c r="C89" s="113"/>
      <c r="D89" s="300"/>
      <c r="E89" s="170">
        <f>(E87+E88)/($B$76+$F$76)*$B$84</f>
        <v>0</v>
      </c>
      <c r="F89" s="302">
        <f>E89*$C$82</f>
        <v>0</v>
      </c>
      <c r="G89" s="170">
        <f>(G87+G88)/($B$76+$F$76)*$B$84</f>
        <v>123229.79999999999</v>
      </c>
      <c r="H89" s="304">
        <f>G89*$C$82</f>
        <v>2402964.3188701221</v>
      </c>
    </row>
    <row r="90" spans="1:37" ht="14.65" customHeight="1">
      <c r="D90" s="92"/>
      <c r="H90" s="92"/>
    </row>
    <row r="91" spans="1:37" ht="14.65" customHeight="1"/>
    <row r="92" spans="1:37" ht="14.65" customHeight="1">
      <c r="A92" s="82" t="s">
        <v>56</v>
      </c>
      <c r="B92" s="93"/>
      <c r="C92" s="93"/>
      <c r="D92" s="94"/>
      <c r="E92" s="94"/>
      <c r="F92" s="93"/>
      <c r="G92" s="93"/>
      <c r="H92" s="95"/>
    </row>
    <row r="93" spans="1:37" ht="15">
      <c r="A93" s="48"/>
      <c r="B93" s="147" t="s">
        <v>8</v>
      </c>
      <c r="C93" s="213" t="s">
        <v>207</v>
      </c>
      <c r="D93" s="213" t="s">
        <v>213</v>
      </c>
      <c r="F93" s="147" t="s">
        <v>5</v>
      </c>
      <c r="G93" s="213" t="s">
        <v>6</v>
      </c>
      <c r="H93" s="214" t="s">
        <v>214</v>
      </c>
    </row>
    <row r="94" spans="1:37" ht="15">
      <c r="A94" s="48"/>
      <c r="B94" s="49" t="s">
        <v>202</v>
      </c>
      <c r="C94" s="49">
        <f>IF(($B$107*$B$24+$F$107*$E$24+$F$107*$H$24)*1000&lt;=480000,($B$107*$B$24+$F$107*$E$24+$F$107*$H$24)*1000,480000)</f>
        <v>175680.00000000003</v>
      </c>
      <c r="D94" s="347">
        <v>5.1124999999999998</v>
      </c>
      <c r="F94" s="49" t="s">
        <v>159</v>
      </c>
      <c r="G94" s="49">
        <f>(B100*$B$24+F100*$E$24+F100*$H$24)*1000</f>
        <v>4608000</v>
      </c>
      <c r="H94" s="349">
        <v>0.1</v>
      </c>
    </row>
    <row r="95" spans="1:37" ht="16.5">
      <c r="A95" s="48"/>
      <c r="B95" s="49" t="s">
        <v>203</v>
      </c>
      <c r="C95" s="147">
        <f>IF(C94&gt;=480000,(((B104+B105+B106)*$B$24*1000)+((F104+F105+F106)*($E$24+$H$24)*1000))-480000,0)</f>
        <v>0</v>
      </c>
      <c r="D95" s="347">
        <v>3.0468000000000002</v>
      </c>
      <c r="F95" s="49" t="s">
        <v>109</v>
      </c>
      <c r="G95" s="147">
        <f>(B101*$B$24+F101*$E$24+F101*$H$24)*1000</f>
        <v>49564800</v>
      </c>
      <c r="H95" s="349">
        <v>6.5000000000000002E-2</v>
      </c>
    </row>
    <row r="96" spans="1:37">
      <c r="A96" s="48"/>
      <c r="B96" s="49"/>
      <c r="C96" s="49">
        <f>SUM(C94:C95)</f>
        <v>175680.00000000003</v>
      </c>
      <c r="D96" s="80">
        <f>(C94*D94+C95*D95)/C96</f>
        <v>5.1124999999999998</v>
      </c>
      <c r="F96" s="49"/>
      <c r="G96" s="49">
        <f>SUM(G94:G95)</f>
        <v>54172800</v>
      </c>
      <c r="H96" s="173">
        <f>(G94*H94+G95*H95)/G96</f>
        <v>6.797713981924508E-2</v>
      </c>
    </row>
    <row r="97" spans="1:36">
      <c r="A97" s="43"/>
      <c r="C97" s="359"/>
      <c r="G97" s="359"/>
      <c r="H97" s="96"/>
    </row>
    <row r="98" spans="1:36">
      <c r="A98" s="48"/>
      <c r="B98" s="1023" t="s">
        <v>194</v>
      </c>
      <c r="C98" s="1023"/>
      <c r="D98" s="1023"/>
      <c r="F98" s="1023" t="s">
        <v>285</v>
      </c>
      <c r="G98" s="1023"/>
      <c r="H98" s="1024"/>
    </row>
    <row r="99" spans="1:36" ht="26.25">
      <c r="A99" s="48"/>
      <c r="B99" s="97" t="s">
        <v>152</v>
      </c>
      <c r="C99" s="13" t="s">
        <v>215</v>
      </c>
      <c r="D99" s="97" t="s">
        <v>153</v>
      </c>
      <c r="F99" s="97" t="s">
        <v>152</v>
      </c>
      <c r="G99" s="13" t="s">
        <v>215</v>
      </c>
      <c r="H99" s="101" t="s">
        <v>153</v>
      </c>
      <c r="Y99"/>
      <c r="Z99"/>
      <c r="AA99"/>
      <c r="AB99"/>
      <c r="AC99"/>
      <c r="AD99"/>
      <c r="AE99" s="136"/>
    </row>
    <row r="100" spans="1:36" ht="15">
      <c r="A100" s="48" t="s">
        <v>204</v>
      </c>
      <c r="B100" s="350">
        <f>0.064</f>
        <v>6.4000000000000001E-2</v>
      </c>
      <c r="C100" s="172">
        <f>$H$96</f>
        <v>6.797713981924508E-2</v>
      </c>
      <c r="D100" s="174">
        <f>B100*C100</f>
        <v>4.3505369484316851E-3</v>
      </c>
      <c r="F100" s="350">
        <f>0.064</f>
        <v>6.4000000000000001E-2</v>
      </c>
      <c r="G100" s="172">
        <f>$H$96</f>
        <v>6.797713981924508E-2</v>
      </c>
      <c r="H100" s="175">
        <f>F100*G100</f>
        <v>4.3505369484316851E-3</v>
      </c>
      <c r="W100" s="97"/>
      <c r="Y100"/>
      <c r="Z100"/>
      <c r="AA100"/>
      <c r="AB100"/>
      <c r="AC100"/>
      <c r="AD100"/>
      <c r="AE100" s="136"/>
    </row>
    <row r="101" spans="1:36" ht="15">
      <c r="A101" s="48" t="s">
        <v>205</v>
      </c>
      <c r="B101" s="350">
        <v>0</v>
      </c>
      <c r="C101" s="172">
        <f>$H$96</f>
        <v>6.797713981924508E-2</v>
      </c>
      <c r="D101" s="174">
        <f>B101*C101</f>
        <v>0</v>
      </c>
      <c r="F101" s="350">
        <f>0.6884</f>
        <v>0.68840000000000001</v>
      </c>
      <c r="G101" s="172">
        <f>$H$96</f>
        <v>6.797713981924508E-2</v>
      </c>
      <c r="H101" s="175">
        <f>F101*G101</f>
        <v>4.6795463051568315E-2</v>
      </c>
      <c r="W101" s="266"/>
      <c r="Y101"/>
      <c r="Z101"/>
      <c r="AA101"/>
      <c r="AB101"/>
      <c r="AC101"/>
      <c r="AD101"/>
      <c r="AE101" s="136"/>
      <c r="AJ101" s="158"/>
    </row>
    <row r="102" spans="1:36" ht="15">
      <c r="A102" s="176" t="s">
        <v>210</v>
      </c>
      <c r="B102" s="222">
        <f>SUM(B100:B101)</f>
        <v>6.4000000000000001E-2</v>
      </c>
      <c r="C102" s="223">
        <f>D102/B102</f>
        <v>6.797713981924508E-2</v>
      </c>
      <c r="D102" s="224">
        <f>SUM(D100:D101)</f>
        <v>4.3505369484316851E-3</v>
      </c>
      <c r="F102" s="222">
        <f>SUM(F100:F101)</f>
        <v>0.75239999999999996</v>
      </c>
      <c r="G102" s="223">
        <f>H102/F102</f>
        <v>6.797713981924508E-2</v>
      </c>
      <c r="H102" s="225">
        <f>SUM(H100:H101)</f>
        <v>5.1145999999999997E-2</v>
      </c>
      <c r="W102" s="266"/>
      <c r="Y102"/>
      <c r="Z102"/>
      <c r="AA102"/>
      <c r="AB102"/>
      <c r="AC102"/>
      <c r="AD102"/>
      <c r="AE102" s="136"/>
      <c r="AJ102" s="158"/>
    </row>
    <row r="103" spans="1:36" ht="15">
      <c r="A103" s="176"/>
      <c r="B103" s="217"/>
      <c r="C103" s="221"/>
      <c r="D103" s="174"/>
      <c r="F103" s="217"/>
      <c r="G103" s="221"/>
      <c r="H103" s="175"/>
      <c r="W103" s="266"/>
      <c r="Y103"/>
      <c r="Z103"/>
      <c r="AA103"/>
      <c r="AB103"/>
      <c r="AC103"/>
      <c r="AD103"/>
      <c r="AE103" s="136"/>
    </row>
    <row r="104" spans="1:36" ht="15">
      <c r="A104" s="48" t="s">
        <v>208</v>
      </c>
      <c r="B104" s="350">
        <v>2.1900000000000001E-3</v>
      </c>
      <c r="C104" s="212">
        <f>$D$96</f>
        <v>5.1124999999999998</v>
      </c>
      <c r="D104" s="174">
        <f>B104*C104</f>
        <v>1.1196375E-2</v>
      </c>
      <c r="F104" s="350">
        <v>2.1900000000000001E-3</v>
      </c>
      <c r="G104" s="212">
        <f>$D$96</f>
        <v>5.1124999999999998</v>
      </c>
      <c r="H104" s="175">
        <f>F104*G104</f>
        <v>1.1196375E-2</v>
      </c>
      <c r="W104" s="266"/>
      <c r="Y104"/>
      <c r="Z104"/>
      <c r="AA104"/>
      <c r="AB104"/>
      <c r="AC104"/>
      <c r="AD104"/>
      <c r="AE104" s="136"/>
    </row>
    <row r="105" spans="1:36" ht="15">
      <c r="A105" s="48" t="s">
        <v>206</v>
      </c>
      <c r="B105" s="350">
        <v>2.1900000000000001E-3</v>
      </c>
      <c r="C105" s="212">
        <f>$D$96</f>
        <v>5.1124999999999998</v>
      </c>
      <c r="D105" s="174">
        <f>B105*C105</f>
        <v>1.1196375E-2</v>
      </c>
      <c r="F105" s="350">
        <v>0</v>
      </c>
      <c r="G105" s="212">
        <f>$D$96</f>
        <v>5.1124999999999998</v>
      </c>
      <c r="H105" s="175">
        <f>F105*G105</f>
        <v>0</v>
      </c>
      <c r="Y105"/>
      <c r="Z105"/>
      <c r="AA105"/>
      <c r="AB105"/>
      <c r="AC105"/>
      <c r="AD105"/>
      <c r="AE105" s="136"/>
    </row>
    <row r="106" spans="1:36" ht="15">
      <c r="A106" s="48" t="s">
        <v>209</v>
      </c>
      <c r="B106" s="350">
        <v>0</v>
      </c>
      <c r="C106" s="212">
        <f>$D$96</f>
        <v>5.1124999999999998</v>
      </c>
      <c r="D106" s="219">
        <f>B106*C106</f>
        <v>0</v>
      </c>
      <c r="F106" s="350">
        <v>2.5000000000000001E-4</v>
      </c>
      <c r="G106" s="212">
        <f>$D$96</f>
        <v>5.1124999999999998</v>
      </c>
      <c r="H106" s="220">
        <f>F106*G106</f>
        <v>1.278125E-3</v>
      </c>
      <c r="Y106"/>
      <c r="Z106"/>
      <c r="AA106"/>
      <c r="AB106"/>
      <c r="AC106"/>
      <c r="AD106"/>
      <c r="AE106" s="136"/>
    </row>
    <row r="107" spans="1:36" ht="15">
      <c r="A107" s="176" t="s">
        <v>211</v>
      </c>
      <c r="B107" s="228">
        <f>SUM(B104:B106)</f>
        <v>4.3800000000000002E-3</v>
      </c>
      <c r="C107" s="229">
        <f>D107/B107</f>
        <v>5.1124999999999998</v>
      </c>
      <c r="D107" s="226">
        <f>SUM(D104:D106)</f>
        <v>2.2392749999999999E-2</v>
      </c>
      <c r="F107" s="222">
        <f>SUM(F104:F106)</f>
        <v>2.4400000000000003E-3</v>
      </c>
      <c r="G107" s="229">
        <f>H107/F107</f>
        <v>5.1124999999999989</v>
      </c>
      <c r="H107" s="227">
        <f>SUM(H104:H106)</f>
        <v>1.2474499999999999E-2</v>
      </c>
      <c r="Y107"/>
      <c r="Z107"/>
      <c r="AA107"/>
      <c r="AB107"/>
      <c r="AC107"/>
      <c r="AD107"/>
      <c r="AE107" s="136"/>
    </row>
    <row r="108" spans="1:36" ht="15">
      <c r="A108" s="176"/>
      <c r="B108" s="124"/>
      <c r="C108" s="212"/>
      <c r="D108" s="230"/>
      <c r="F108" s="217"/>
      <c r="G108" s="212"/>
      <c r="H108" s="231"/>
      <c r="Y108"/>
      <c r="Z108"/>
      <c r="AA108"/>
      <c r="AB108"/>
      <c r="AC108"/>
      <c r="AD108"/>
      <c r="AE108" s="136"/>
    </row>
    <row r="109" spans="1:36" ht="15.75" thickBot="1">
      <c r="A109" s="141" t="s">
        <v>212</v>
      </c>
      <c r="B109" s="218"/>
      <c r="C109" s="13"/>
      <c r="D109" s="232">
        <f>D102+D107</f>
        <v>2.6743286948431685E-2</v>
      </c>
      <c r="F109" s="218"/>
      <c r="G109" s="13"/>
      <c r="H109" s="233">
        <f>H102+H107</f>
        <v>6.3620499999999996E-2</v>
      </c>
      <c r="Y109"/>
      <c r="Z109"/>
      <c r="AA109"/>
      <c r="AB109"/>
      <c r="AC109"/>
      <c r="AD109"/>
      <c r="AE109" s="136"/>
    </row>
    <row r="110" spans="1:36" ht="15">
      <c r="A110" s="99"/>
      <c r="B110" s="72"/>
      <c r="C110" s="72"/>
      <c r="D110" s="72"/>
      <c r="E110" s="72"/>
      <c r="F110" s="72"/>
      <c r="G110" s="72"/>
      <c r="H110" s="75"/>
      <c r="Y110"/>
      <c r="Z110"/>
      <c r="AA110"/>
      <c r="AB110"/>
      <c r="AC110"/>
      <c r="AD110"/>
      <c r="AE110" s="136"/>
    </row>
    <row r="111" spans="1:36" ht="15">
      <c r="Y111"/>
      <c r="Z111"/>
      <c r="AA111"/>
      <c r="AB111"/>
      <c r="AC111"/>
      <c r="AD111"/>
      <c r="AE111" s="136"/>
    </row>
    <row r="112" spans="1:36" ht="15">
      <c r="G112" s="100"/>
      <c r="Y112"/>
      <c r="Z112"/>
      <c r="AA112"/>
      <c r="AB112"/>
      <c r="AC112"/>
      <c r="AD112"/>
      <c r="AE112" s="136"/>
    </row>
    <row r="113" spans="1:36" ht="15">
      <c r="A113" s="82" t="s">
        <v>218</v>
      </c>
      <c r="B113" s="93"/>
      <c r="C113" s="93"/>
      <c r="D113" s="93"/>
      <c r="E113" s="93"/>
      <c r="F113" s="93"/>
      <c r="G113" s="93"/>
      <c r="H113" s="148"/>
      <c r="Y113"/>
      <c r="Z113"/>
      <c r="AA113"/>
      <c r="AB113"/>
      <c r="AC113"/>
      <c r="AD113"/>
      <c r="AE113" s="136"/>
    </row>
    <row r="114" spans="1:36" ht="16.5">
      <c r="A114" s="48"/>
      <c r="B114" s="147" t="s">
        <v>107</v>
      </c>
      <c r="C114" s="147" t="s">
        <v>220</v>
      </c>
      <c r="D114" s="147" t="s">
        <v>219</v>
      </c>
      <c r="E114" s="26"/>
      <c r="F114" s="26"/>
      <c r="G114" s="26"/>
      <c r="H114" s="77"/>
      <c r="Y114"/>
      <c r="Z114"/>
      <c r="AA114"/>
      <c r="AB114"/>
      <c r="AC114"/>
      <c r="AD114"/>
      <c r="AE114" s="136"/>
    </row>
    <row r="115" spans="1:36" ht="30">
      <c r="A115" s="48" t="s">
        <v>57</v>
      </c>
      <c r="B115" s="87">
        <f>SUM(C115:D115)</f>
        <v>104400000</v>
      </c>
      <c r="C115" s="87">
        <f>37300000+20000000</f>
        <v>57300000</v>
      </c>
      <c r="D115" s="87">
        <f>47100000</f>
        <v>47100000</v>
      </c>
      <c r="E115" s="1009" t="s">
        <v>277</v>
      </c>
      <c r="F115" s="1009"/>
      <c r="G115" s="199" t="s">
        <v>3</v>
      </c>
      <c r="H115" s="308" t="s">
        <v>69</v>
      </c>
      <c r="Y115"/>
      <c r="Z115"/>
      <c r="AA115"/>
      <c r="AB115"/>
      <c r="AC115"/>
      <c r="AD115"/>
      <c r="AE115" s="136"/>
    </row>
    <row r="116" spans="1:36" ht="16.5">
      <c r="A116" s="48" t="s">
        <v>58</v>
      </c>
      <c r="B116" s="343">
        <v>2.2030649999999999E-2</v>
      </c>
      <c r="E116" s="306" t="s">
        <v>186</v>
      </c>
      <c r="F116" s="306" t="s">
        <v>259</v>
      </c>
      <c r="H116" s="45"/>
      <c r="Y116"/>
      <c r="Z116"/>
      <c r="AA116" s="260" t="s">
        <v>398</v>
      </c>
      <c r="AD116"/>
      <c r="AE116" s="234"/>
    </row>
    <row r="117" spans="1:36" ht="16.5">
      <c r="A117" s="48" t="s">
        <v>59</v>
      </c>
      <c r="B117" s="26"/>
      <c r="C117" s="26"/>
      <c r="D117" s="26"/>
      <c r="E117" s="102">
        <f>($C$115/$B$25*$B$24)*$B$116</f>
        <v>0</v>
      </c>
      <c r="F117" s="102">
        <f>($C$115/$B$25*($E$24+$H$24)+D115)*$B$116</f>
        <v>2299999.86</v>
      </c>
      <c r="G117" s="358">
        <f>SUM(E117:F117)</f>
        <v>2299999.86</v>
      </c>
      <c r="H117" s="103">
        <f>G117/(B$25*1000)</f>
        <v>3.1944442499999996E-2</v>
      </c>
      <c r="R117" s="240"/>
      <c r="S117" s="240"/>
      <c r="T117" s="261">
        <f t="shared" ref="T117:T125" si="49">ROUND($T$11*$Z117,0)</f>
        <v>21549</v>
      </c>
      <c r="W117" s="265"/>
      <c r="X117" s="20" t="s">
        <v>235</v>
      </c>
      <c r="Y117" s="128">
        <v>631040</v>
      </c>
      <c r="Z117" s="138">
        <f t="shared" ref="Z117:Z125" si="50">AA117/$AA$126</f>
        <v>2.8732014048368993E-2</v>
      </c>
      <c r="AA117" s="143">
        <v>30387.07</v>
      </c>
      <c r="AB117" s="136"/>
      <c r="AC117" s="136"/>
      <c r="AI117" s="236"/>
      <c r="AJ117" s="236"/>
    </row>
    <row r="118" spans="1:36" ht="15">
      <c r="A118" s="48"/>
      <c r="B118" s="26"/>
      <c r="C118" s="26"/>
      <c r="D118" s="26"/>
      <c r="E118" s="307" t="e">
        <f>E117/B24/1000</f>
        <v>#DIV/0!</v>
      </c>
      <c r="F118" s="307">
        <f>F117/($E$24+$H$24)/1000</f>
        <v>3.1944442499999996E-2</v>
      </c>
      <c r="G118" s="11"/>
      <c r="H118" s="77"/>
      <c r="R118" s="240"/>
      <c r="S118" s="240"/>
      <c r="T118" s="261">
        <f t="shared" si="49"/>
        <v>23088</v>
      </c>
      <c r="W118" s="265"/>
      <c r="X118" s="20" t="s">
        <v>236</v>
      </c>
      <c r="Y118" s="128">
        <v>631060</v>
      </c>
      <c r="Z118" s="138">
        <f t="shared" si="50"/>
        <v>3.0784541877331692E-2</v>
      </c>
      <c r="AA118" s="143">
        <v>32557.83</v>
      </c>
      <c r="AB118" s="136"/>
      <c r="AC118" s="136"/>
      <c r="AI118" s="235"/>
      <c r="AJ118" s="235"/>
    </row>
    <row r="119" spans="1:36" ht="15">
      <c r="A119" s="48" t="s">
        <v>172</v>
      </c>
      <c r="B119" s="26"/>
      <c r="C119" s="26"/>
      <c r="D119" s="26"/>
      <c r="E119" s="26"/>
      <c r="F119" s="104"/>
      <c r="G119" s="26"/>
      <c r="H119" s="77"/>
      <c r="R119" s="240"/>
      <c r="S119" s="240"/>
      <c r="T119" s="261">
        <f t="shared" si="49"/>
        <v>0</v>
      </c>
      <c r="W119" s="265"/>
      <c r="X119" s="20" t="s">
        <v>237</v>
      </c>
      <c r="Y119" s="128">
        <v>631900</v>
      </c>
      <c r="Z119" s="138">
        <f t="shared" si="50"/>
        <v>0</v>
      </c>
      <c r="AA119" s="143">
        <v>0</v>
      </c>
      <c r="AB119" s="136"/>
      <c r="AC119" s="136"/>
      <c r="AI119" s="235"/>
      <c r="AJ119" s="235"/>
    </row>
    <row r="120" spans="1:36" ht="15">
      <c r="A120" s="48" t="s">
        <v>60</v>
      </c>
      <c r="B120" s="26"/>
      <c r="C120" s="26"/>
      <c r="D120" s="26"/>
      <c r="E120" s="26"/>
      <c r="F120" s="26"/>
      <c r="G120" s="26"/>
      <c r="H120" s="77"/>
      <c r="R120" s="240"/>
      <c r="S120" s="240"/>
      <c r="T120" s="261">
        <f t="shared" si="49"/>
        <v>68702</v>
      </c>
      <c r="W120" s="265"/>
      <c r="X120" s="20" t="s">
        <v>238</v>
      </c>
      <c r="Y120" s="128">
        <v>630020</v>
      </c>
      <c r="Z120" s="138">
        <f t="shared" si="50"/>
        <v>9.1602521626258315E-2</v>
      </c>
      <c r="AA120" s="143">
        <v>96879.12</v>
      </c>
      <c r="AB120" s="136"/>
      <c r="AC120" s="136"/>
      <c r="AI120" s="235"/>
      <c r="AJ120" s="235"/>
    </row>
    <row r="121" spans="1:36" ht="16.5">
      <c r="A121" s="48" t="s">
        <v>61</v>
      </c>
      <c r="B121" s="26"/>
      <c r="C121" s="26"/>
      <c r="D121" s="26"/>
      <c r="E121" s="26"/>
      <c r="F121" s="26"/>
      <c r="G121" s="348">
        <v>200000</v>
      </c>
      <c r="H121" s="103">
        <f>G121/(B$25*1000)</f>
        <v>2.7777777777777779E-3</v>
      </c>
      <c r="R121" s="240"/>
      <c r="S121" s="240"/>
      <c r="T121" s="261">
        <f t="shared" si="49"/>
        <v>0</v>
      </c>
      <c r="W121" s="265"/>
      <c r="X121" s="20" t="s">
        <v>239</v>
      </c>
      <c r="Y121" s="128">
        <v>630030</v>
      </c>
      <c r="Z121" s="138">
        <f t="shared" si="50"/>
        <v>0</v>
      </c>
      <c r="AA121" s="143">
        <v>0</v>
      </c>
      <c r="AB121" s="136"/>
      <c r="AC121" s="136"/>
      <c r="AI121" s="235"/>
      <c r="AJ121" s="235"/>
    </row>
    <row r="122" spans="1:36" ht="15">
      <c r="A122" s="48"/>
      <c r="B122" s="26"/>
      <c r="C122" s="26"/>
      <c r="D122" s="26"/>
      <c r="E122" s="26"/>
      <c r="F122" s="26"/>
      <c r="G122" s="26"/>
      <c r="H122" s="77"/>
      <c r="R122" s="240"/>
      <c r="S122" s="240"/>
      <c r="T122" s="261">
        <f t="shared" si="49"/>
        <v>93843</v>
      </c>
      <c r="W122" s="265"/>
      <c r="X122" s="20" t="s">
        <v>240</v>
      </c>
      <c r="Y122" s="128">
        <v>630070</v>
      </c>
      <c r="Z122" s="138">
        <f t="shared" si="50"/>
        <v>0.12512342057966541</v>
      </c>
      <c r="AA122" s="143">
        <v>132330.93</v>
      </c>
      <c r="AB122" s="136"/>
      <c r="AC122" s="136"/>
      <c r="AI122" s="235"/>
      <c r="AJ122" s="235"/>
    </row>
    <row r="123" spans="1:36" ht="15">
      <c r="A123" s="48" t="s">
        <v>62</v>
      </c>
      <c r="B123" s="26"/>
      <c r="C123" s="26"/>
      <c r="D123" s="26"/>
      <c r="E123" s="26"/>
      <c r="F123" s="26"/>
      <c r="G123" s="26"/>
      <c r="H123" s="77"/>
      <c r="R123" s="240"/>
      <c r="S123" s="240"/>
      <c r="T123" s="261">
        <f t="shared" si="49"/>
        <v>459068</v>
      </c>
      <c r="W123" s="265"/>
      <c r="X123" s="20" t="s">
        <v>241</v>
      </c>
      <c r="Y123" s="128">
        <v>630080</v>
      </c>
      <c r="Z123" s="138">
        <f t="shared" si="50"/>
        <v>0.61209054586824252</v>
      </c>
      <c r="AA123" s="143">
        <v>647348.92000000004</v>
      </c>
      <c r="AB123" s="136"/>
      <c r="AC123" s="136"/>
      <c r="AI123" s="235"/>
      <c r="AJ123" s="235"/>
    </row>
    <row r="124" spans="1:36" ht="16.5">
      <c r="A124" s="48" t="s">
        <v>63</v>
      </c>
      <c r="B124" s="26"/>
      <c r="C124" s="26"/>
      <c r="D124" s="26"/>
      <c r="E124" s="26"/>
      <c r="F124" s="26"/>
      <c r="G124" s="348">
        <v>750000</v>
      </c>
      <c r="H124" s="103">
        <f>G124/(B$25*1000)</f>
        <v>1.0416666666666666E-2</v>
      </c>
      <c r="R124" s="240"/>
      <c r="S124" s="240"/>
      <c r="T124" s="261">
        <f t="shared" si="49"/>
        <v>83750</v>
      </c>
      <c r="W124" s="265"/>
      <c r="X124" s="20" t="s">
        <v>242</v>
      </c>
      <c r="Y124" s="128">
        <v>633000</v>
      </c>
      <c r="Z124" s="138">
        <f t="shared" si="50"/>
        <v>0.11166695600013314</v>
      </c>
      <c r="AA124" s="143">
        <v>118099.33</v>
      </c>
      <c r="AB124" s="136"/>
      <c r="AC124" s="136"/>
      <c r="AI124" s="235"/>
      <c r="AJ124" s="235"/>
    </row>
    <row r="125" spans="1:36" ht="17.25">
      <c r="A125" s="99"/>
      <c r="B125" s="72"/>
      <c r="C125" s="105"/>
      <c r="D125" s="72"/>
      <c r="E125" s="72"/>
      <c r="F125" s="72"/>
      <c r="G125" s="72"/>
      <c r="H125" s="75"/>
      <c r="R125" s="240"/>
      <c r="S125" s="240"/>
      <c r="T125" s="262">
        <f t="shared" si="49"/>
        <v>0</v>
      </c>
      <c r="W125" s="265"/>
      <c r="X125" s="20" t="s">
        <v>243</v>
      </c>
      <c r="Y125" s="128">
        <v>660000</v>
      </c>
      <c r="Z125" s="258">
        <f t="shared" si="50"/>
        <v>0</v>
      </c>
      <c r="AA125" s="161">
        <v>0</v>
      </c>
      <c r="AB125" s="136"/>
      <c r="AC125" s="136"/>
      <c r="AI125" s="235"/>
      <c r="AJ125" s="235"/>
    </row>
    <row r="126" spans="1:36" ht="15">
      <c r="R126" s="160"/>
      <c r="S126" s="160"/>
      <c r="T126" s="264">
        <f>SUM(T117:T125)</f>
        <v>750000</v>
      </c>
      <c r="W126" s="256" t="s">
        <v>12</v>
      </c>
      <c r="X126" s="130" t="s">
        <v>17</v>
      </c>
      <c r="Y126" s="257" t="s">
        <v>107</v>
      </c>
      <c r="Z126" s="138">
        <f>SUM(Z117:Z125)</f>
        <v>1</v>
      </c>
      <c r="AA126" s="259">
        <f>SUM(AA117:AA125)</f>
        <v>1057603.2</v>
      </c>
      <c r="AE126" s="137"/>
    </row>
    <row r="128" spans="1:36">
      <c r="A128" s="82" t="s">
        <v>64</v>
      </c>
      <c r="B128" s="1012" t="s">
        <v>65</v>
      </c>
      <c r="C128" s="1012"/>
      <c r="D128" s="1012"/>
      <c r="E128" s="1012"/>
      <c r="F128" s="1012"/>
      <c r="G128" s="1012"/>
      <c r="H128" s="1013"/>
    </row>
    <row r="129" spans="1:36" ht="14.65" customHeight="1">
      <c r="A129" s="48"/>
      <c r="B129" s="199" t="s">
        <v>159</v>
      </c>
      <c r="C129" s="199" t="s">
        <v>109</v>
      </c>
      <c r="D129" s="199" t="s">
        <v>107</v>
      </c>
      <c r="E129" s="26"/>
      <c r="F129" s="26"/>
      <c r="G129" s="26"/>
      <c r="H129" s="77"/>
      <c r="AA129" s="1007" t="s">
        <v>398</v>
      </c>
      <c r="AB129" s="1007"/>
    </row>
    <row r="130" spans="1:36" ht="14.65" customHeight="1">
      <c r="A130" s="48" t="s">
        <v>262</v>
      </c>
      <c r="B130" s="207">
        <f>B30+B31</f>
        <v>0</v>
      </c>
      <c r="C130" s="207">
        <f>B32+B33</f>
        <v>72000</v>
      </c>
      <c r="D130" s="207">
        <f>SUM(B130:C130)</f>
        <v>72000</v>
      </c>
      <c r="E130" s="26"/>
      <c r="F130" s="1008" t="s">
        <v>66</v>
      </c>
      <c r="G130" s="1008"/>
      <c r="H130" s="106">
        <f>D130/D131</f>
        <v>0.27692307692307694</v>
      </c>
      <c r="R130" s="240"/>
      <c r="S130" s="240"/>
      <c r="T130" s="261">
        <f>$T$18*$Z130</f>
        <v>142500</v>
      </c>
      <c r="W130" s="265"/>
      <c r="X130" s="20" t="s">
        <v>244</v>
      </c>
      <c r="Y130" s="128" t="s">
        <v>100</v>
      </c>
      <c r="Z130" s="138">
        <v>0.5</v>
      </c>
      <c r="AA130" s="143">
        <v>120244.49</v>
      </c>
      <c r="AB130" s="144">
        <f>AA130/$AA$132</f>
        <v>0.50750815162970342</v>
      </c>
      <c r="AC130" s="136"/>
      <c r="AD130"/>
    </row>
    <row r="131" spans="1:36" ht="14.65" customHeight="1">
      <c r="A131" s="48" t="s">
        <v>263</v>
      </c>
      <c r="B131" s="207"/>
      <c r="C131" s="207"/>
      <c r="D131" s="207">
        <v>260000</v>
      </c>
      <c r="E131" s="26"/>
      <c r="F131" s="26"/>
      <c r="G131" s="26"/>
      <c r="H131" s="107"/>
      <c r="R131" s="240"/>
      <c r="S131" s="240"/>
      <c r="T131" s="262">
        <f>$T$18*$Z131</f>
        <v>142500</v>
      </c>
      <c r="W131" s="265"/>
      <c r="X131" s="20" t="s">
        <v>245</v>
      </c>
      <c r="Y131" s="128">
        <v>630040</v>
      </c>
      <c r="Z131" s="138">
        <v>0.5</v>
      </c>
      <c r="AA131" s="161">
        <v>116686.66</v>
      </c>
      <c r="AB131" s="378">
        <f>AA131/$AA$132</f>
        <v>0.49249184837029658</v>
      </c>
      <c r="AC131" s="136"/>
      <c r="AD131"/>
    </row>
    <row r="132" spans="1:36" ht="14.65" customHeight="1">
      <c r="A132" s="43"/>
      <c r="D132" s="108"/>
      <c r="F132" s="1009" t="s">
        <v>290</v>
      </c>
      <c r="G132" s="1009"/>
      <c r="H132" s="1010"/>
      <c r="R132" s="160"/>
      <c r="S132" s="160"/>
      <c r="T132" s="264">
        <f>SUM(T130:T131)</f>
        <v>285000</v>
      </c>
      <c r="W132" s="256" t="s">
        <v>12</v>
      </c>
      <c r="X132" s="130" t="s">
        <v>28</v>
      </c>
      <c r="Y132" s="257" t="s">
        <v>107</v>
      </c>
      <c r="Z132" s="138">
        <f>SUM(Z130:Z131)</f>
        <v>1</v>
      </c>
      <c r="AA132" s="259">
        <f>SUM(AA130:AA131)</f>
        <v>236931.15000000002</v>
      </c>
      <c r="AB132" s="144">
        <f>SUM(AB130:AB131)</f>
        <v>1</v>
      </c>
    </row>
    <row r="133" spans="1:36" ht="28.15" customHeight="1">
      <c r="A133" s="48"/>
      <c r="B133" s="97" t="s">
        <v>67</v>
      </c>
      <c r="C133" s="97" t="s">
        <v>68</v>
      </c>
      <c r="D133" s="97" t="s">
        <v>257</v>
      </c>
      <c r="E133" s="97" t="s">
        <v>258</v>
      </c>
      <c r="F133" s="49"/>
      <c r="G133" s="286" t="s">
        <v>260</v>
      </c>
      <c r="H133" s="287" t="s">
        <v>261</v>
      </c>
    </row>
    <row r="134" spans="1:36" ht="15">
      <c r="A134" s="48" t="s">
        <v>25</v>
      </c>
      <c r="B134" s="104">
        <f>C134/12</f>
        <v>30812.5</v>
      </c>
      <c r="C134" s="351">
        <f>90625*'17 Std'!S3*(1+$F$148)</f>
        <v>369750</v>
      </c>
      <c r="D134" s="64">
        <f>$C134/$D$130/1000</f>
        <v>5.1354166666666666E-3</v>
      </c>
      <c r="E134" s="64">
        <f>$C134/$D$130/1000</f>
        <v>5.1354166666666666E-3</v>
      </c>
      <c r="F134" s="156" t="s">
        <v>270</v>
      </c>
      <c r="G134" s="348">
        <v>1220000</v>
      </c>
      <c r="H134" s="238">
        <f>G134/$D$130/1000</f>
        <v>1.6944444444444443E-2</v>
      </c>
      <c r="I134" s="253"/>
      <c r="X134" s="139"/>
      <c r="Y134"/>
      <c r="Z134"/>
      <c r="AA134" s="260" t="s">
        <v>398</v>
      </c>
      <c r="AB134"/>
      <c r="AC134"/>
      <c r="AD134"/>
    </row>
    <row r="135" spans="1:36" ht="14.65" customHeight="1">
      <c r="A135" s="48" t="s">
        <v>27</v>
      </c>
      <c r="B135" s="26">
        <f>C135/12</f>
        <v>23750</v>
      </c>
      <c r="C135" s="346">
        <f>285000</f>
        <v>285000</v>
      </c>
      <c r="D135" s="109">
        <f>$C135/$D$130/1000</f>
        <v>3.9583333333333337E-3</v>
      </c>
      <c r="E135" s="109">
        <f>$C135/$D$130/1000</f>
        <v>3.9583333333333337E-3</v>
      </c>
      <c r="F135" s="156" t="s">
        <v>271</v>
      </c>
      <c r="G135" s="348">
        <f>30000</f>
        <v>30000</v>
      </c>
      <c r="H135" s="238">
        <f>IF($B$130&lt;&gt;0,G135/$B$130/1000,G135/D130/1000)</f>
        <v>4.1666666666666669E-4</v>
      </c>
      <c r="I135" s="253"/>
      <c r="R135" s="240"/>
      <c r="S135" s="240"/>
      <c r="T135" s="261">
        <f t="shared" ref="T135:T142" si="51">ROUND($T$19*$Z135,0)</f>
        <v>148897</v>
      </c>
      <c r="W135" s="265"/>
      <c r="X135" s="20" t="s">
        <v>399</v>
      </c>
      <c r="Y135" s="128" t="s">
        <v>400</v>
      </c>
      <c r="Z135" s="138">
        <f t="shared" ref="Z135:Z142" si="52">AA135/$AA$143</f>
        <v>3.1020278092671626E-2</v>
      </c>
      <c r="AA135" s="143">
        <v>140030.43</v>
      </c>
      <c r="AB135" s="136"/>
      <c r="AC135" s="136"/>
      <c r="AD135"/>
    </row>
    <row r="136" spans="1:36" ht="14.65" customHeight="1">
      <c r="A136" s="48" t="s">
        <v>29</v>
      </c>
      <c r="B136" s="26">
        <f>C136/12</f>
        <v>400000</v>
      </c>
      <c r="C136" s="78">
        <f>G137</f>
        <v>4800000</v>
      </c>
      <c r="D136" s="110">
        <f>H140</f>
        <v>6.6666666666666666E-2</v>
      </c>
      <c r="E136" s="110">
        <f>H141</f>
        <v>6.6666666666666666E-2</v>
      </c>
      <c r="F136" s="156" t="s">
        <v>272</v>
      </c>
      <c r="G136" s="352">
        <f>3550000</f>
        <v>3550000</v>
      </c>
      <c r="H136" s="238">
        <f>IF(C130&lt;&gt;0,G136/$C$130/1000,G136/D130/1000)</f>
        <v>4.9305555555555554E-2</v>
      </c>
      <c r="I136" s="253"/>
      <c r="J136" s="281"/>
      <c r="K136" s="281"/>
      <c r="L136" s="281"/>
      <c r="M136" s="281"/>
      <c r="N136" s="281"/>
      <c r="O136" s="281"/>
      <c r="P136" s="281"/>
      <c r="R136" s="240"/>
      <c r="S136" s="240"/>
      <c r="T136" s="261">
        <f t="shared" si="51"/>
        <v>7396</v>
      </c>
      <c r="W136" s="265"/>
      <c r="X136" s="20" t="s">
        <v>246</v>
      </c>
      <c r="Y136" s="128" t="s">
        <v>101</v>
      </c>
      <c r="Z136" s="138">
        <f t="shared" si="52"/>
        <v>1.5409319575424053E-3</v>
      </c>
      <c r="AA136" s="143">
        <v>6956.01</v>
      </c>
      <c r="AB136" s="136"/>
      <c r="AC136" s="136"/>
      <c r="AD136"/>
      <c r="AI136" s="235"/>
      <c r="AJ136" s="235"/>
    </row>
    <row r="137" spans="1:36" ht="14.65" customHeight="1">
      <c r="A137" s="48" t="s">
        <v>70</v>
      </c>
      <c r="D137" s="64">
        <f>SUM(D134:D136)</f>
        <v>7.5760416666666663E-2</v>
      </c>
      <c r="E137" s="64">
        <f>SUM(E134:E136)</f>
        <v>7.5760416666666663E-2</v>
      </c>
      <c r="F137" s="301" t="s">
        <v>268</v>
      </c>
      <c r="G137" s="285">
        <f>SUM(G134:G136)</f>
        <v>4800000</v>
      </c>
      <c r="H137" s="238">
        <f>G137/D130/1000</f>
        <v>6.6666666666666666E-2</v>
      </c>
      <c r="J137" s="282"/>
      <c r="K137" s="282"/>
      <c r="L137" s="282"/>
      <c r="M137" s="282"/>
      <c r="N137" s="282"/>
      <c r="O137" s="282"/>
      <c r="P137" s="282"/>
      <c r="R137" s="240"/>
      <c r="S137" s="240"/>
      <c r="T137" s="261">
        <f t="shared" si="51"/>
        <v>379435</v>
      </c>
      <c r="W137" s="265"/>
      <c r="X137" s="20" t="s">
        <v>247</v>
      </c>
      <c r="Y137" s="128">
        <v>640010</v>
      </c>
      <c r="Z137" s="138">
        <f t="shared" si="52"/>
        <v>7.9049062217207061E-2</v>
      </c>
      <c r="AA137" s="143">
        <v>356839.94</v>
      </c>
      <c r="AB137" s="136"/>
      <c r="AC137" s="136"/>
      <c r="AD137"/>
      <c r="AI137" s="235"/>
      <c r="AJ137" s="235"/>
    </row>
    <row r="138" spans="1:36" ht="14.65" customHeight="1">
      <c r="A138" s="48"/>
      <c r="B138" s="26"/>
      <c r="C138" s="26"/>
      <c r="D138" s="64"/>
      <c r="E138" s="64"/>
      <c r="F138" s="26"/>
      <c r="G138" s="204"/>
      <c r="H138" s="238"/>
      <c r="R138" s="240"/>
      <c r="S138" s="240"/>
      <c r="T138" s="261">
        <f t="shared" si="51"/>
        <v>3980171</v>
      </c>
      <c r="W138" s="265"/>
      <c r="X138" s="20" t="s">
        <v>248</v>
      </c>
      <c r="Y138" s="128">
        <v>640020</v>
      </c>
      <c r="Z138" s="138">
        <f t="shared" si="52"/>
        <v>0.82920233056363746</v>
      </c>
      <c r="AA138" s="143">
        <v>3743150.16</v>
      </c>
      <c r="AB138" s="136"/>
      <c r="AC138" s="136"/>
      <c r="AD138"/>
    </row>
    <row r="139" spans="1:36" ht="14.65" customHeight="1">
      <c r="A139" s="48"/>
      <c r="B139" s="26"/>
      <c r="C139" s="26"/>
      <c r="D139" s="288" t="s">
        <v>266</v>
      </c>
      <c r="E139" s="288" t="s">
        <v>267</v>
      </c>
      <c r="F139" s="26"/>
      <c r="G139" s="204"/>
      <c r="H139" s="238"/>
      <c r="R139" s="240"/>
      <c r="S139" s="240"/>
      <c r="T139" s="261">
        <f t="shared" si="51"/>
        <v>263981</v>
      </c>
      <c r="W139" s="265"/>
      <c r="X139" s="20" t="s">
        <v>401</v>
      </c>
      <c r="Y139" s="128" t="s">
        <v>402</v>
      </c>
      <c r="Z139" s="138">
        <f t="shared" si="52"/>
        <v>5.4995959722533301E-2</v>
      </c>
      <c r="AA139" s="143">
        <v>248260.44</v>
      </c>
      <c r="AB139" s="136"/>
      <c r="AC139" s="136"/>
      <c r="AD139"/>
      <c r="AI139" s="235"/>
      <c r="AJ139" s="235"/>
    </row>
    <row r="140" spans="1:36" ht="14.65" customHeight="1">
      <c r="A140" s="48"/>
      <c r="B140" s="26"/>
      <c r="C140" s="26"/>
      <c r="D140" s="290">
        <f>G140/$G$142</f>
        <v>0</v>
      </c>
      <c r="E140" s="207">
        <f>ROUND(G140/$H$137,0)</f>
        <v>0</v>
      </c>
      <c r="F140" s="156" t="s">
        <v>186</v>
      </c>
      <c r="G140" s="204">
        <f>$H140*$B$130*1000</f>
        <v>0</v>
      </c>
      <c r="H140" s="238">
        <f>IF(AND($B$130&lt;&gt;0,$C$130&lt;&gt;0),H134+H135,$H$137)</f>
        <v>6.6666666666666666E-2</v>
      </c>
      <c r="R140" s="240"/>
      <c r="S140" s="240"/>
      <c r="T140" s="261">
        <f t="shared" si="51"/>
        <v>7264</v>
      </c>
      <c r="W140" s="265"/>
      <c r="X140" s="20" t="s">
        <v>249</v>
      </c>
      <c r="Y140" s="128">
        <v>640040</v>
      </c>
      <c r="Z140" s="138">
        <f t="shared" si="52"/>
        <v>1.5133299095422179E-3</v>
      </c>
      <c r="AA140" s="143">
        <v>6831.41</v>
      </c>
      <c r="AB140" s="136"/>
      <c r="AC140" s="136"/>
      <c r="AD140"/>
      <c r="AI140" s="235"/>
      <c r="AJ140" s="235"/>
    </row>
    <row r="141" spans="1:36" ht="14.65" customHeight="1">
      <c r="A141" s="48"/>
      <c r="B141" s="26"/>
      <c r="C141" s="26"/>
      <c r="D141" s="290">
        <f>G141/$G$142</f>
        <v>1</v>
      </c>
      <c r="E141" s="168">
        <f>ROUND(G141/$H$137,0)</f>
        <v>72000000</v>
      </c>
      <c r="F141" s="156" t="s">
        <v>286</v>
      </c>
      <c r="G141" s="239">
        <f>$H141*$C$130*1000</f>
        <v>4800000</v>
      </c>
      <c r="H141" s="238">
        <f>IF(AND($B$130&lt;&gt;0,$C$130&lt;&gt;0),H134+H136,$H$137)</f>
        <v>6.6666666666666666E-2</v>
      </c>
      <c r="R141" s="160"/>
      <c r="S141" s="160"/>
      <c r="T141" s="261">
        <f t="shared" si="51"/>
        <v>1111</v>
      </c>
      <c r="W141" s="265"/>
      <c r="X141" s="20" t="s">
        <v>250</v>
      </c>
      <c r="Y141" s="128">
        <v>640070</v>
      </c>
      <c r="Z141" s="138">
        <f t="shared" si="52"/>
        <v>2.3147396449338557E-4</v>
      </c>
      <c r="AA141" s="143">
        <v>1044.9100000000001</v>
      </c>
      <c r="AB141"/>
      <c r="AC141"/>
      <c r="AD141"/>
      <c r="AI141" s="235"/>
      <c r="AJ141" s="235"/>
    </row>
    <row r="142" spans="1:36" ht="14.65" customHeight="1">
      <c r="A142" s="48"/>
      <c r="B142" s="26"/>
      <c r="C142" s="26"/>
      <c r="D142" s="290">
        <f>G142/$G$142</f>
        <v>1</v>
      </c>
      <c r="E142" s="289">
        <f>SUM(E140:E141)</f>
        <v>72000000</v>
      </c>
      <c r="F142" s="156" t="s">
        <v>107</v>
      </c>
      <c r="G142" s="285">
        <f>SUM(G140:G141)</f>
        <v>4800000</v>
      </c>
      <c r="H142" s="238"/>
      <c r="T142" s="262">
        <f t="shared" si="51"/>
        <v>11744</v>
      </c>
      <c r="W142" s="265"/>
      <c r="X142" s="20" t="s">
        <v>251</v>
      </c>
      <c r="Y142" s="128">
        <v>640080</v>
      </c>
      <c r="Z142" s="138">
        <f t="shared" si="52"/>
        <v>2.4466335723723111E-3</v>
      </c>
      <c r="AA142" s="161">
        <v>11044.49</v>
      </c>
      <c r="AI142" s="235"/>
      <c r="AJ142" s="235"/>
    </row>
    <row r="143" spans="1:36" ht="14.65" customHeight="1">
      <c r="A143" s="112"/>
      <c r="B143" s="113"/>
      <c r="C143" s="113"/>
      <c r="D143" s="113"/>
      <c r="E143" s="113"/>
      <c r="F143" s="113"/>
      <c r="G143" s="113"/>
      <c r="H143" s="284"/>
      <c r="T143" s="264">
        <f>SUM(T135:T142)</f>
        <v>4799999</v>
      </c>
      <c r="W143" s="256" t="s">
        <v>12</v>
      </c>
      <c r="X143" s="130" t="s">
        <v>30</v>
      </c>
      <c r="Y143" s="257" t="s">
        <v>107</v>
      </c>
      <c r="Z143" s="138">
        <f>SUM(Z135:Z142)</f>
        <v>0.99999999999999989</v>
      </c>
      <c r="AA143" s="259">
        <f>SUM(AA135:AA142)</f>
        <v>4514157.790000001</v>
      </c>
      <c r="AI143" s="235"/>
      <c r="AJ143" s="235"/>
    </row>
    <row r="144" spans="1:36">
      <c r="AI144" s="235"/>
      <c r="AJ144" s="235"/>
    </row>
    <row r="145" spans="1:8">
      <c r="A145" s="72"/>
      <c r="B145" s="72"/>
      <c r="C145" s="72"/>
      <c r="D145" s="72"/>
      <c r="E145" s="72"/>
      <c r="F145" s="72"/>
      <c r="G145" s="72"/>
      <c r="H145" s="72"/>
    </row>
    <row r="146" spans="1:8">
      <c r="A146" s="82" t="s">
        <v>71</v>
      </c>
      <c r="B146" s="93"/>
      <c r="C146" s="93"/>
      <c r="D146" s="93"/>
      <c r="E146" s="93"/>
      <c r="F146" s="93"/>
      <c r="G146" s="93"/>
      <c r="H146" s="148"/>
    </row>
    <row r="147" spans="1:8" ht="15">
      <c r="A147" s="82"/>
      <c r="B147" s="1011" t="s">
        <v>189</v>
      </c>
      <c r="C147" s="1011"/>
      <c r="D147" s="1011"/>
      <c r="E147" s="202"/>
      <c r="F147" s="93"/>
      <c r="G147" s="93"/>
      <c r="H147" s="148"/>
    </row>
    <row r="148" spans="1:8" ht="15">
      <c r="A148" s="48"/>
      <c r="B148" s="1004" t="s">
        <v>72</v>
      </c>
      <c r="C148" s="1004"/>
      <c r="D148" s="342">
        <v>52</v>
      </c>
      <c r="E148" s="49" t="s">
        <v>354</v>
      </c>
      <c r="F148" s="456">
        <f>'17 Std'!T3</f>
        <v>0.02</v>
      </c>
      <c r="G148" s="26"/>
      <c r="H148" s="77"/>
    </row>
    <row r="149" spans="1:8" ht="15">
      <c r="A149" s="48"/>
      <c r="B149" s="1004" t="s">
        <v>73</v>
      </c>
      <c r="C149" s="1004"/>
      <c r="D149" s="353">
        <v>42</v>
      </c>
      <c r="E149" s="200"/>
      <c r="F149" s="26"/>
      <c r="G149" s="26"/>
      <c r="H149" s="77"/>
    </row>
    <row r="150" spans="1:8" ht="15">
      <c r="A150" s="48"/>
      <c r="B150" s="1004" t="s">
        <v>74</v>
      </c>
      <c r="C150" s="1004"/>
      <c r="D150" s="353">
        <v>1.5</v>
      </c>
      <c r="E150" s="201"/>
      <c r="F150" s="26"/>
      <c r="G150" s="26"/>
      <c r="H150" s="111"/>
    </row>
    <row r="151" spans="1:8" ht="15">
      <c r="A151" s="112"/>
      <c r="B151" s="1005" t="s">
        <v>160</v>
      </c>
      <c r="C151" s="1005"/>
      <c r="D151" s="354">
        <v>0.45</v>
      </c>
      <c r="E151" s="180"/>
      <c r="F151" s="113"/>
      <c r="G151" s="113"/>
      <c r="H151" s="181"/>
    </row>
    <row r="152" spans="1:8">
      <c r="A152" s="82"/>
      <c r="B152" s="93"/>
      <c r="C152" s="93"/>
      <c r="D152" s="182"/>
      <c r="E152" s="93"/>
      <c r="F152" s="93"/>
      <c r="G152" s="93"/>
      <c r="H152" s="191"/>
    </row>
    <row r="154" spans="1:8">
      <c r="B154" s="1006"/>
      <c r="C154" s="1006"/>
      <c r="D154" s="1006"/>
      <c r="F154" s="1006"/>
      <c r="G154" s="1006"/>
      <c r="H154" s="1006"/>
    </row>
    <row r="155" spans="1:8">
      <c r="B155" s="114"/>
      <c r="C155" s="114"/>
      <c r="D155" s="115"/>
      <c r="E155" s="6"/>
      <c r="F155" s="114"/>
      <c r="G155" s="114"/>
      <c r="H155" s="115"/>
    </row>
    <row r="156" spans="1:8">
      <c r="C156" s="116"/>
      <c r="D156" s="117"/>
      <c r="G156" s="116"/>
      <c r="H156" s="117"/>
    </row>
    <row r="157" spans="1:8">
      <c r="C157" s="116"/>
      <c r="D157" s="108"/>
      <c r="G157" s="116"/>
      <c r="H157" s="108"/>
    </row>
    <row r="158" spans="1:8">
      <c r="C158" s="118"/>
      <c r="D158" s="108"/>
      <c r="G158" s="118"/>
      <c r="H158" s="108"/>
    </row>
    <row r="159" spans="1:8">
      <c r="C159" s="119"/>
      <c r="D159" s="108"/>
      <c r="G159" s="119"/>
      <c r="H159" s="108"/>
    </row>
    <row r="160" spans="1:8">
      <c r="C160" s="120"/>
      <c r="D160" s="108"/>
      <c r="G160" s="120"/>
      <c r="H160" s="108"/>
    </row>
    <row r="161" spans="3:8">
      <c r="C161" s="118"/>
      <c r="D161" s="108"/>
      <c r="G161" s="118"/>
      <c r="H161" s="108"/>
    </row>
    <row r="162" spans="3:8" ht="15">
      <c r="C162" s="121"/>
      <c r="D162" s="122"/>
      <c r="G162" s="121"/>
      <c r="H162" s="122"/>
    </row>
    <row r="163" spans="3:8" ht="15">
      <c r="D163" s="123"/>
      <c r="H163" s="123"/>
    </row>
  </sheetData>
  <mergeCells count="42">
    <mergeCell ref="B149:C149"/>
    <mergeCell ref="B150:C150"/>
    <mergeCell ref="B151:C151"/>
    <mergeCell ref="B154:D154"/>
    <mergeCell ref="F154:H154"/>
    <mergeCell ref="F132:H132"/>
    <mergeCell ref="B147:D147"/>
    <mergeCell ref="B148:C148"/>
    <mergeCell ref="E78:G78"/>
    <mergeCell ref="AA78:AK78"/>
    <mergeCell ref="E79:F79"/>
    <mergeCell ref="E85:F85"/>
    <mergeCell ref="G85:H85"/>
    <mergeCell ref="B98:D98"/>
    <mergeCell ref="F98:H98"/>
    <mergeCell ref="E115:F115"/>
    <mergeCell ref="B128:H128"/>
    <mergeCell ref="F130:G130"/>
    <mergeCell ref="AA129:AB129"/>
    <mergeCell ref="AA58:AK58"/>
    <mergeCell ref="AA62:AK62"/>
    <mergeCell ref="B64:D64"/>
    <mergeCell ref="F64:H64"/>
    <mergeCell ref="AJ3:AL3"/>
    <mergeCell ref="Y22:Z22"/>
    <mergeCell ref="Y23:Z23"/>
    <mergeCell ref="Y24:Z24"/>
    <mergeCell ref="B27:H27"/>
    <mergeCell ref="C36:D36"/>
    <mergeCell ref="E36:F36"/>
    <mergeCell ref="G36:H36"/>
    <mergeCell ref="M3:P3"/>
    <mergeCell ref="N28:P28"/>
    <mergeCell ref="B58:D58"/>
    <mergeCell ref="F58:H58"/>
    <mergeCell ref="A1:J1"/>
    <mergeCell ref="R1:V1"/>
    <mergeCell ref="AA1:AI1"/>
    <mergeCell ref="A2:J2"/>
    <mergeCell ref="B3:D3"/>
    <mergeCell ref="E3:G3"/>
    <mergeCell ref="H3:J3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7" max="9" man="1"/>
    <brk id="89" max="9" man="1"/>
    <brk id="111" max="9" man="1"/>
    <brk id="126" max="9" man="1"/>
  </row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  <pageSetUpPr fitToPage="1"/>
  </sheetPr>
  <dimension ref="A1:AP163"/>
  <sheetViews>
    <sheetView zoomScaleNormal="100" workbookViewId="0">
      <pane xSplit="1" ySplit="2" topLeftCell="B3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7109375" style="1" bestFit="1" customWidth="1"/>
    <col min="9" max="9" width="9.7109375" style="1" bestFit="1" customWidth="1"/>
    <col min="10" max="10" width="12.28515625" style="1" bestFit="1" customWidth="1"/>
    <col min="11" max="12" width="5.5703125" style="1" customWidth="1"/>
    <col min="13" max="13" width="15.28515625" style="1" bestFit="1" customWidth="1"/>
    <col min="14" max="14" width="13.5703125" style="1" bestFit="1" customWidth="1"/>
    <col min="15" max="15" width="11.28515625" style="1" bestFit="1" customWidth="1"/>
    <col min="16" max="16" width="13.42578125" style="1" bestFit="1" customWidth="1"/>
    <col min="17" max="17" width="7.28515625" style="1" bestFit="1" customWidth="1"/>
    <col min="18" max="18" width="12.42578125" style="1" customWidth="1" outlineLevel="1"/>
    <col min="19" max="19" width="9.7109375" style="1" customWidth="1" outlineLevel="1"/>
    <col min="20" max="20" width="12.42578125" style="1" customWidth="1" outlineLevel="1"/>
    <col min="21" max="21" width="13.28515625" style="1" bestFit="1" customWidth="1" outlineLevel="1"/>
    <col min="22" max="22" width="11.7109375" style="1" customWidth="1" outlineLevel="1"/>
    <col min="23" max="23" width="5.28515625" style="62" customWidth="1" outlineLevel="1"/>
    <col min="24" max="24" width="16.5703125" style="1" customWidth="1" outlineLevel="1"/>
    <col min="25" max="26" width="9" style="1" customWidth="1" outlineLevel="1"/>
    <col min="27" max="27" width="12.42578125" style="1" customWidth="1" outlineLevel="1"/>
    <col min="28" max="28" width="7.28515625" style="1" bestFit="1" customWidth="1" outlineLevel="1"/>
    <col min="29" max="29" width="9" style="1" bestFit="1" customWidth="1" outlineLevel="1"/>
    <col min="30" max="30" width="12.42578125" style="1" customWidth="1" outlineLevel="1"/>
    <col min="31" max="31" width="13.28515625" style="135" bestFit="1" customWidth="1" outlineLevel="1"/>
    <col min="32" max="32" width="9.5703125" style="1" bestFit="1" customWidth="1" outlineLevel="1"/>
    <col min="33" max="33" width="9.7109375" style="1" bestFit="1" customWidth="1" outlineLevel="1"/>
    <col min="34" max="34" width="13.28515625" style="1" bestFit="1" customWidth="1" outlineLevel="1"/>
    <col min="35" max="35" width="11.7109375" style="1" bestFit="1" customWidth="1" outlineLevel="1"/>
    <col min="36" max="37" width="11.5703125" style="1" customWidth="1" outlineLevel="1"/>
    <col min="38" max="38" width="11.5703125" style="1" bestFit="1" customWidth="1" outlineLevel="1"/>
    <col min="39" max="40" width="11.5703125" style="1" bestFit="1" customWidth="1"/>
    <col min="41" max="42" width="10.28515625" style="1" bestFit="1" customWidth="1"/>
    <col min="43" max="237" width="8.5703125" style="1" customWidth="1"/>
    <col min="238" max="16384" width="10.5703125" style="1"/>
  </cols>
  <sheetData>
    <row r="1" spans="1:42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R1" s="1029" t="s">
        <v>216</v>
      </c>
      <c r="S1" s="1029"/>
      <c r="T1" s="1029"/>
      <c r="U1" s="1029"/>
      <c r="V1" s="1029"/>
      <c r="W1" s="245"/>
      <c r="X1" s="246"/>
      <c r="Y1" s="128"/>
      <c r="Z1" s="128"/>
      <c r="AA1" s="1029" t="s">
        <v>225</v>
      </c>
      <c r="AB1" s="1029"/>
      <c r="AC1" s="1029"/>
      <c r="AD1" s="1029"/>
      <c r="AE1" s="1029"/>
      <c r="AF1" s="1029"/>
      <c r="AG1" s="1029"/>
      <c r="AH1" s="1029"/>
      <c r="AI1" s="1029"/>
      <c r="AJ1" s="248" t="s">
        <v>194</v>
      </c>
      <c r="AK1" s="248" t="s">
        <v>177</v>
      </c>
      <c r="AL1" s="248" t="s">
        <v>282</v>
      </c>
      <c r="AM1" s="387" t="s">
        <v>107</v>
      </c>
      <c r="AN1" s="387" t="s">
        <v>194</v>
      </c>
      <c r="AO1" s="387" t="s">
        <v>177</v>
      </c>
      <c r="AP1" s="387" t="s">
        <v>282</v>
      </c>
    </row>
    <row r="2" spans="1:42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R2" s="10" t="s">
        <v>190</v>
      </c>
      <c r="S2" s="10" t="s">
        <v>55</v>
      </c>
      <c r="T2" s="10" t="s">
        <v>3</v>
      </c>
      <c r="U2" s="140" t="s">
        <v>1</v>
      </c>
      <c r="V2" s="140" t="s">
        <v>215</v>
      </c>
      <c r="W2" s="249" t="s">
        <v>2</v>
      </c>
      <c r="X2" s="9" t="s">
        <v>223</v>
      </c>
      <c r="Y2" s="129" t="s">
        <v>226</v>
      </c>
      <c r="Z2" s="129" t="s">
        <v>227</v>
      </c>
      <c r="AA2" s="10" t="s">
        <v>194</v>
      </c>
      <c r="AB2" s="10" t="s">
        <v>177</v>
      </c>
      <c r="AC2" s="10" t="s">
        <v>282</v>
      </c>
      <c r="AD2" s="10" t="s">
        <v>3</v>
      </c>
      <c r="AE2" s="140" t="s">
        <v>228</v>
      </c>
      <c r="AF2" s="140" t="s">
        <v>229</v>
      </c>
      <c r="AG2" s="140" t="s">
        <v>283</v>
      </c>
      <c r="AH2" s="140" t="s">
        <v>230</v>
      </c>
      <c r="AI2" s="140" t="s">
        <v>215</v>
      </c>
      <c r="AJ2" s="249" t="s">
        <v>222</v>
      </c>
      <c r="AK2" s="249" t="s">
        <v>222</v>
      </c>
      <c r="AL2" s="249" t="s">
        <v>222</v>
      </c>
      <c r="AM2" s="388" t="s">
        <v>327</v>
      </c>
      <c r="AN2" s="388" t="s">
        <v>327</v>
      </c>
      <c r="AO2" s="388" t="s">
        <v>327</v>
      </c>
      <c r="AP2" s="388" t="s">
        <v>327</v>
      </c>
    </row>
    <row r="3" spans="1:42" ht="17.25" customHeight="1">
      <c r="B3" s="1031" t="s">
        <v>297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363"/>
      <c r="L3" s="363"/>
      <c r="M3" s="1031" t="s">
        <v>309</v>
      </c>
      <c r="N3" s="1032"/>
      <c r="O3" s="1032"/>
      <c r="P3" s="1033"/>
      <c r="R3" s="4"/>
      <c r="S3" s="4"/>
      <c r="T3" s="4"/>
      <c r="U3" s="4"/>
      <c r="V3" s="5"/>
      <c r="W3" s="265"/>
      <c r="X3" s="3"/>
      <c r="Y3" s="125"/>
      <c r="Z3" s="126"/>
      <c r="AA3" s="242"/>
      <c r="AB3" s="242"/>
      <c r="AC3" s="242"/>
      <c r="AD3" s="4"/>
      <c r="AE3" s="242"/>
      <c r="AF3" s="242"/>
      <c r="AG3" s="242"/>
      <c r="AH3" s="242"/>
      <c r="AI3" s="5"/>
      <c r="AJ3" s="1025"/>
      <c r="AK3" s="1025"/>
      <c r="AL3" s="1025"/>
      <c r="AM3" s="389"/>
      <c r="AN3" s="389"/>
      <c r="AO3" s="389"/>
      <c r="AP3" s="389"/>
    </row>
    <row r="4" spans="1:42" s="6" customFormat="1" ht="16.5">
      <c r="B4" s="319" t="s">
        <v>289</v>
      </c>
      <c r="C4" s="8" t="s">
        <v>288</v>
      </c>
      <c r="D4" s="313" t="s">
        <v>108</v>
      </c>
      <c r="E4" s="319" t="s">
        <v>289</v>
      </c>
      <c r="F4" s="7" t="s">
        <v>288</v>
      </c>
      <c r="G4" s="320" t="s">
        <v>108</v>
      </c>
      <c r="H4" s="319" t="s">
        <v>289</v>
      </c>
      <c r="I4" s="7" t="s">
        <v>288</v>
      </c>
      <c r="J4" s="313" t="s">
        <v>108</v>
      </c>
      <c r="K4" s="8"/>
      <c r="L4" s="8"/>
      <c r="M4" s="319" t="s">
        <v>289</v>
      </c>
      <c r="N4" s="364" t="s">
        <v>306</v>
      </c>
      <c r="O4" s="364" t="s">
        <v>307</v>
      </c>
      <c r="P4" s="365" t="s">
        <v>308</v>
      </c>
      <c r="R4" s="10"/>
      <c r="S4" s="10"/>
      <c r="T4" s="10"/>
      <c r="U4" s="5"/>
      <c r="V4" s="5"/>
      <c r="W4" s="256"/>
      <c r="X4" s="9"/>
      <c r="Y4" s="125"/>
      <c r="Z4" s="126"/>
      <c r="AA4" s="243"/>
      <c r="AB4" s="243"/>
      <c r="AC4" s="243"/>
      <c r="AD4" s="10"/>
      <c r="AE4" s="244"/>
      <c r="AF4" s="244"/>
      <c r="AG4" s="244"/>
      <c r="AH4" s="244"/>
      <c r="AI4" s="5"/>
      <c r="AJ4" s="5"/>
      <c r="AK4" s="5"/>
      <c r="AL4" s="5"/>
      <c r="AM4" s="390"/>
      <c r="AN4" s="390"/>
      <c r="AO4" s="390"/>
      <c r="AP4" s="390"/>
    </row>
    <row r="5" spans="1:42" s="6" customFormat="1" ht="15">
      <c r="A5" s="11"/>
      <c r="B5" s="335"/>
      <c r="C5" s="11" t="s">
        <v>287</v>
      </c>
      <c r="D5" s="314"/>
      <c r="E5" s="321"/>
      <c r="F5" s="11" t="s">
        <v>287</v>
      </c>
      <c r="G5" s="322"/>
      <c r="H5" s="321"/>
      <c r="I5" s="11" t="s">
        <v>287</v>
      </c>
      <c r="J5" s="322"/>
      <c r="K5" s="309"/>
      <c r="L5" s="309"/>
      <c r="M5" s="321"/>
      <c r="N5" s="11"/>
      <c r="O5" s="11"/>
      <c r="P5" s="322"/>
      <c r="R5" s="15"/>
      <c r="S5" s="15"/>
      <c r="T5" s="15"/>
      <c r="U5" s="16"/>
      <c r="V5" s="16"/>
      <c r="W5" s="159"/>
      <c r="X5" s="14"/>
      <c r="Y5" s="125"/>
      <c r="Z5" s="126"/>
      <c r="AA5" s="15"/>
      <c r="AB5" s="15"/>
      <c r="AC5" s="15"/>
      <c r="AD5" s="15"/>
      <c r="AE5" s="16"/>
      <c r="AF5" s="16"/>
      <c r="AG5" s="16"/>
      <c r="AH5" s="16"/>
      <c r="AI5" s="16"/>
      <c r="AJ5" s="16"/>
      <c r="AK5" s="16"/>
      <c r="AL5" s="16"/>
      <c r="AM5" s="391"/>
      <c r="AN5" s="391"/>
      <c r="AO5" s="391"/>
      <c r="AP5" s="391"/>
    </row>
    <row r="6" spans="1:42" ht="15">
      <c r="A6" s="17" t="s">
        <v>4</v>
      </c>
      <c r="B6" s="449" t="e">
        <f>IF($B$24&lt;&gt;0,$D$54,0)</f>
        <v>#REF!</v>
      </c>
      <c r="C6" s="18">
        <v>5.1848256458867814E-2</v>
      </c>
      <c r="D6" s="238">
        <v>4.2711307857142861E-2</v>
      </c>
      <c r="E6" s="323">
        <f>IF($E$24&lt;&gt;0,$F$54,0)</f>
        <v>0</v>
      </c>
      <c r="F6" s="18">
        <v>0.13644871697440611</v>
      </c>
      <c r="G6" s="238">
        <v>8.7306307857142856E-2</v>
      </c>
      <c r="H6" s="323">
        <f>IF($H$24&lt;&gt;0,$H$54,0)</f>
        <v>0</v>
      </c>
      <c r="I6" s="18">
        <v>0.48991089907521851</v>
      </c>
      <c r="J6" s="238">
        <v>0.34557399999999999</v>
      </c>
      <c r="K6" s="18"/>
      <c r="L6" s="18"/>
      <c r="M6" s="323" t="e">
        <f>(B6*B$24+E6*E$24+H6*H$24)/M$24</f>
        <v>#REF!</v>
      </c>
      <c r="N6" s="18" t="e">
        <f>M6</f>
        <v>#REF!</v>
      </c>
      <c r="O6" s="18" t="e">
        <f>M6</f>
        <v>#REF!</v>
      </c>
      <c r="P6" s="238" t="e">
        <f>M6-O6</f>
        <v>#REF!</v>
      </c>
      <c r="Q6" s="1" t="e">
        <f>M6*$M$24</f>
        <v>#REF!</v>
      </c>
      <c r="R6" s="24"/>
      <c r="S6" s="21"/>
      <c r="T6" s="21"/>
      <c r="U6" s="2"/>
      <c r="V6" s="2"/>
      <c r="W6" s="159"/>
      <c r="X6" s="20"/>
      <c r="Y6" s="125"/>
      <c r="Z6" s="126"/>
      <c r="AA6" s="21"/>
      <c r="AB6" s="21"/>
      <c r="AC6" s="21"/>
      <c r="AD6" s="21"/>
      <c r="AE6" s="2"/>
      <c r="AF6" s="2"/>
      <c r="AG6" s="2"/>
      <c r="AH6" s="2"/>
      <c r="AI6" s="2"/>
      <c r="AJ6" s="2"/>
      <c r="AK6" s="2"/>
      <c r="AL6" s="2"/>
      <c r="AM6" s="253"/>
      <c r="AN6" s="253"/>
      <c r="AO6" s="253"/>
      <c r="AP6" s="253"/>
    </row>
    <row r="7" spans="1:42" ht="15">
      <c r="A7" s="17" t="s">
        <v>5</v>
      </c>
      <c r="B7" s="324">
        <f>IF($B$24&lt;&gt;0,$D$102,0)</f>
        <v>6.4000000000000003E-3</v>
      </c>
      <c r="C7" s="23">
        <v>7.4774681724732069E-3</v>
      </c>
      <c r="D7" s="315">
        <v>4.2586033477899779E-3</v>
      </c>
      <c r="E7" s="324">
        <f>IF($E$24&lt;&gt;0,$H$102,0)</f>
        <v>0</v>
      </c>
      <c r="F7" s="23">
        <v>5.1789467822632336E-2</v>
      </c>
      <c r="G7" s="325">
        <v>5.0065205607455927E-2</v>
      </c>
      <c r="H7" s="324">
        <f>IF($H$24&lt;&gt;0,$H$102,0)</f>
        <v>0</v>
      </c>
      <c r="I7" s="23">
        <v>5.970646436615077E-2</v>
      </c>
      <c r="J7" s="315">
        <v>5.0065205607455927E-2</v>
      </c>
      <c r="K7" s="23"/>
      <c r="L7" s="23"/>
      <c r="M7" s="324">
        <f t="shared" ref="M7:M11" si="0">(B7*B$24+E7*E$24+H7*H$24)/M$24</f>
        <v>6.4000000000000003E-3</v>
      </c>
      <c r="N7" s="23">
        <v>6.5396806966618289E-3</v>
      </c>
      <c r="O7" s="23" t="e">
        <f>IF($M$22&lt;$N$22,M7,IF($M$12&lt;$N$12,M7,IF(AND($M$12&gt;$N$12,$M$20&lt;$N$20),(($N$7+$N$8+$N$9+$N$10+$N$11)+($N$20-$M$20))/($M$7+$M$8+$M$9+$M$10+$M$11)*M7,M7/($M$7+$M$8+$M$9+$M$10+$M$11)*($N$7+$N$8+$N$9+$N$10+$N$11))))</f>
        <v>#REF!</v>
      </c>
      <c r="P7" s="315" t="e">
        <f t="shared" ref="P7:P11" si="1">M7-O7</f>
        <v>#REF!</v>
      </c>
      <c r="Q7" s="1">
        <f t="shared" ref="Q7:Q11" si="2">M7*$M$24</f>
        <v>1651.2</v>
      </c>
      <c r="R7" s="24">
        <f>ROUND($G$96*$H$96,0)</f>
        <v>1651200</v>
      </c>
      <c r="S7" s="24">
        <v>0</v>
      </c>
      <c r="T7" s="24">
        <f>SUM(R7:S7)</f>
        <v>1651200</v>
      </c>
      <c r="U7" s="19">
        <f>G96</f>
        <v>16512000</v>
      </c>
      <c r="V7" s="25">
        <f>T7/U7</f>
        <v>0.1</v>
      </c>
      <c r="W7" s="159" t="s">
        <v>6</v>
      </c>
      <c r="X7" s="20" t="s">
        <v>7</v>
      </c>
      <c r="Y7" s="125">
        <v>630010</v>
      </c>
      <c r="Z7" s="126">
        <v>1</v>
      </c>
      <c r="AA7" s="24">
        <f>ROUND($B$102*$C$102*$B$24*1000,0)</f>
        <v>1651200</v>
      </c>
      <c r="AB7" s="24">
        <f>ROUND($F$102*$G$102*$E$24*1000,0)</f>
        <v>0</v>
      </c>
      <c r="AC7" s="24">
        <f>ROUND($F$102*$G$102*$H$24*1000,0)</f>
        <v>0</v>
      </c>
      <c r="AD7" s="24">
        <f>SUM(AA7:AC7)</f>
        <v>1651200</v>
      </c>
      <c r="AE7" s="19">
        <f>$B$102*$B$24*1000</f>
        <v>16512000</v>
      </c>
      <c r="AF7" s="19">
        <f>$F$102*$E$24*1000</f>
        <v>0</v>
      </c>
      <c r="AG7" s="19">
        <f>$F$102*$H$24*1000</f>
        <v>0</v>
      </c>
      <c r="AH7" s="19">
        <f>SUM(AE7:AG7)</f>
        <v>16512000</v>
      </c>
      <c r="AI7" s="25">
        <f>AD7/AH7</f>
        <v>0.1</v>
      </c>
      <c r="AJ7" s="56">
        <f>ROUND(AE7/$B$24,3)</f>
        <v>64</v>
      </c>
      <c r="AK7" s="56" t="e">
        <f>ROUND(AF7/$E$24,3)</f>
        <v>#DIV/0!</v>
      </c>
      <c r="AL7" s="56">
        <f>IF($H$24&lt;&gt;0,ROUND(AG7/$H$24,3),0)</f>
        <v>0</v>
      </c>
      <c r="AM7" s="241" t="e">
        <f>P7*$M$24</f>
        <v>#REF!</v>
      </c>
      <c r="AN7" s="241" t="e">
        <f>$AM7/$AH7*AE7</f>
        <v>#REF!</v>
      </c>
      <c r="AO7" s="241" t="e">
        <f t="shared" ref="AO7:AP11" si="3">$AM7/$AH7*AF7</f>
        <v>#REF!</v>
      </c>
      <c r="AP7" s="241" t="e">
        <f t="shared" si="3"/>
        <v>#REF!</v>
      </c>
    </row>
    <row r="8" spans="1:42" ht="15">
      <c r="A8" s="26" t="s">
        <v>8</v>
      </c>
      <c r="B8" s="326">
        <f>IF($B$24&lt;&gt;0,$D$107,0)</f>
        <v>1.7188146790697675E-2</v>
      </c>
      <c r="C8" s="23">
        <v>2.6943144720550712E-2</v>
      </c>
      <c r="D8" s="315">
        <v>2.1338942513967681E-2</v>
      </c>
      <c r="E8" s="326">
        <f>IF($E$24&lt;&gt;0,$H$107,0)</f>
        <v>0</v>
      </c>
      <c r="F8" s="23">
        <v>2.268105439077309E-2</v>
      </c>
      <c r="G8" s="315">
        <v>1.1887447427872407E-2</v>
      </c>
      <c r="H8" s="326">
        <f>IF($H$24&lt;&gt;0,$H$107,0)</f>
        <v>0</v>
      </c>
      <c r="I8" s="23">
        <v>2.3336341873140834E-2</v>
      </c>
      <c r="J8" s="315">
        <v>1.1887447427872407E-2</v>
      </c>
      <c r="K8" s="23"/>
      <c r="L8" s="23"/>
      <c r="M8" s="326">
        <f t="shared" si="0"/>
        <v>1.7188146790697679E-2</v>
      </c>
      <c r="N8" s="23">
        <v>2.9646432510885341E-2</v>
      </c>
      <c r="O8" s="23" t="e">
        <f>IF($M$22&lt;$N$22,M8,IF($M$12&lt;$N$12,M8,IF(AND($M$12&gt;$N$12,$M$20&lt;$N$20),(($N$7+$N$8+$N$9+$N$10+$N$11)+($N$20-$M$20))/($M$7+$M$8+$M$9+$M$10+$M$11)*M8,M8/($M$7+$M$8+$M$9+$M$10+$M$11)*($N$7+$N$8+$N$9+$N$10+$N$11))))</f>
        <v>#REF!</v>
      </c>
      <c r="P8" s="315" t="e">
        <f t="shared" si="1"/>
        <v>#REF!</v>
      </c>
      <c r="Q8" s="1">
        <f t="shared" si="2"/>
        <v>4434.5418720000007</v>
      </c>
      <c r="R8" s="24">
        <f>ROUND($D$96*$C$96,0)</f>
        <v>4434542</v>
      </c>
      <c r="S8" s="24">
        <v>0</v>
      </c>
      <c r="T8" s="24">
        <f>SUM(R8:S8)</f>
        <v>4434542</v>
      </c>
      <c r="U8" s="19">
        <f>C96*1000</f>
        <v>1130040000</v>
      </c>
      <c r="V8" s="25">
        <f>T8/U8</f>
        <v>3.9242345403702524E-3</v>
      </c>
      <c r="W8" s="159" t="s">
        <v>9</v>
      </c>
      <c r="X8" s="20" t="s">
        <v>10</v>
      </c>
      <c r="Y8" s="125" t="s">
        <v>75</v>
      </c>
      <c r="Z8" s="126">
        <v>1</v>
      </c>
      <c r="AA8" s="24">
        <f>ROUND($B$107*$C$107*$B$24*1000,0)</f>
        <v>4434542</v>
      </c>
      <c r="AB8" s="24">
        <f>ROUND($F$107*$G$107*$E$24*1000,0)</f>
        <v>0</v>
      </c>
      <c r="AC8" s="24">
        <f>ROUND($F$107*$G$107*$H$24*1000,0)</f>
        <v>0</v>
      </c>
      <c r="AD8" s="24">
        <f t="shared" ref="AD8:AD11" si="4">SUM(AA8:AC8)</f>
        <v>4434542</v>
      </c>
      <c r="AE8" s="19">
        <f>$B$107*$B$24*1000*1000</f>
        <v>1130040000</v>
      </c>
      <c r="AF8" s="19">
        <f>$F$107*$E$24*1000*1000</f>
        <v>0</v>
      </c>
      <c r="AG8" s="19">
        <f>$F$107*$H$24*1000*1000</f>
        <v>0</v>
      </c>
      <c r="AH8" s="19">
        <f t="shared" ref="AH8:AH11" si="5">SUM(AE8:AG8)</f>
        <v>1130040000</v>
      </c>
      <c r="AI8" s="25">
        <f>AD8/AH8</f>
        <v>3.9242345403702524E-3</v>
      </c>
      <c r="AJ8" s="56">
        <f>ROUND(AE8/$B$24,3)</f>
        <v>4380</v>
      </c>
      <c r="AK8" s="56" t="e">
        <f>ROUND(AF8/$E$24,3)</f>
        <v>#DIV/0!</v>
      </c>
      <c r="AL8" s="56">
        <f>IF($H$24&lt;&gt;0,ROUND(AG8/$H$24,3),0)</f>
        <v>0</v>
      </c>
      <c r="AM8" s="241" t="e">
        <f>P8*$M$24</f>
        <v>#REF!</v>
      </c>
      <c r="AN8" s="241" t="e">
        <f>$AM8/$AH8*AE8</f>
        <v>#REF!</v>
      </c>
      <c r="AO8" s="241" t="e">
        <f t="shared" si="3"/>
        <v>#REF!</v>
      </c>
      <c r="AP8" s="241" t="e">
        <f t="shared" si="3"/>
        <v>#REF!</v>
      </c>
    </row>
    <row r="9" spans="1:42" ht="15">
      <c r="A9" s="17" t="s">
        <v>11</v>
      </c>
      <c r="B9" s="326">
        <f>IF($B$24&lt;&gt;0,$H$117,0)</f>
        <v>8.9147281395348839E-3</v>
      </c>
      <c r="C9" s="23">
        <v>1.4341646397233654E-2</v>
      </c>
      <c r="D9" s="315">
        <v>1.2419503219871205E-2</v>
      </c>
      <c r="E9" s="326">
        <f>IF($E$24&lt;&gt;0,$H$117,0)</f>
        <v>0</v>
      </c>
      <c r="F9" s="23">
        <v>1.8091919034933433E-2</v>
      </c>
      <c r="G9" s="315">
        <v>1.2419503219871205E-2</v>
      </c>
      <c r="H9" s="326">
        <f>IF($H$24&lt;&gt;0,$H$117,0)</f>
        <v>0</v>
      </c>
      <c r="I9" s="23">
        <v>2.9451034169154577E-2</v>
      </c>
      <c r="J9" s="315">
        <v>1.2419503219871205E-2</v>
      </c>
      <c r="K9" s="23"/>
      <c r="L9" s="23"/>
      <c r="M9" s="326">
        <f t="shared" si="0"/>
        <v>8.9147281395348839E-3</v>
      </c>
      <c r="N9" s="23">
        <v>1.4439611030478954E-2</v>
      </c>
      <c r="O9" s="23" t="e">
        <f>IF($M$22&lt;$N$22,M9,IF($M$12&lt;$N$12,M9,IF(AND($M$12&gt;$N$12,$M$20&lt;$N$20),(($N$7+$N$8+$N$9+$N$10+$N$11)+($N$20-$M$20))/($M$7+$M$8+$M$9+$M$10+$M$11)*M9,M9/($M$7+$M$8+$M$9+$M$10+$M$11)*($N$7+$N$8+$N$9+$N$10+$N$11))))</f>
        <v>#REF!</v>
      </c>
      <c r="P9" s="315" t="e">
        <f t="shared" si="1"/>
        <v>#REF!</v>
      </c>
      <c r="Q9" s="1">
        <f t="shared" si="2"/>
        <v>2299.9998599999999</v>
      </c>
      <c r="R9" s="24">
        <f>ROUND($G$117,0)</f>
        <v>2300000</v>
      </c>
      <c r="S9" s="24">
        <v>0</v>
      </c>
      <c r="T9" s="24">
        <f>SUM(R9:S9)</f>
        <v>2300000</v>
      </c>
      <c r="U9" s="19">
        <f>$B$25*1000</f>
        <v>258000000</v>
      </c>
      <c r="V9" s="25">
        <f>T9/U9</f>
        <v>8.9147286821705425E-3</v>
      </c>
      <c r="W9" s="159" t="s">
        <v>12</v>
      </c>
      <c r="X9" s="20" t="s">
        <v>13</v>
      </c>
      <c r="Y9" s="125" t="s">
        <v>76</v>
      </c>
      <c r="Z9" s="126">
        <v>1</v>
      </c>
      <c r="AA9" s="24">
        <f>$H$117*$B$24*1000</f>
        <v>2299999.86</v>
      </c>
      <c r="AB9" s="24">
        <f>$H$117*$E$24*1000</f>
        <v>0</v>
      </c>
      <c r="AC9" s="24">
        <f>$H$117*$H$24*1000</f>
        <v>0</v>
      </c>
      <c r="AD9" s="24">
        <f t="shared" si="4"/>
        <v>2299999.86</v>
      </c>
      <c r="AE9" s="19">
        <f>$B$24*1000</f>
        <v>258000000</v>
      </c>
      <c r="AF9" s="19">
        <f>$E$24*1000</f>
        <v>0</v>
      </c>
      <c r="AG9" s="19">
        <f>$H$24*1000</f>
        <v>0</v>
      </c>
      <c r="AH9" s="19">
        <f t="shared" si="5"/>
        <v>258000000</v>
      </c>
      <c r="AI9" s="25">
        <f>AD9/AH9</f>
        <v>8.9147281395348839E-3</v>
      </c>
      <c r="AJ9" s="56">
        <f>ROUND(AE9/$B$24,3)</f>
        <v>1000</v>
      </c>
      <c r="AK9" s="56" t="e">
        <f>ROUND(AF9/$E$24,3)</f>
        <v>#DIV/0!</v>
      </c>
      <c r="AL9" s="56">
        <f>IF($H$24&lt;&gt;0,ROUND(AG9/$H$24,3),0)</f>
        <v>0</v>
      </c>
      <c r="AM9" s="241" t="e">
        <f>P9*$M$24</f>
        <v>#REF!</v>
      </c>
      <c r="AN9" s="241" t="e">
        <f t="shared" ref="AN9:AN11" si="6">$AM9/$AH9*AE9</f>
        <v>#REF!</v>
      </c>
      <c r="AO9" s="241" t="e">
        <f t="shared" si="3"/>
        <v>#REF!</v>
      </c>
      <c r="AP9" s="241" t="e">
        <f t="shared" si="3"/>
        <v>#REF!</v>
      </c>
    </row>
    <row r="10" spans="1:42" ht="15">
      <c r="A10" s="17" t="s">
        <v>14</v>
      </c>
      <c r="B10" s="326">
        <f>IF($B$24&lt;&gt;0,$H$121,0)</f>
        <v>7.7519379844961239E-4</v>
      </c>
      <c r="C10" s="23">
        <v>1.7571987252344094E-3</v>
      </c>
      <c r="D10" s="315">
        <v>6.8997240110395589E-4</v>
      </c>
      <c r="E10" s="326">
        <f>IF($E$24&lt;&gt;0,$H$121,0)</f>
        <v>0</v>
      </c>
      <c r="F10" s="23">
        <v>7.0933264503030852E-3</v>
      </c>
      <c r="G10" s="315">
        <v>6.8997240110395589E-4</v>
      </c>
      <c r="H10" s="326">
        <f>IF($H$24&lt;&gt;0,$H$121,0)</f>
        <v>0</v>
      </c>
      <c r="I10" s="23">
        <v>1.1193950669625665E-2</v>
      </c>
      <c r="J10" s="315">
        <v>6.8997240110395589E-4</v>
      </c>
      <c r="K10" s="23"/>
      <c r="L10" s="23"/>
      <c r="M10" s="326">
        <f t="shared" si="0"/>
        <v>7.7519379844961239E-4</v>
      </c>
      <c r="N10" s="23">
        <v>1.1089114658925979E-3</v>
      </c>
      <c r="O10" s="23" t="e">
        <f>IF($M$22&lt;$N$22,M10,IF($M$12&lt;$N$12,M10,IF(AND($M$12&gt;$N$12,$M$20&lt;$N$20),(($N$7+$N$8+$N$9+$N$10+$N$11)+($N$20-$M$20))/($M$7+$M$8+$M$9+$M$10+$M$11)*M10,M10/($M$7+$M$8+$M$9+$M$10+$M$11)*($N$7+$N$8+$N$9+$N$10+$N$11))))</f>
        <v>#REF!</v>
      </c>
      <c r="P10" s="315" t="e">
        <f t="shared" si="1"/>
        <v>#REF!</v>
      </c>
      <c r="Q10" s="1">
        <f t="shared" si="2"/>
        <v>200</v>
      </c>
      <c r="R10" s="24">
        <f>ROUND($G$121,0)</f>
        <v>200000</v>
      </c>
      <c r="S10" s="24">
        <v>0</v>
      </c>
      <c r="T10" s="24">
        <f>SUM(R10:S10)</f>
        <v>200000</v>
      </c>
      <c r="U10" s="19">
        <f>$B$25*1000</f>
        <v>258000000</v>
      </c>
      <c r="V10" s="25">
        <f>T10/U10</f>
        <v>7.7519379844961239E-4</v>
      </c>
      <c r="W10" s="159" t="s">
        <v>12</v>
      </c>
      <c r="X10" s="20" t="s">
        <v>15</v>
      </c>
      <c r="Y10" s="125" t="s">
        <v>77</v>
      </c>
      <c r="Z10" s="126">
        <v>1</v>
      </c>
      <c r="AA10" s="24">
        <f>$H$121*$B$24*1000</f>
        <v>200000</v>
      </c>
      <c r="AB10" s="24">
        <f>$H$121*$E$24*1000</f>
        <v>0</v>
      </c>
      <c r="AC10" s="24">
        <f>$H$121*$H$24*1000</f>
        <v>0</v>
      </c>
      <c r="AD10" s="24">
        <f t="shared" si="4"/>
        <v>200000</v>
      </c>
      <c r="AE10" s="19">
        <f>$B$24*1000</f>
        <v>258000000</v>
      </c>
      <c r="AF10" s="19">
        <f>$E$24*1000</f>
        <v>0</v>
      </c>
      <c r="AG10" s="19">
        <f>$H$24*1000</f>
        <v>0</v>
      </c>
      <c r="AH10" s="19">
        <f t="shared" si="5"/>
        <v>258000000</v>
      </c>
      <c r="AI10" s="25">
        <f>AD10/AH10</f>
        <v>7.7519379844961239E-4</v>
      </c>
      <c r="AJ10" s="56">
        <f>ROUND(AE10/$B$24,3)</f>
        <v>1000</v>
      </c>
      <c r="AK10" s="56" t="e">
        <f>ROUND(AF10/$E$24,3)</f>
        <v>#DIV/0!</v>
      </c>
      <c r="AL10" s="56">
        <f>IF($H$24&lt;&gt;0,ROUND(AG10/$H$24,3),0)</f>
        <v>0</v>
      </c>
      <c r="AM10" s="241" t="e">
        <f>P10*$M$24</f>
        <v>#REF!</v>
      </c>
      <c r="AN10" s="241" t="e">
        <f t="shared" si="6"/>
        <v>#REF!</v>
      </c>
      <c r="AO10" s="241" t="e">
        <f t="shared" si="3"/>
        <v>#REF!</v>
      </c>
      <c r="AP10" s="241" t="e">
        <f t="shared" si="3"/>
        <v>#REF!</v>
      </c>
    </row>
    <row r="11" spans="1:42" ht="15">
      <c r="A11" s="17" t="s">
        <v>16</v>
      </c>
      <c r="B11" s="336">
        <f>IF($B$24&lt;&gt;0,$H$124,0)</f>
        <v>2.9069767441860465E-3</v>
      </c>
      <c r="C11" s="27">
        <v>8.1960496265715312E-3</v>
      </c>
      <c r="D11" s="316">
        <v>2.2999080036798527E-3</v>
      </c>
      <c r="E11" s="327">
        <f>IF($E$24&lt;&gt;0,$H$124,0)</f>
        <v>0</v>
      </c>
      <c r="F11" s="27">
        <v>1.9526413286256691E-2</v>
      </c>
      <c r="G11" s="317">
        <v>2.2999080036798527E-3</v>
      </c>
      <c r="H11" s="327">
        <f>IF($H$24&lt;&gt;0,$H$124,0)</f>
        <v>0</v>
      </c>
      <c r="I11" s="27">
        <v>1.9444311706705755E-2</v>
      </c>
      <c r="J11" s="317">
        <v>2.2999080036798527E-3</v>
      </c>
      <c r="K11" s="31"/>
      <c r="L11" s="31"/>
      <c r="M11" s="327">
        <f t="shared" si="0"/>
        <v>2.9069767441860465E-3</v>
      </c>
      <c r="N11" s="27">
        <v>3.106188679245283E-3</v>
      </c>
      <c r="O11" s="27" t="e">
        <f>IF($M$22&lt;$N$22,M11,IF($M$12&lt;$N$12,M11,IF(AND($M$12&gt;$N$12,$M$20&lt;$N$20),(($N$7+$N$8+$N$9+$N$10+$N$11)+($N$20-$M$20))/($M$7+$M$8+$M$9+$M$10+$M$11)*M11,M11/($M$7+$M$8+$M$9+$M$10+$M$11)*($N$7+$N$8+$N$9+$N$10+$N$11))))</f>
        <v>#REF!</v>
      </c>
      <c r="P11" s="317" t="e">
        <f t="shared" si="1"/>
        <v>#REF!</v>
      </c>
      <c r="Q11" s="372">
        <f t="shared" si="2"/>
        <v>750</v>
      </c>
      <c r="R11" s="28">
        <f>ROUND($G$124,0)</f>
        <v>750000</v>
      </c>
      <c r="S11" s="28">
        <v>0</v>
      </c>
      <c r="T11" s="28">
        <f>SUM(R11:S11)</f>
        <v>750000</v>
      </c>
      <c r="U11" s="19">
        <f>$B$25*1000</f>
        <v>258000000</v>
      </c>
      <c r="V11" s="25">
        <f>T11/U11</f>
        <v>2.9069767441860465E-3</v>
      </c>
      <c r="W11" s="159" t="s">
        <v>12</v>
      </c>
      <c r="X11" s="20" t="s">
        <v>17</v>
      </c>
      <c r="Y11" s="125" t="s">
        <v>78</v>
      </c>
      <c r="Z11" s="127" t="s">
        <v>78</v>
      </c>
      <c r="AA11" s="28">
        <f>$H$124*$B$24*1000</f>
        <v>750000</v>
      </c>
      <c r="AB11" s="28">
        <f>$H$124*$E$24*1000</f>
        <v>0</v>
      </c>
      <c r="AC11" s="28">
        <f>$H$124*$H$24*1000</f>
        <v>0</v>
      </c>
      <c r="AD11" s="28">
        <f t="shared" si="4"/>
        <v>750000</v>
      </c>
      <c r="AE11" s="19">
        <f>$B$24*1000</f>
        <v>258000000</v>
      </c>
      <c r="AF11" s="19">
        <f>$E$24*1000</f>
        <v>0</v>
      </c>
      <c r="AG11" s="19">
        <f>$H$24*1000</f>
        <v>0</v>
      </c>
      <c r="AH11" s="19">
        <f t="shared" si="5"/>
        <v>258000000</v>
      </c>
      <c r="AI11" s="25">
        <f>AD11/AH11</f>
        <v>2.9069767441860465E-3</v>
      </c>
      <c r="AJ11" s="56">
        <f>ROUND(AE11/$B$24,3)</f>
        <v>1000</v>
      </c>
      <c r="AK11" s="56" t="e">
        <f>ROUND(AF11/$E$24,3)</f>
        <v>#DIV/0!</v>
      </c>
      <c r="AL11" s="56">
        <f>IF($H$24&lt;&gt;0,ROUND(AG11/$H$24,3),0)</f>
        <v>0</v>
      </c>
      <c r="AM11" s="384" t="e">
        <f>P11*$M$24</f>
        <v>#REF!</v>
      </c>
      <c r="AN11" s="384" t="e">
        <f t="shared" si="6"/>
        <v>#REF!</v>
      </c>
      <c r="AO11" s="384" t="e">
        <f t="shared" si="3"/>
        <v>#REF!</v>
      </c>
      <c r="AP11" s="384" t="e">
        <f t="shared" si="3"/>
        <v>#REF!</v>
      </c>
    </row>
    <row r="12" spans="1:42">
      <c r="A12" s="192" t="s">
        <v>169</v>
      </c>
      <c r="B12" s="326" t="e">
        <f t="shared" ref="B12:D12" si="7">SUM(B6:B11)</f>
        <v>#REF!</v>
      </c>
      <c r="C12" s="23">
        <f t="shared" si="7"/>
        <v>0.11056376410093133</v>
      </c>
      <c r="D12" s="315">
        <f t="shared" si="7"/>
        <v>8.3718237343555532E-2</v>
      </c>
      <c r="E12" s="326">
        <f>SUM(E6:E11)</f>
        <v>0</v>
      </c>
      <c r="F12" s="23">
        <f t="shared" ref="F12" si="8">SUM(F6:F11)</f>
        <v>0.25563089795930471</v>
      </c>
      <c r="G12" s="315">
        <f>SUM(G6:G11)</f>
        <v>0.1646683445171262</v>
      </c>
      <c r="H12" s="326">
        <f>SUM(H6:H11)</f>
        <v>0</v>
      </c>
      <c r="I12" s="23">
        <f t="shared" ref="I12" si="9">SUM(I6:I11)</f>
        <v>0.63304300185999618</v>
      </c>
      <c r="J12" s="315">
        <f>SUM(J6:J11)</f>
        <v>0.42293603665998336</v>
      </c>
      <c r="K12" s="23"/>
      <c r="L12" s="23"/>
      <c r="M12" s="326" t="e">
        <f>SUM(M6:M11)</f>
        <v>#REF!</v>
      </c>
      <c r="N12" s="23" t="e">
        <f t="shared" ref="N12:P12" si="10">SUM(N6:N11)</f>
        <v>#REF!</v>
      </c>
      <c r="O12" s="23" t="e">
        <f t="shared" si="10"/>
        <v>#REF!</v>
      </c>
      <c r="P12" s="315" t="e">
        <f t="shared" si="10"/>
        <v>#REF!</v>
      </c>
      <c r="Q12" s="1">
        <f>SUM(Q7:Q11)</f>
        <v>9335.7417320000004</v>
      </c>
      <c r="R12" s="29">
        <f>SUM(R7:R11)</f>
        <v>9335742</v>
      </c>
      <c r="S12" s="29">
        <f>SUM(S7:S11)</f>
        <v>0</v>
      </c>
      <c r="T12" s="29">
        <f>SUM(T7:T11)</f>
        <v>9335742</v>
      </c>
      <c r="U12" s="19"/>
      <c r="V12" s="19"/>
      <c r="W12" s="159"/>
      <c r="X12" s="20"/>
      <c r="Y12" s="125"/>
      <c r="Z12" s="127"/>
      <c r="AA12" s="29">
        <f>SUM(AA7:AA11)</f>
        <v>9335741.8599999994</v>
      </c>
      <c r="AB12" s="29">
        <f>SUM(AB7:AB11)</f>
        <v>0</v>
      </c>
      <c r="AC12" s="29">
        <f>SUM(AC7:AC11)</f>
        <v>0</v>
      </c>
      <c r="AD12" s="29">
        <f>SUM(AD7:AD11)</f>
        <v>9335741.8599999994</v>
      </c>
      <c r="AE12" s="19"/>
      <c r="AF12" s="19"/>
      <c r="AG12" s="19"/>
      <c r="AH12" s="19"/>
      <c r="AI12" s="19"/>
      <c r="AJ12" s="19"/>
      <c r="AK12" s="19"/>
      <c r="AL12" s="19"/>
      <c r="AM12" s="102" t="e">
        <f>SUM(AM7:AM11)</f>
        <v>#REF!</v>
      </c>
      <c r="AN12" s="102" t="e">
        <f t="shared" ref="AN12:AP12" si="11">SUM(AN7:AN11)</f>
        <v>#REF!</v>
      </c>
      <c r="AO12" s="102" t="e">
        <f t="shared" si="11"/>
        <v>#REF!</v>
      </c>
      <c r="AP12" s="102" t="e">
        <f t="shared" si="11"/>
        <v>#REF!</v>
      </c>
    </row>
    <row r="13" spans="1:42">
      <c r="A13" s="17"/>
      <c r="B13" s="328"/>
      <c r="C13" s="23"/>
      <c r="D13" s="315"/>
      <c r="E13" s="328"/>
      <c r="F13" s="23"/>
      <c r="G13" s="329"/>
      <c r="H13" s="326"/>
      <c r="I13" s="23"/>
      <c r="J13" s="315"/>
      <c r="K13" s="23"/>
      <c r="L13" s="23"/>
      <c r="M13" s="326"/>
      <c r="N13" s="23"/>
      <c r="O13" s="23"/>
      <c r="P13" s="315"/>
      <c r="R13" s="29"/>
      <c r="S13" s="29"/>
      <c r="T13" s="29"/>
      <c r="U13" s="19"/>
      <c r="V13" s="19"/>
      <c r="W13" s="159"/>
      <c r="X13" s="20"/>
      <c r="Y13" s="125"/>
      <c r="Z13" s="127"/>
      <c r="AA13" s="29"/>
      <c r="AB13" s="29"/>
      <c r="AC13" s="29"/>
      <c r="AD13" s="29"/>
      <c r="AE13" s="19"/>
      <c r="AF13" s="19"/>
      <c r="AG13" s="19"/>
      <c r="AH13" s="19"/>
      <c r="AI13" s="19"/>
      <c r="AJ13" s="19"/>
      <c r="AK13" s="19"/>
      <c r="AL13" s="19"/>
      <c r="AM13" s="102"/>
      <c r="AN13" s="102"/>
      <c r="AO13" s="102"/>
      <c r="AP13" s="102"/>
    </row>
    <row r="14" spans="1:42">
      <c r="A14" s="17" t="s">
        <v>18</v>
      </c>
      <c r="B14" s="326">
        <f>IF($B$24&lt;&gt;0,$F$87/$B$24/1000,0)</f>
        <v>1.5030526894058014E-2</v>
      </c>
      <c r="C14" s="23">
        <v>1.1406821711646385E-2</v>
      </c>
      <c r="D14" s="315">
        <v>8.6668016661186568E-3</v>
      </c>
      <c r="E14" s="326">
        <f>IF($E$24&lt;&gt;0,$H$87/($E$24+$H$24)/1000,0)</f>
        <v>0</v>
      </c>
      <c r="F14" s="23">
        <v>4.6935867548224E-2</v>
      </c>
      <c r="G14" s="315">
        <v>3.3876227767366693E-2</v>
      </c>
      <c r="H14" s="326">
        <f>IF($H$24&lt;&gt;0,$H$87/($E$24+$H$24)/1000,0)</f>
        <v>0</v>
      </c>
      <c r="I14" s="23">
        <v>4.6340890116036294E-2</v>
      </c>
      <c r="J14" s="315">
        <v>3.3876227767366693E-2</v>
      </c>
      <c r="K14" s="23"/>
      <c r="L14" s="23"/>
      <c r="M14" s="326">
        <f t="shared" ref="M14:M19" si="12">(B14*B$24+E14*E$24+H14*H$24)/M$24</f>
        <v>1.5030526894058014E-2</v>
      </c>
      <c r="N14" s="23">
        <v>1.130844702467344E-2</v>
      </c>
      <c r="O14" s="23" t="e">
        <f>IF($M$22&lt;$N$22,M14,IF($M$20&lt;$N$20,M14,IF(AND($M$20&gt;$N$20,$M$12&lt;$N$12),($N$20+($N$12-$M$12))/$M$20*M14,M14/$M$20*$N$20)))</f>
        <v>#REF!</v>
      </c>
      <c r="P14" s="315" t="e">
        <f t="shared" ref="P14:P19" si="13">M14-O14</f>
        <v>#REF!</v>
      </c>
      <c r="Q14" s="1">
        <f t="shared" ref="Q14:Q19" si="14">M14*$M$24</f>
        <v>3877.8759386669676</v>
      </c>
      <c r="R14" s="24">
        <f>ROUND($D$76,0)</f>
        <v>3877876</v>
      </c>
      <c r="S14" s="24">
        <f>ROUND($D$75,0)</f>
        <v>129922</v>
      </c>
      <c r="T14" s="24">
        <f t="shared" ref="T14:T19" si="15">SUM(R14:S14)</f>
        <v>4007798</v>
      </c>
      <c r="U14" s="19">
        <f>$B$74</f>
        <v>124354.79999999999</v>
      </c>
      <c r="V14" s="25">
        <f t="shared" ref="V14:V19" si="16">T14/U14</f>
        <v>32.228735842926852</v>
      </c>
      <c r="W14" s="159" t="s">
        <v>19</v>
      </c>
      <c r="X14" s="20" t="s">
        <v>20</v>
      </c>
      <c r="Y14" s="125" t="s">
        <v>78</v>
      </c>
      <c r="Z14" s="127" t="s">
        <v>78</v>
      </c>
      <c r="AA14" s="24">
        <f>$F87</f>
        <v>3877875.9386669677</v>
      </c>
      <c r="AB14" s="24">
        <f>IF(($E$24+$H$24)&lt;&gt;0,$H87/($E$24+$H$24)*E24,0)</f>
        <v>0</v>
      </c>
      <c r="AC14" s="24">
        <f>IF(($E$24+$H$24)&lt;&gt;0,$H87/($E$24+$H$24)*H24,0)</f>
        <v>0</v>
      </c>
      <c r="AD14" s="24">
        <f t="shared" ref="AD14:AD19" si="17">SUM(AA14:AC14)</f>
        <v>3877875.9386669677</v>
      </c>
      <c r="AE14" s="19">
        <f>$E87</f>
        <v>120323.54999999999</v>
      </c>
      <c r="AF14" s="19">
        <f>IF(($E$24+$H$24)&lt;&gt;0,$G87/($E$24+$H$24)*E24,0)</f>
        <v>0</v>
      </c>
      <c r="AG14" s="19">
        <f>IF(($E$24+$H$24)&lt;&gt;0,$G87/($E$24+$H$24)*H24,0)</f>
        <v>0</v>
      </c>
      <c r="AH14" s="19">
        <f t="shared" ref="AH14:AH19" si="18">SUM(AE14:AG14)</f>
        <v>120323.54999999999</v>
      </c>
      <c r="AI14" s="25">
        <f t="shared" ref="AI14:AI19" si="19">AD14/AH14</f>
        <v>32.228736092535236</v>
      </c>
      <c r="AJ14" s="56">
        <f t="shared" ref="AJ14:AJ19" si="20">ROUND(AE14/$B$24,3)</f>
        <v>0.46600000000000003</v>
      </c>
      <c r="AK14" s="56" t="e">
        <f t="shared" ref="AK14:AK19" si="21">ROUND(AF14/$E$24,3)</f>
        <v>#DIV/0!</v>
      </c>
      <c r="AL14" s="56">
        <f t="shared" ref="AL14:AL19" si="22">IF($H$24&lt;&gt;0,ROUND(AG14/$H$24,3),0)</f>
        <v>0</v>
      </c>
      <c r="AM14" s="241" t="e">
        <f t="shared" ref="AM14:AM19" si="23">P14*$M$24</f>
        <v>#REF!</v>
      </c>
      <c r="AN14" s="241" t="e">
        <f t="shared" ref="AN14:AP19" si="24">$AM14/$AH14*AE14</f>
        <v>#REF!</v>
      </c>
      <c r="AO14" s="241" t="e">
        <f t="shared" si="24"/>
        <v>#REF!</v>
      </c>
      <c r="AP14" s="241" t="e">
        <f t="shared" si="24"/>
        <v>#REF!</v>
      </c>
    </row>
    <row r="15" spans="1:42">
      <c r="A15" s="17" t="s">
        <v>21</v>
      </c>
      <c r="B15" s="326">
        <f>IF($B$24&lt;&gt;0,$F$88/$B$24/1000,0)</f>
        <v>5.3522205142325589E-3</v>
      </c>
      <c r="C15" s="23">
        <v>6.8035939956099384E-3</v>
      </c>
      <c r="D15" s="315">
        <v>5.7082690932158606E-3</v>
      </c>
      <c r="E15" s="326">
        <f>IF($E$24&lt;&gt;0,$H$88/($E$24+$H$24)/1000,0)</f>
        <v>0</v>
      </c>
      <c r="F15" s="23">
        <v>1.6530869226761388E-2</v>
      </c>
      <c r="G15" s="315">
        <v>7.6368033280000006E-3</v>
      </c>
      <c r="H15" s="326">
        <f>IF($H$24&lt;&gt;0,$H$88/($E$24+$H$24)/1000,0)</f>
        <v>0</v>
      </c>
      <c r="I15" s="23">
        <v>1.7200245719289946E-2</v>
      </c>
      <c r="J15" s="315">
        <v>7.6368033280000006E-3</v>
      </c>
      <c r="K15" s="23"/>
      <c r="L15" s="23"/>
      <c r="M15" s="326">
        <f t="shared" si="12"/>
        <v>5.3522205142325589E-3</v>
      </c>
      <c r="N15" s="23">
        <v>5.2712801161103051E-3</v>
      </c>
      <c r="O15" s="23" t="e">
        <f t="shared" ref="O15:O19" si="25">IF($M$22&lt;$N$22,M15,IF($M$20&lt;$N$20,M15,IF(AND($M$20&gt;$N$20,$M$12&lt;$N$12),($N$20+($N$12-$M$12))/$M$20*M15,M15/$M$20*$N$20)))</f>
        <v>#REF!</v>
      </c>
      <c r="P15" s="315" t="e">
        <f t="shared" si="13"/>
        <v>#REF!</v>
      </c>
      <c r="Q15" s="1">
        <f t="shared" si="14"/>
        <v>1380.8728926720003</v>
      </c>
      <c r="R15" s="24">
        <f>ROUND($H$74,0)</f>
        <v>1380873</v>
      </c>
      <c r="S15" s="24">
        <v>0</v>
      </c>
      <c r="T15" s="24">
        <f t="shared" si="15"/>
        <v>1380873</v>
      </c>
      <c r="U15" s="19">
        <f>$F$74</f>
        <v>39486.720000000001</v>
      </c>
      <c r="V15" s="25">
        <f t="shared" si="16"/>
        <v>34.970567319848293</v>
      </c>
      <c r="W15" s="159" t="s">
        <v>19</v>
      </c>
      <c r="X15" s="20" t="s">
        <v>22</v>
      </c>
      <c r="Y15" s="125" t="s">
        <v>78</v>
      </c>
      <c r="Z15" s="127" t="s">
        <v>78</v>
      </c>
      <c r="AA15" s="24">
        <f>$F88</f>
        <v>1380872.8926720002</v>
      </c>
      <c r="AB15" s="24">
        <f>IF(($E$24+$H$24)&lt;&gt;0,$H88/($E$24+$H$24)*E25,0)</f>
        <v>0</v>
      </c>
      <c r="AC15" s="24">
        <f>IF(($E$24+$H$24)&lt;&gt;0,$H88/($E$24+$H$24)*H25,0)</f>
        <v>0</v>
      </c>
      <c r="AD15" s="24">
        <f t="shared" si="17"/>
        <v>1380872.8926720002</v>
      </c>
      <c r="AE15" s="19">
        <f>$E88</f>
        <v>39486.720000000001</v>
      </c>
      <c r="AF15" s="19">
        <f>IF(($E$24+$H$24)&lt;&gt;0,$G88/($E$24+$H$24)*E25,0)</f>
        <v>0</v>
      </c>
      <c r="AG15" s="19">
        <f>IF(($E$24+$H$24)&lt;&gt;0,$G88/($E$24+$H$24)*H24,0)</f>
        <v>0</v>
      </c>
      <c r="AH15" s="19">
        <f t="shared" si="18"/>
        <v>39486.720000000001</v>
      </c>
      <c r="AI15" s="25">
        <f t="shared" si="19"/>
        <v>34.970564601769915</v>
      </c>
      <c r="AJ15" s="56">
        <f t="shared" si="20"/>
        <v>0.153</v>
      </c>
      <c r="AK15" s="56" t="e">
        <f t="shared" si="21"/>
        <v>#DIV/0!</v>
      </c>
      <c r="AL15" s="56">
        <f t="shared" si="22"/>
        <v>0</v>
      </c>
      <c r="AM15" s="241" t="e">
        <f t="shared" si="23"/>
        <v>#REF!</v>
      </c>
      <c r="AN15" s="241" t="e">
        <f t="shared" si="24"/>
        <v>#REF!</v>
      </c>
      <c r="AO15" s="241" t="e">
        <f t="shared" si="24"/>
        <v>#REF!</v>
      </c>
      <c r="AP15" s="241" t="e">
        <f t="shared" si="24"/>
        <v>#REF!</v>
      </c>
    </row>
    <row r="16" spans="1:42">
      <c r="A16" s="17" t="s">
        <v>23</v>
      </c>
      <c r="B16" s="324">
        <f>IF($B$24&lt;&gt;0,$F$89/$B$24/1000,0)</f>
        <v>9.094158293163063E-3</v>
      </c>
      <c r="C16" s="23">
        <v>8.4807037416256559E-3</v>
      </c>
      <c r="D16" s="315">
        <v>6.3534946725212829E-3</v>
      </c>
      <c r="E16" s="324">
        <f>IF($E$24&lt;&gt;0,$H$89/($E$24+$H$24)/1000,0)</f>
        <v>0</v>
      </c>
      <c r="F16" s="23">
        <v>2.4655898010653633E-2</v>
      </c>
      <c r="G16" s="325">
        <v>1.8636298500182859E-2</v>
      </c>
      <c r="H16" s="324">
        <f>IF($H$24&lt;&gt;0,$H$89/($E$24+$H$24)/1000,0)</f>
        <v>0</v>
      </c>
      <c r="I16" s="23">
        <v>1.9212926862216834E-2</v>
      </c>
      <c r="J16" s="315">
        <v>1.8636298500182859E-2</v>
      </c>
      <c r="K16" s="23"/>
      <c r="L16" s="23"/>
      <c r="M16" s="324">
        <f t="shared" si="12"/>
        <v>9.094158293163063E-3</v>
      </c>
      <c r="N16" s="23">
        <v>8.0958838896952098E-3</v>
      </c>
      <c r="O16" s="23" t="e">
        <f t="shared" si="25"/>
        <v>#REF!</v>
      </c>
      <c r="P16" s="315" t="e">
        <f t="shared" si="13"/>
        <v>#REF!</v>
      </c>
      <c r="Q16" s="1">
        <f t="shared" si="14"/>
        <v>2346.2928396360703</v>
      </c>
      <c r="R16" s="24">
        <f>ROUND($D$84,0)</f>
        <v>2346293</v>
      </c>
      <c r="S16" s="24">
        <f>ROUND($D$83,0)</f>
        <v>78609</v>
      </c>
      <c r="T16" s="24">
        <f t="shared" si="15"/>
        <v>2424902</v>
      </c>
      <c r="U16" s="19">
        <f>$B$82</f>
        <v>124354.79999999999</v>
      </c>
      <c r="V16" s="25">
        <f t="shared" si="16"/>
        <v>19.499866510983093</v>
      </c>
      <c r="W16" s="159" t="s">
        <v>19</v>
      </c>
      <c r="X16" s="20" t="s">
        <v>24</v>
      </c>
      <c r="Y16" s="125" t="s">
        <v>78</v>
      </c>
      <c r="Z16" s="127" t="s">
        <v>78</v>
      </c>
      <c r="AA16" s="24">
        <f>$F89</f>
        <v>2346292.8396360707</v>
      </c>
      <c r="AB16" s="24">
        <f>IF(($E$24+$H$24)&lt;&gt;0,$H89/($E$24+$H$24)*E26,0)</f>
        <v>0</v>
      </c>
      <c r="AC16" s="24">
        <f>IF(($E$24+$H$24)&lt;&gt;0,$H89/($E$24+$H$24)*H26,0)</f>
        <v>0</v>
      </c>
      <c r="AD16" s="24">
        <f t="shared" si="17"/>
        <v>2346292.8396360707</v>
      </c>
      <c r="AE16" s="19">
        <f>$E89</f>
        <v>120323.54999999999</v>
      </c>
      <c r="AF16" s="19">
        <f>IF(($E$24+$H$24)&lt;&gt;0,$G89/($E$24+$H$24)*E24,0)</f>
        <v>0</v>
      </c>
      <c r="AG16" s="19">
        <f>IF(($E$24+$H$24)&lt;&gt;0,$G89/($E$24+$H$24)*H24,0)</f>
        <v>0</v>
      </c>
      <c r="AH16" s="19">
        <f t="shared" si="18"/>
        <v>120323.54999999999</v>
      </c>
      <c r="AI16" s="25">
        <f t="shared" si="19"/>
        <v>19.499863822469258</v>
      </c>
      <c r="AJ16" s="56">
        <f t="shared" si="20"/>
        <v>0.46600000000000003</v>
      </c>
      <c r="AK16" s="56" t="e">
        <f t="shared" si="21"/>
        <v>#DIV/0!</v>
      </c>
      <c r="AL16" s="56">
        <f t="shared" si="22"/>
        <v>0</v>
      </c>
      <c r="AM16" s="241" t="e">
        <f t="shared" si="23"/>
        <v>#REF!</v>
      </c>
      <c r="AN16" s="241" t="e">
        <f t="shared" si="24"/>
        <v>#REF!</v>
      </c>
      <c r="AO16" s="241" t="e">
        <f t="shared" si="24"/>
        <v>#REF!</v>
      </c>
      <c r="AP16" s="241" t="e">
        <f t="shared" si="24"/>
        <v>#REF!</v>
      </c>
    </row>
    <row r="17" spans="1:42">
      <c r="A17" s="26" t="s">
        <v>25</v>
      </c>
      <c r="B17" s="326">
        <f>IF($B$24&lt;&gt;0,$D$134,0)</f>
        <v>1.433139534883721E-3</v>
      </c>
      <c r="C17" s="23">
        <v>2.8364259956918832E-3</v>
      </c>
      <c r="D17" s="315">
        <v>1.6697332106715731E-3</v>
      </c>
      <c r="E17" s="326">
        <f>IF($E$24&lt;&gt;0,$E$134,0)</f>
        <v>0</v>
      </c>
      <c r="F17" s="23">
        <v>5.496632313134059E-3</v>
      </c>
      <c r="G17" s="315">
        <v>1.6697332106715731E-3</v>
      </c>
      <c r="H17" s="326">
        <f>IF($H$24&lt;&gt;0,$E$134,0)</f>
        <v>0</v>
      </c>
      <c r="I17" s="23">
        <v>5.7129132056770856E-3</v>
      </c>
      <c r="J17" s="315">
        <v>1.6697332106715731E-3</v>
      </c>
      <c r="K17" s="23"/>
      <c r="L17" s="23"/>
      <c r="M17" s="326">
        <f t="shared" si="12"/>
        <v>1.433139534883721E-3</v>
      </c>
      <c r="N17" s="23">
        <v>2.0913265602322205E-3</v>
      </c>
      <c r="O17" s="23" t="e">
        <f t="shared" si="25"/>
        <v>#REF!</v>
      </c>
      <c r="P17" s="315" t="e">
        <f t="shared" si="13"/>
        <v>#REF!</v>
      </c>
      <c r="Q17" s="1">
        <f t="shared" si="14"/>
        <v>369.75</v>
      </c>
      <c r="R17" s="24">
        <f>ROUND($C$134,0)</f>
        <v>369750</v>
      </c>
      <c r="S17" s="24">
        <v>0</v>
      </c>
      <c r="T17" s="24">
        <f t="shared" si="15"/>
        <v>369750</v>
      </c>
      <c r="U17" s="19">
        <f>$B$25*1000</f>
        <v>258000000</v>
      </c>
      <c r="V17" s="25">
        <f t="shared" si="16"/>
        <v>1.433139534883721E-3</v>
      </c>
      <c r="W17" s="159" t="s">
        <v>12</v>
      </c>
      <c r="X17" s="20" t="s">
        <v>26</v>
      </c>
      <c r="Y17" s="125" t="s">
        <v>99</v>
      </c>
      <c r="Z17" s="127">
        <v>1</v>
      </c>
      <c r="AA17" s="24">
        <f>$D$134*$B$24*1000</f>
        <v>369750</v>
      </c>
      <c r="AB17" s="24">
        <f>$E$134*$E$24*1000</f>
        <v>0</v>
      </c>
      <c r="AC17" s="24">
        <f>$E$134*$H$24*1000</f>
        <v>0</v>
      </c>
      <c r="AD17" s="24">
        <f t="shared" si="17"/>
        <v>369750</v>
      </c>
      <c r="AE17" s="19">
        <f t="shared" ref="AE17:AG18" si="26">ROUND(AA17/$V17,0)</f>
        <v>258000000</v>
      </c>
      <c r="AF17" s="19">
        <f t="shared" si="26"/>
        <v>0</v>
      </c>
      <c r="AG17" s="19">
        <f t="shared" si="26"/>
        <v>0</v>
      </c>
      <c r="AH17" s="19">
        <f t="shared" si="18"/>
        <v>258000000</v>
      </c>
      <c r="AI17" s="25">
        <f t="shared" si="19"/>
        <v>1.433139534883721E-3</v>
      </c>
      <c r="AJ17" s="56">
        <f t="shared" si="20"/>
        <v>1000</v>
      </c>
      <c r="AK17" s="56" t="e">
        <f t="shared" si="21"/>
        <v>#DIV/0!</v>
      </c>
      <c r="AL17" s="56">
        <f t="shared" si="22"/>
        <v>0</v>
      </c>
      <c r="AM17" s="241" t="e">
        <f t="shared" si="23"/>
        <v>#REF!</v>
      </c>
      <c r="AN17" s="241" t="e">
        <f t="shared" si="24"/>
        <v>#REF!</v>
      </c>
      <c r="AO17" s="241" t="e">
        <f t="shared" si="24"/>
        <v>#REF!</v>
      </c>
      <c r="AP17" s="241" t="e">
        <f t="shared" si="24"/>
        <v>#REF!</v>
      </c>
    </row>
    <row r="18" spans="1:42">
      <c r="A18" s="26" t="s">
        <v>27</v>
      </c>
      <c r="B18" s="326">
        <f>IF($B$24&lt;&gt;0,$D$135,0)</f>
        <v>1.1046511627906977E-3</v>
      </c>
      <c r="C18" s="23">
        <v>1.8905309773416263E-3</v>
      </c>
      <c r="D18" s="315">
        <v>1.6559337626494942E-3</v>
      </c>
      <c r="E18" s="326">
        <f>IF($E$24&lt;&gt;0,$E$135,0)</f>
        <v>0</v>
      </c>
      <c r="F18" s="23">
        <v>4.6668647591818048E-3</v>
      </c>
      <c r="G18" s="315">
        <v>1.6559337626494942E-3</v>
      </c>
      <c r="H18" s="326">
        <f>IF($H$24&lt;&gt;0,$E$135,0)</f>
        <v>0</v>
      </c>
      <c r="I18" s="23">
        <v>5.7129132056770856E-3</v>
      </c>
      <c r="J18" s="315">
        <v>1.6559337626494942E-3</v>
      </c>
      <c r="K18" s="23"/>
      <c r="L18" s="23"/>
      <c r="M18" s="326">
        <f t="shared" si="12"/>
        <v>1.1046511627906977E-3</v>
      </c>
      <c r="N18" s="23">
        <v>3.1981538461538462E-3</v>
      </c>
      <c r="O18" s="23" t="e">
        <f t="shared" si="25"/>
        <v>#REF!</v>
      </c>
      <c r="P18" s="315" t="e">
        <f t="shared" si="13"/>
        <v>#REF!</v>
      </c>
      <c r="Q18" s="1">
        <f t="shared" si="14"/>
        <v>285</v>
      </c>
      <c r="R18" s="24">
        <f>ROUND($C$135,0)</f>
        <v>285000</v>
      </c>
      <c r="S18" s="24">
        <v>0</v>
      </c>
      <c r="T18" s="24">
        <f t="shared" si="15"/>
        <v>285000</v>
      </c>
      <c r="U18" s="19">
        <f>$B$25*1000</f>
        <v>258000000</v>
      </c>
      <c r="V18" s="25">
        <f t="shared" si="16"/>
        <v>1.1046511627906977E-3</v>
      </c>
      <c r="W18" s="159" t="s">
        <v>12</v>
      </c>
      <c r="X18" s="20" t="s">
        <v>28</v>
      </c>
      <c r="Y18" s="125" t="s">
        <v>78</v>
      </c>
      <c r="Z18" s="127" t="s">
        <v>78</v>
      </c>
      <c r="AA18" s="24">
        <f>$D$135*$B$24*1000</f>
        <v>285000</v>
      </c>
      <c r="AB18" s="24">
        <f>$E$135*$E$24*1000</f>
        <v>0</v>
      </c>
      <c r="AC18" s="24">
        <f>$E$135*$H$24*1000</f>
        <v>0</v>
      </c>
      <c r="AD18" s="24">
        <f t="shared" si="17"/>
        <v>285000</v>
      </c>
      <c r="AE18" s="19">
        <f t="shared" si="26"/>
        <v>258000000</v>
      </c>
      <c r="AF18" s="19">
        <f t="shared" si="26"/>
        <v>0</v>
      </c>
      <c r="AG18" s="19">
        <f t="shared" si="26"/>
        <v>0</v>
      </c>
      <c r="AH18" s="19">
        <f t="shared" si="18"/>
        <v>258000000</v>
      </c>
      <c r="AI18" s="25">
        <f t="shared" si="19"/>
        <v>1.1046511627906977E-3</v>
      </c>
      <c r="AJ18" s="56">
        <f t="shared" si="20"/>
        <v>1000</v>
      </c>
      <c r="AK18" s="56" t="e">
        <f t="shared" si="21"/>
        <v>#DIV/0!</v>
      </c>
      <c r="AL18" s="56">
        <f t="shared" si="22"/>
        <v>0</v>
      </c>
      <c r="AM18" s="241" t="e">
        <f t="shared" si="23"/>
        <v>#REF!</v>
      </c>
      <c r="AN18" s="241" t="e">
        <f t="shared" si="24"/>
        <v>#REF!</v>
      </c>
      <c r="AO18" s="241" t="e">
        <f t="shared" si="24"/>
        <v>#REF!</v>
      </c>
      <c r="AP18" s="241" t="e">
        <f t="shared" si="24"/>
        <v>#REF!</v>
      </c>
    </row>
    <row r="19" spans="1:42" ht="15">
      <c r="A19" s="26" t="s">
        <v>29</v>
      </c>
      <c r="B19" s="327">
        <f>IF($B$24&lt;&gt;0,$D$136,0)</f>
        <v>1.8604651162790697E-2</v>
      </c>
      <c r="C19" s="31">
        <v>2.1212866818408217E-2</v>
      </c>
      <c r="D19" s="317">
        <v>6.473611414259603E-3</v>
      </c>
      <c r="E19" s="327">
        <f>IF($E$24&lt;&gt;0,$E$136,0)</f>
        <v>0</v>
      </c>
      <c r="F19" s="31">
        <v>0.10417686188941641</v>
      </c>
      <c r="G19" s="317">
        <v>5.9339199081609381E-2</v>
      </c>
      <c r="H19" s="327">
        <f>IF($H$24&lt;&gt;0,$E$136,0)</f>
        <v>0</v>
      </c>
      <c r="I19" s="31">
        <v>0.10178478302218978</v>
      </c>
      <c r="J19" s="317">
        <v>5.9339199081609381E-2</v>
      </c>
      <c r="K19" s="31"/>
      <c r="L19" s="31"/>
      <c r="M19" s="327">
        <f t="shared" si="12"/>
        <v>1.8604651162790697E-2</v>
      </c>
      <c r="N19" s="31">
        <v>8.7052133526850511E-3</v>
      </c>
      <c r="O19" s="31" t="e">
        <f t="shared" si="25"/>
        <v>#REF!</v>
      </c>
      <c r="P19" s="317" t="e">
        <f t="shared" si="13"/>
        <v>#REF!</v>
      </c>
      <c r="Q19" s="372">
        <f t="shared" si="14"/>
        <v>4800</v>
      </c>
      <c r="R19" s="28">
        <f>ROUND($C$136,0)</f>
        <v>4800000</v>
      </c>
      <c r="S19" s="28">
        <v>0</v>
      </c>
      <c r="T19" s="28">
        <f t="shared" si="15"/>
        <v>4800000</v>
      </c>
      <c r="U19" s="19">
        <f>$B$25*1000</f>
        <v>258000000</v>
      </c>
      <c r="V19" s="25">
        <f t="shared" si="16"/>
        <v>1.8604651162790697E-2</v>
      </c>
      <c r="W19" s="159" t="s">
        <v>12</v>
      </c>
      <c r="X19" s="20" t="s">
        <v>30</v>
      </c>
      <c r="Y19" s="125" t="s">
        <v>78</v>
      </c>
      <c r="Z19" s="127" t="s">
        <v>78</v>
      </c>
      <c r="AA19" s="28">
        <f>$D$136*$B$24*1000</f>
        <v>4800000</v>
      </c>
      <c r="AB19" s="28">
        <f>$E$136*$E$24*1000</f>
        <v>0</v>
      </c>
      <c r="AC19" s="28">
        <f>$E$136*$H$24*1000</f>
        <v>0</v>
      </c>
      <c r="AD19" s="28">
        <f t="shared" si="17"/>
        <v>4800000</v>
      </c>
      <c r="AE19" s="19">
        <f>AA19/$V19</f>
        <v>258000000</v>
      </c>
      <c r="AF19" s="19">
        <f>AB19/$V19</f>
        <v>0</v>
      </c>
      <c r="AG19" s="19">
        <f>AC19/$V19</f>
        <v>0</v>
      </c>
      <c r="AH19" s="19">
        <f t="shared" si="18"/>
        <v>258000000</v>
      </c>
      <c r="AI19" s="25">
        <f t="shared" si="19"/>
        <v>1.8604651162790697E-2</v>
      </c>
      <c r="AJ19" s="56">
        <f t="shared" si="20"/>
        <v>1000</v>
      </c>
      <c r="AK19" s="56" t="e">
        <f t="shared" si="21"/>
        <v>#DIV/0!</v>
      </c>
      <c r="AL19" s="56">
        <f t="shared" si="22"/>
        <v>0</v>
      </c>
      <c r="AM19" s="384" t="e">
        <f t="shared" si="23"/>
        <v>#REF!</v>
      </c>
      <c r="AN19" s="384" t="e">
        <f t="shared" si="24"/>
        <v>#REF!</v>
      </c>
      <c r="AO19" s="384" t="e">
        <f t="shared" si="24"/>
        <v>#REF!</v>
      </c>
      <c r="AP19" s="384" t="e">
        <f t="shared" si="24"/>
        <v>#REF!</v>
      </c>
    </row>
    <row r="20" spans="1:42">
      <c r="A20" s="192" t="s">
        <v>170</v>
      </c>
      <c r="B20" s="326">
        <f t="shared" ref="B20:D20" si="27">SUM(B14:B19)</f>
        <v>5.061934756191875E-2</v>
      </c>
      <c r="C20" s="23">
        <f t="shared" si="27"/>
        <v>5.2630943240323705E-2</v>
      </c>
      <c r="D20" s="315">
        <f t="shared" si="27"/>
        <v>3.0527843819436469E-2</v>
      </c>
      <c r="E20" s="326">
        <f>SUM(E14:E19)</f>
        <v>0</v>
      </c>
      <c r="F20" s="23">
        <f t="shared" ref="F20" si="28">SUM(F14:F19)</f>
        <v>0.20246299374737131</v>
      </c>
      <c r="G20" s="315">
        <f>SUM(G14:G19)</f>
        <v>0.12281419565048</v>
      </c>
      <c r="H20" s="326">
        <f>SUM(H14:H19)</f>
        <v>0</v>
      </c>
      <c r="I20" s="23">
        <f t="shared" ref="I20" si="29">SUM(I14:I19)</f>
        <v>0.19596467213108704</v>
      </c>
      <c r="J20" s="315">
        <f>SUM(J14:J19)</f>
        <v>0.12281419565048</v>
      </c>
      <c r="K20" s="23"/>
      <c r="L20" s="23"/>
      <c r="M20" s="326">
        <f>SUM(M14:M19)</f>
        <v>5.061934756191875E-2</v>
      </c>
      <c r="N20" s="23">
        <f t="shared" ref="N20:P20" si="30">SUM(N14:N19)</f>
        <v>3.8670304789550067E-2</v>
      </c>
      <c r="O20" s="23" t="e">
        <f t="shared" si="30"/>
        <v>#REF!</v>
      </c>
      <c r="P20" s="315" t="e">
        <f t="shared" si="30"/>
        <v>#REF!</v>
      </c>
      <c r="Q20" s="1">
        <f>SUM(Q14:Q19)</f>
        <v>13059.791670975039</v>
      </c>
      <c r="R20" s="32">
        <f>SUM(R14:R19)</f>
        <v>13059792</v>
      </c>
      <c r="S20" s="32">
        <f>SUM(S14:S19)</f>
        <v>208531</v>
      </c>
      <c r="T20" s="32">
        <f>SUM(T14:T19)</f>
        <v>13268323</v>
      </c>
      <c r="U20" s="19"/>
      <c r="V20" s="19"/>
      <c r="W20" s="265"/>
      <c r="X20" s="21"/>
      <c r="Y20" s="125"/>
      <c r="Z20" s="127"/>
      <c r="AA20" s="32">
        <f>SUM(AA14:AA19)</f>
        <v>13059791.670975039</v>
      </c>
      <c r="AB20" s="32">
        <f>SUM(AB14:AB19)</f>
        <v>0</v>
      </c>
      <c r="AC20" s="32">
        <f>SUM(AC14:AC19)</f>
        <v>0</v>
      </c>
      <c r="AD20" s="32">
        <f>SUM(AD14:AD19)</f>
        <v>13059791.670975039</v>
      </c>
      <c r="AE20" s="19"/>
      <c r="AF20" s="19"/>
      <c r="AG20" s="19"/>
      <c r="AH20" s="19"/>
      <c r="AI20" s="19"/>
      <c r="AJ20" s="19"/>
      <c r="AK20" s="19"/>
      <c r="AL20" s="19"/>
      <c r="AM20" s="385" t="e">
        <f>SUM(AM14:AM19)</f>
        <v>#REF!</v>
      </c>
      <c r="AN20" s="385" t="e">
        <f t="shared" ref="AN20:AP20" si="31">SUM(AN14:AN19)</f>
        <v>#REF!</v>
      </c>
      <c r="AO20" s="385" t="e">
        <f t="shared" si="31"/>
        <v>#REF!</v>
      </c>
      <c r="AP20" s="385" t="e">
        <f t="shared" si="31"/>
        <v>#REF!</v>
      </c>
    </row>
    <row r="21" spans="1:42" ht="15">
      <c r="A21" s="26"/>
      <c r="B21" s="326"/>
      <c r="C21" s="23"/>
      <c r="D21" s="315"/>
      <c r="E21" s="326"/>
      <c r="F21" s="23"/>
      <c r="G21" s="315"/>
      <c r="H21" s="326"/>
      <c r="I21" s="23"/>
      <c r="J21" s="315"/>
      <c r="K21" s="23"/>
      <c r="L21" s="23"/>
      <c r="M21" s="326"/>
      <c r="N21" s="23"/>
      <c r="O21" s="23"/>
      <c r="P21" s="315"/>
      <c r="Q21" s="1">
        <f>Q12+Q20</f>
        <v>22395.533402975037</v>
      </c>
      <c r="R21" s="247">
        <f>R12+R20</f>
        <v>22395534</v>
      </c>
      <c r="S21" s="247">
        <f>S12+S20</f>
        <v>208531</v>
      </c>
      <c r="T21" s="247">
        <f>T12+T20</f>
        <v>22604065</v>
      </c>
      <c r="U21" s="19"/>
      <c r="V21" s="19"/>
      <c r="W21" s="265"/>
      <c r="X21" s="2"/>
      <c r="Y21" s="125"/>
      <c r="Z21" s="127"/>
      <c r="AA21" s="33">
        <f>AA12+AA20</f>
        <v>22395533.530975036</v>
      </c>
      <c r="AB21" s="33">
        <f>AB12+AB20</f>
        <v>0</v>
      </c>
      <c r="AC21" s="33">
        <f>AC12+AC20</f>
        <v>0</v>
      </c>
      <c r="AD21" s="33">
        <f>AD12+AD20</f>
        <v>22395533.530975036</v>
      </c>
      <c r="AE21" s="19"/>
      <c r="AF21" s="19"/>
      <c r="AG21" s="19"/>
      <c r="AH21" s="19"/>
      <c r="AI21" s="19"/>
      <c r="AJ21" s="19"/>
      <c r="AK21" s="19"/>
      <c r="AL21" s="19"/>
      <c r="AM21" s="386" t="e">
        <f>AM12+AM20</f>
        <v>#REF!</v>
      </c>
      <c r="AN21" s="386" t="e">
        <f t="shared" ref="AN21:AP21" si="32">AN12+AN20</f>
        <v>#REF!</v>
      </c>
      <c r="AO21" s="386" t="e">
        <f t="shared" si="32"/>
        <v>#REF!</v>
      </c>
      <c r="AP21" s="386" t="e">
        <f t="shared" si="32"/>
        <v>#REF!</v>
      </c>
    </row>
    <row r="22" spans="1:42">
      <c r="A22" s="192" t="s">
        <v>171</v>
      </c>
      <c r="B22" s="34" t="e">
        <f t="shared" ref="B22:D22" si="33">B12+B20</f>
        <v>#REF!</v>
      </c>
      <c r="C22" s="332">
        <f t="shared" si="33"/>
        <v>0.16319470734125502</v>
      </c>
      <c r="D22" s="333">
        <f t="shared" si="33"/>
        <v>0.11424608116299201</v>
      </c>
      <c r="E22" s="34">
        <f>E12+E20</f>
        <v>0</v>
      </c>
      <c r="F22" s="332">
        <f t="shared" ref="F22" si="34">F12+F20</f>
        <v>0.45809389170667603</v>
      </c>
      <c r="G22" s="334">
        <f>G12+G20</f>
        <v>0.28748254016760622</v>
      </c>
      <c r="H22" s="34">
        <f>H12+H20</f>
        <v>0</v>
      </c>
      <c r="I22" s="332">
        <f t="shared" ref="I22" si="35">I12+I20</f>
        <v>0.82900767399108322</v>
      </c>
      <c r="J22" s="334">
        <f>J12+J20</f>
        <v>0.54575023231046338</v>
      </c>
      <c r="K22" s="18"/>
      <c r="L22" s="18"/>
      <c r="M22" s="34" t="e">
        <f>M12+M20</f>
        <v>#REF!</v>
      </c>
      <c r="N22" s="332" t="e">
        <f t="shared" ref="N22:P22" si="36">N12+N20</f>
        <v>#REF!</v>
      </c>
      <c r="O22" s="332" t="e">
        <f t="shared" si="36"/>
        <v>#REF!</v>
      </c>
      <c r="P22" s="334" t="e">
        <f t="shared" si="36"/>
        <v>#REF!</v>
      </c>
      <c r="Q22" s="1" t="e">
        <f>Q6+Q21</f>
        <v>#REF!</v>
      </c>
      <c r="R22" s="37"/>
      <c r="S22" s="37"/>
      <c r="T22" s="37"/>
      <c r="U22" s="19"/>
      <c r="V22" s="19"/>
      <c r="W22" s="265"/>
      <c r="X22" s="36"/>
      <c r="Y22" s="1026" t="s">
        <v>31</v>
      </c>
      <c r="Z22" s="1026"/>
      <c r="AA22" s="38">
        <f>ROUND(AA21/AA24,5)</f>
        <v>8.6800000000000002E-2</v>
      </c>
      <c r="AB22" s="38" t="e">
        <f>ROUND(AB21/AB24,5)</f>
        <v>#DIV/0!</v>
      </c>
      <c r="AC22" s="38">
        <f>IF(AC24&lt;&gt;0,ROUND(AC21/AC24,5),0)</f>
        <v>0</v>
      </c>
      <c r="AD22" s="38">
        <f>ROUND(AD21/AD24,5)</f>
        <v>8.6800000000000002E-2</v>
      </c>
      <c r="AE22" s="19"/>
      <c r="AF22" s="19"/>
      <c r="AG22" s="19"/>
      <c r="AH22" s="19"/>
      <c r="AI22" s="19"/>
      <c r="AJ22" s="19"/>
      <c r="AK22" s="19"/>
      <c r="AL22" s="19"/>
    </row>
    <row r="23" spans="1:42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17"/>
      <c r="L23" s="17"/>
      <c r="M23" s="48"/>
      <c r="N23" s="26"/>
      <c r="O23" s="26"/>
      <c r="P23" s="318"/>
      <c r="R23" s="37"/>
      <c r="S23" s="37"/>
      <c r="T23" s="37"/>
      <c r="U23" s="19"/>
      <c r="V23" s="19"/>
      <c r="W23" s="265"/>
      <c r="X23" s="36"/>
      <c r="Y23" s="1026" t="s">
        <v>32</v>
      </c>
      <c r="Z23" s="1026"/>
      <c r="AA23" s="38" t="e">
        <f>ROUND(AA22+B6,5)</f>
        <v>#REF!</v>
      </c>
      <c r="AB23" s="38" t="e">
        <f>ROUND(AB22+E6,5)</f>
        <v>#DIV/0!</v>
      </c>
      <c r="AC23" s="38">
        <f>IF(AC24&lt;&gt;0,ROUND(AC22+H6,5),0)</f>
        <v>0</v>
      </c>
      <c r="AD23" s="38" t="e">
        <f>ROUND(AD22+(B6*B24+E6*E24+H6*H24)/B25,5)</f>
        <v>#REF!</v>
      </c>
      <c r="AE23" s="19"/>
      <c r="AF23" s="19"/>
      <c r="AG23" s="19"/>
      <c r="AH23" s="19"/>
      <c r="AI23" s="19"/>
      <c r="AJ23" s="19"/>
      <c r="AK23" s="19"/>
      <c r="AL23" s="19"/>
    </row>
    <row r="24" spans="1:42">
      <c r="A24" s="192" t="s">
        <v>264</v>
      </c>
      <c r="B24" s="331">
        <f>$B$30+$B$31</f>
        <v>258000</v>
      </c>
      <c r="C24" s="26">
        <v>46860.38</v>
      </c>
      <c r="D24" s="77">
        <v>158900</v>
      </c>
      <c r="E24" s="331">
        <f>$B$32</f>
        <v>0</v>
      </c>
      <c r="F24" s="26">
        <v>21908.955000000002</v>
      </c>
      <c r="G24" s="77">
        <v>58500</v>
      </c>
      <c r="H24" s="331">
        <f>$B$33</f>
        <v>0</v>
      </c>
      <c r="I24" s="26">
        <v>8127.9740000000002</v>
      </c>
      <c r="J24" s="77">
        <v>0</v>
      </c>
      <c r="K24" s="26"/>
      <c r="L24" s="26"/>
      <c r="M24" s="331">
        <f>B25</f>
        <v>258000</v>
      </c>
      <c r="N24" s="26"/>
      <c r="O24" s="26"/>
      <c r="P24" s="77"/>
      <c r="R24" s="41"/>
      <c r="S24" s="41"/>
      <c r="T24" s="41"/>
      <c r="U24" s="19"/>
      <c r="V24" s="19"/>
      <c r="W24" s="265"/>
      <c r="X24" s="5"/>
      <c r="Y24" s="1026" t="s">
        <v>33</v>
      </c>
      <c r="Z24" s="1026"/>
      <c r="AA24" s="41">
        <f>ROUND(B24*1000,0)</f>
        <v>258000000</v>
      </c>
      <c r="AB24" s="41">
        <f>ROUND(E24*1000,0)</f>
        <v>0</v>
      </c>
      <c r="AC24" s="41">
        <f>ROUND(H24*1000,0)</f>
        <v>0</v>
      </c>
      <c r="AD24" s="41">
        <f>SUM(AA24:AC24)</f>
        <v>258000000</v>
      </c>
      <c r="AE24" s="19"/>
      <c r="AF24" s="19"/>
      <c r="AG24" s="19"/>
      <c r="AH24" s="19"/>
      <c r="AI24" s="19"/>
      <c r="AJ24" s="19"/>
      <c r="AK24" s="19"/>
      <c r="AL24" s="19"/>
    </row>
    <row r="25" spans="1:42">
      <c r="A25" s="192" t="s">
        <v>265</v>
      </c>
      <c r="B25" s="337">
        <f>$B$24+$E$24+$H$24</f>
        <v>258000</v>
      </c>
      <c r="C25" s="113">
        <f>$C$24+$F$24+$I$24</f>
        <v>76897.308999999994</v>
      </c>
      <c r="D25" s="338">
        <f>D24+G24+J24</f>
        <v>217400</v>
      </c>
      <c r="E25" s="99"/>
      <c r="F25" s="72"/>
      <c r="G25" s="75"/>
      <c r="H25" s="99"/>
      <c r="I25" s="72"/>
      <c r="J25" s="75"/>
      <c r="M25" s="99"/>
      <c r="N25" s="72"/>
      <c r="O25" s="72"/>
      <c r="P25" s="75"/>
    </row>
    <row r="27" spans="1:42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M27" s="17"/>
      <c r="N27" s="199" t="s">
        <v>107</v>
      </c>
      <c r="O27" s="199" t="s">
        <v>310</v>
      </c>
      <c r="P27" s="199" t="s">
        <v>311</v>
      </c>
    </row>
    <row r="28" spans="1:42">
      <c r="A28" s="44"/>
      <c r="H28" s="45"/>
      <c r="M28" s="371" t="s">
        <v>318</v>
      </c>
      <c r="N28" s="1027" t="s">
        <v>312</v>
      </c>
      <c r="O28" s="1027"/>
      <c r="P28" s="1027"/>
    </row>
    <row r="29" spans="1:42">
      <c r="A29" s="190" t="s">
        <v>176</v>
      </c>
      <c r="B29" s="46" t="s">
        <v>168</v>
      </c>
      <c r="C29" s="46" t="s">
        <v>36</v>
      </c>
      <c r="D29" s="47"/>
      <c r="F29" s="47"/>
      <c r="H29" s="45"/>
      <c r="M29" s="17" t="s">
        <v>315</v>
      </c>
      <c r="N29" s="366" t="e">
        <f>SUM(O29:P29)</f>
        <v>#REF!</v>
      </c>
      <c r="O29" s="366" t="e">
        <f>O12*$M$24</f>
        <v>#REF!</v>
      </c>
      <c r="P29" s="366" t="e">
        <f>O20*$M$24</f>
        <v>#REF!</v>
      </c>
    </row>
    <row r="30" spans="1:42" ht="15">
      <c r="A30" s="48" t="s">
        <v>188</v>
      </c>
      <c r="B30" s="342">
        <f>'17 Std'!B4*12</f>
        <v>258000</v>
      </c>
      <c r="C30" s="183">
        <f>+B30/$B$34</f>
        <v>1</v>
      </c>
      <c r="D30" s="50"/>
      <c r="F30" s="51"/>
      <c r="H30" s="45"/>
      <c r="M30" s="17" t="s">
        <v>316</v>
      </c>
      <c r="N30" s="367" t="e">
        <f>SUM(O30:P30)</f>
        <v>#REF!</v>
      </c>
      <c r="O30" s="367" t="e">
        <f>P12*M24</f>
        <v>#REF!</v>
      </c>
      <c r="P30" s="367" t="e">
        <f>P20*M24</f>
        <v>#REF!</v>
      </c>
      <c r="AL30" s="39"/>
    </row>
    <row r="31" spans="1:42" ht="16.5">
      <c r="A31" s="48" t="s">
        <v>187</v>
      </c>
      <c r="B31" s="342">
        <v>0</v>
      </c>
      <c r="C31" s="183">
        <f>+B31/$B$34</f>
        <v>0</v>
      </c>
      <c r="D31" s="50"/>
      <c r="F31" s="51"/>
      <c r="H31" s="45"/>
      <c r="M31" s="17" t="s">
        <v>314</v>
      </c>
      <c r="N31" s="213">
        <f>SUM(O31:P31)</f>
        <v>0</v>
      </c>
      <c r="O31" s="213">
        <f>IF(C95&lt;&gt;0,0,(((((D94/1.06564)-0.33)*0.974)-D95)*(480000-C94))/1000)</f>
        <v>0</v>
      </c>
      <c r="P31" s="213">
        <v>0</v>
      </c>
      <c r="AL31" s="39"/>
    </row>
    <row r="32" spans="1:42" ht="15">
      <c r="A32" s="48" t="s">
        <v>280</v>
      </c>
      <c r="B32" s="342">
        <v>0</v>
      </c>
      <c r="C32" s="183">
        <f>+B32/$B$34</f>
        <v>0</v>
      </c>
      <c r="D32" s="50"/>
      <c r="F32" s="51"/>
      <c r="H32" s="45"/>
      <c r="M32" s="192" t="s">
        <v>3</v>
      </c>
      <c r="N32" s="368" t="e">
        <f>SUM(N29:N31)</f>
        <v>#REF!</v>
      </c>
      <c r="O32" s="368" t="e">
        <f>SUM(O29:O31)</f>
        <v>#REF!</v>
      </c>
      <c r="P32" s="368" t="e">
        <f>SUM(P29:P31)</f>
        <v>#REF!</v>
      </c>
      <c r="AL32" s="39"/>
    </row>
    <row r="33" spans="1:42" ht="16.5">
      <c r="A33" s="48" t="s">
        <v>281</v>
      </c>
      <c r="B33" s="342">
        <v>0</v>
      </c>
      <c r="C33" s="184">
        <f>+B33/$B$34</f>
        <v>0</v>
      </c>
      <c r="D33" s="50"/>
      <c r="F33" s="51"/>
      <c r="H33" s="45"/>
      <c r="M33" s="192" t="s">
        <v>317</v>
      </c>
      <c r="N33" s="369">
        <f>SUM(O33:P33)</f>
        <v>-4800</v>
      </c>
      <c r="O33" s="369">
        <v>0</v>
      </c>
      <c r="P33" s="369">
        <f>-M19*M24</f>
        <v>-4800</v>
      </c>
      <c r="AL33" s="39"/>
    </row>
    <row r="34" spans="1:42" ht="15">
      <c r="A34" s="141" t="s">
        <v>107</v>
      </c>
      <c r="B34" s="49">
        <f>SUM(B30:B33)</f>
        <v>258000</v>
      </c>
      <c r="C34" s="183">
        <f>SUM(C30:C33)</f>
        <v>1</v>
      </c>
      <c r="D34" s="50"/>
      <c r="F34" s="51"/>
      <c r="H34" s="45"/>
      <c r="M34" s="192" t="s">
        <v>313</v>
      </c>
      <c r="N34" s="370" t="e">
        <f>SUM(N32:N33)</f>
        <v>#REF!</v>
      </c>
      <c r="O34" s="370" t="e">
        <f>SUM(O32:O33)</f>
        <v>#REF!</v>
      </c>
      <c r="P34" s="370" t="e">
        <f>SUM(P32:P33)</f>
        <v>#REF!</v>
      </c>
      <c r="AL34" s="39"/>
    </row>
    <row r="35" spans="1:42">
      <c r="A35" s="141"/>
      <c r="B35" s="49"/>
      <c r="C35" s="183"/>
      <c r="D35" s="50"/>
      <c r="F35" s="51"/>
      <c r="H35" s="45"/>
      <c r="AL35" s="39"/>
    </row>
    <row r="36" spans="1:42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M36" s="371" t="s">
        <v>319</v>
      </c>
      <c r="AL36" s="39"/>
    </row>
    <row r="37" spans="1:42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M37" s="17" t="s">
        <v>315</v>
      </c>
      <c r="N37" s="366" t="e">
        <f>SUM(O37:P37)</f>
        <v>#REF!</v>
      </c>
      <c r="O37" s="366" t="e">
        <f>O29/12</f>
        <v>#REF!</v>
      </c>
      <c r="P37" s="366" t="e">
        <f>P29/12</f>
        <v>#REF!</v>
      </c>
      <c r="W37" s="13"/>
      <c r="X37" s="46"/>
      <c r="AJ37" s="11"/>
    </row>
    <row r="38" spans="1:42" ht="15">
      <c r="A38" s="176" t="s">
        <v>173</v>
      </c>
      <c r="B38" s="347" t="e">
        <f>#REF!-3.57</f>
        <v>#REF!</v>
      </c>
      <c r="C38" s="343">
        <v>0.5</v>
      </c>
      <c r="D38" s="134"/>
      <c r="E38" s="343">
        <v>0.5</v>
      </c>
      <c r="F38" s="134"/>
      <c r="G38" s="343">
        <v>0</v>
      </c>
      <c r="H38" s="186"/>
      <c r="M38" s="17" t="s">
        <v>316</v>
      </c>
      <c r="N38" s="367" t="e">
        <f>SUM(O38:P38)</f>
        <v>#REF!</v>
      </c>
      <c r="O38" s="367" t="e">
        <f t="shared" ref="O38:P39" si="37">O30/12</f>
        <v>#REF!</v>
      </c>
      <c r="P38" s="367" t="e">
        <f t="shared" si="37"/>
        <v>#REF!</v>
      </c>
      <c r="W38" s="13"/>
      <c r="X38" s="250"/>
      <c r="AJ38" s="251"/>
      <c r="AK38" s="251"/>
    </row>
    <row r="39" spans="1:42" ht="16.5">
      <c r="A39" s="176" t="s">
        <v>178</v>
      </c>
      <c r="B39" s="355" t="e">
        <f>#REF!-3.09</f>
        <v>#REF!</v>
      </c>
      <c r="C39" s="343">
        <v>0.5</v>
      </c>
      <c r="D39" s="134"/>
      <c r="E39" s="343">
        <v>0.5</v>
      </c>
      <c r="F39" s="134"/>
      <c r="G39" s="343">
        <v>0</v>
      </c>
      <c r="H39" s="186"/>
      <c r="M39" s="17" t="s">
        <v>314</v>
      </c>
      <c r="N39" s="213">
        <f>SUM(O39:P39)</f>
        <v>0</v>
      </c>
      <c r="O39" s="213">
        <f t="shared" si="37"/>
        <v>0</v>
      </c>
      <c r="P39" s="213">
        <f t="shared" si="37"/>
        <v>0</v>
      </c>
      <c r="W39" s="13"/>
      <c r="X39" s="250"/>
      <c r="AJ39" s="252"/>
      <c r="AK39" s="252"/>
    </row>
    <row r="40" spans="1:42">
      <c r="A40" s="141" t="s">
        <v>174</v>
      </c>
      <c r="B40" s="157" t="e">
        <f>+B38*C38+B39*C39</f>
        <v>#REF!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M40" s="192" t="s">
        <v>3</v>
      </c>
      <c r="N40" s="368" t="e">
        <f>SUM(N37:N39)</f>
        <v>#REF!</v>
      </c>
      <c r="O40" s="368" t="e">
        <f>SUM(O37:O39)</f>
        <v>#REF!</v>
      </c>
      <c r="P40" s="368" t="e">
        <f>SUM(P37:P39)</f>
        <v>#REF!</v>
      </c>
      <c r="W40" s="13"/>
      <c r="X40" s="250"/>
      <c r="AJ40" s="251"/>
      <c r="AK40" s="251"/>
    </row>
    <row r="41" spans="1:42" ht="15">
      <c r="A41" s="43"/>
      <c r="B41" s="50"/>
      <c r="C41" s="60"/>
      <c r="D41" s="59"/>
      <c r="E41" s="60"/>
      <c r="F41" s="59"/>
      <c r="G41" s="60"/>
      <c r="H41" s="187"/>
      <c r="M41" s="192" t="s">
        <v>317</v>
      </c>
      <c r="N41" s="369">
        <f>SUM(O41:P41)</f>
        <v>-400</v>
      </c>
      <c r="O41" s="369">
        <f>O33/12</f>
        <v>0</v>
      </c>
      <c r="P41" s="369">
        <f>P33/12</f>
        <v>-400</v>
      </c>
      <c r="U41" s="39"/>
      <c r="V41" s="39"/>
      <c r="W41" s="13"/>
      <c r="X41" s="62"/>
    </row>
    <row r="42" spans="1:42" ht="18" customHeight="1">
      <c r="A42" s="198" t="s">
        <v>39</v>
      </c>
      <c r="B42" s="61" t="s">
        <v>40</v>
      </c>
      <c r="C42" s="185" t="s">
        <v>299</v>
      </c>
      <c r="D42" s="61" t="s">
        <v>179</v>
      </c>
      <c r="E42" s="185" t="s">
        <v>299</v>
      </c>
      <c r="F42" s="61" t="s">
        <v>179</v>
      </c>
      <c r="G42" s="185" t="s">
        <v>299</v>
      </c>
      <c r="H42" s="188" t="s">
        <v>179</v>
      </c>
      <c r="J42" s="62"/>
      <c r="K42" s="62"/>
      <c r="L42" s="62"/>
      <c r="M42" s="192" t="s">
        <v>313</v>
      </c>
      <c r="N42" s="370" t="e">
        <f>SUM(N40:N41)</f>
        <v>#REF!</v>
      </c>
      <c r="O42" s="370" t="e">
        <f>SUM(O40:O41)</f>
        <v>#REF!</v>
      </c>
      <c r="P42" s="370" t="e">
        <f>SUM(P40:P41)</f>
        <v>#REF!</v>
      </c>
      <c r="W42" s="13"/>
      <c r="X42" s="46"/>
      <c r="AJ42" s="11"/>
      <c r="AK42" s="11"/>
      <c r="AL42" s="11"/>
      <c r="AM42" s="52" t="s">
        <v>291</v>
      </c>
      <c r="AN42" s="52" t="s">
        <v>294</v>
      </c>
      <c r="AO42" s="52" t="s">
        <v>295</v>
      </c>
      <c r="AP42" s="52" t="s">
        <v>296</v>
      </c>
    </row>
    <row r="43" spans="1:42" ht="15">
      <c r="A43" s="176" t="s">
        <v>404</v>
      </c>
      <c r="B43" s="64" t="e">
        <f>$B$40/2000</f>
        <v>#REF!</v>
      </c>
      <c r="C43" s="345">
        <v>1.81</v>
      </c>
      <c r="D43" s="307" t="e">
        <f t="shared" ref="D43:D49" si="38">B43*C43</f>
        <v>#REF!</v>
      </c>
      <c r="E43" s="345">
        <v>3</v>
      </c>
      <c r="F43" s="307" t="e">
        <f t="shared" ref="F43:F49" si="39">B43*E43</f>
        <v>#REF!</v>
      </c>
      <c r="G43" s="345">
        <v>0</v>
      </c>
      <c r="H43" s="311" t="e">
        <f>B43*G43</f>
        <v>#REF!</v>
      </c>
      <c r="J43" s="65"/>
      <c r="K43" s="65"/>
      <c r="L43" s="65"/>
      <c r="M43" s="65"/>
      <c r="N43" s="65"/>
      <c r="O43" s="65"/>
      <c r="P43" s="65"/>
      <c r="V43" s="312" t="e">
        <f>B43*1000</f>
        <v>#REF!</v>
      </c>
      <c r="W43" s="256" t="s">
        <v>12</v>
      </c>
      <c r="X43" s="255" t="s">
        <v>154</v>
      </c>
      <c r="AJ43" s="56" t="e">
        <f t="shared" ref="AJ43:AJ49" si="40">IF(B43&lt;&gt;0,D43/B43*1000,0)</f>
        <v>#REF!</v>
      </c>
      <c r="AK43" s="56" t="e">
        <f t="shared" ref="AK43:AK49" si="41">IF(B43&lt;&gt;0,F43/B43*1000,0)</f>
        <v>#REF!</v>
      </c>
      <c r="AL43" s="56" t="e">
        <f>IF(B43&lt;&gt;0,H43/B43*1000,0)</f>
        <v>#REF!</v>
      </c>
      <c r="AM43" s="26" t="e">
        <f t="shared" ref="AM43:AM49" si="42">AJ43*$B$24+AK43*$E$24+AL43*$H$24</f>
        <v>#REF!</v>
      </c>
      <c r="AN43" s="26">
        <v>202343432</v>
      </c>
      <c r="AO43" s="183" t="e">
        <f t="shared" ref="AO43:AO49" si="43">AN43/AM43</f>
        <v>#REF!</v>
      </c>
      <c r="AP43" s="341">
        <f>343597.02/24291676.299</f>
        <v>1.414464015454317E-2</v>
      </c>
    </row>
    <row r="44" spans="1:42" ht="15">
      <c r="A44" s="176" t="s">
        <v>403</v>
      </c>
      <c r="B44" s="344">
        <v>0.1525</v>
      </c>
      <c r="C44" s="345">
        <v>0</v>
      </c>
      <c r="D44" s="307">
        <f t="shared" si="38"/>
        <v>0</v>
      </c>
      <c r="E44" s="345">
        <v>0</v>
      </c>
      <c r="F44" s="307">
        <f t="shared" si="39"/>
        <v>0</v>
      </c>
      <c r="G44" s="345">
        <v>2.8</v>
      </c>
      <c r="H44" s="311">
        <f t="shared" ref="H44:H49" si="44">B44*G44</f>
        <v>0.42699999999999999</v>
      </c>
      <c r="J44" s="65"/>
      <c r="K44" s="65"/>
      <c r="L44" s="65"/>
      <c r="M44" s="65"/>
      <c r="N44" s="65"/>
      <c r="O44" s="65"/>
      <c r="P44" s="65"/>
      <c r="V44" s="312">
        <f t="shared" ref="V44:V49" si="45">B44*1000</f>
        <v>152.5</v>
      </c>
      <c r="W44" s="256" t="s">
        <v>12</v>
      </c>
      <c r="X44" s="256" t="s">
        <v>298</v>
      </c>
      <c r="AJ44" s="56">
        <f t="shared" si="40"/>
        <v>0</v>
      </c>
      <c r="AK44" s="56">
        <f t="shared" si="41"/>
        <v>0</v>
      </c>
      <c r="AL44" s="56">
        <f t="shared" ref="AL44:AL49" si="46">IF(B44&lt;&gt;0,H44/B44*1000,0)</f>
        <v>2800</v>
      </c>
      <c r="AM44" s="26">
        <f t="shared" si="42"/>
        <v>0</v>
      </c>
      <c r="AN44" s="26">
        <v>0</v>
      </c>
      <c r="AO44" s="183" t="e">
        <f t="shared" si="43"/>
        <v>#DIV/0!</v>
      </c>
      <c r="AP44" s="341">
        <v>6.2740000000000004E-2</v>
      </c>
    </row>
    <row r="45" spans="1:42" ht="15">
      <c r="A45" s="176" t="s">
        <v>405</v>
      </c>
      <c r="B45" s="344">
        <v>1.4107000000000001</v>
      </c>
      <c r="C45" s="345">
        <v>1.0999999999999999E-2</v>
      </c>
      <c r="D45" s="307">
        <f t="shared" si="38"/>
        <v>1.5517700000000001E-2</v>
      </c>
      <c r="E45" s="345">
        <v>0</v>
      </c>
      <c r="F45" s="307">
        <f t="shared" si="39"/>
        <v>0</v>
      </c>
      <c r="G45" s="345">
        <v>0</v>
      </c>
      <c r="H45" s="311">
        <f t="shared" si="44"/>
        <v>0</v>
      </c>
      <c r="J45" s="65"/>
      <c r="K45" s="65"/>
      <c r="L45" s="65"/>
      <c r="M45" s="65"/>
      <c r="N45" s="65"/>
      <c r="O45" s="65"/>
      <c r="P45" s="65"/>
      <c r="V45" s="312">
        <f t="shared" si="45"/>
        <v>1410.7</v>
      </c>
      <c r="W45" s="256" t="s">
        <v>12</v>
      </c>
      <c r="X45" s="255" t="s">
        <v>155</v>
      </c>
      <c r="AJ45" s="56">
        <f t="shared" si="40"/>
        <v>11</v>
      </c>
      <c r="AK45" s="56">
        <f t="shared" si="41"/>
        <v>0</v>
      </c>
      <c r="AL45" s="56">
        <f t="shared" si="46"/>
        <v>0</v>
      </c>
      <c r="AM45" s="26">
        <f t="shared" si="42"/>
        <v>2838000</v>
      </c>
      <c r="AN45" s="26">
        <v>101933</v>
      </c>
      <c r="AO45" s="183">
        <f t="shared" si="43"/>
        <v>3.5917195207892882E-2</v>
      </c>
      <c r="AP45" s="341">
        <f>143105.19/AN45</f>
        <v>1.4039142377836422</v>
      </c>
    </row>
    <row r="46" spans="1:42" ht="15">
      <c r="A46" s="176" t="s">
        <v>406</v>
      </c>
      <c r="B46" s="344">
        <v>0.46</v>
      </c>
      <c r="C46" s="345">
        <v>5.0000000000000001E-3</v>
      </c>
      <c r="D46" s="307">
        <f t="shared" si="38"/>
        <v>2.3E-3</v>
      </c>
      <c r="E46" s="345">
        <v>1.2999999999999999E-2</v>
      </c>
      <c r="F46" s="307">
        <f t="shared" si="39"/>
        <v>5.9800000000000001E-3</v>
      </c>
      <c r="G46" s="345">
        <v>0.02</v>
      </c>
      <c r="H46" s="311">
        <f t="shared" si="44"/>
        <v>9.1999999999999998E-3</v>
      </c>
      <c r="I46" s="62"/>
      <c r="J46" s="65"/>
      <c r="K46" s="65"/>
      <c r="L46" s="65"/>
      <c r="M46" s="65"/>
      <c r="N46" s="65"/>
      <c r="O46" s="65"/>
      <c r="P46" s="65"/>
      <c r="V46" s="312">
        <f t="shared" si="45"/>
        <v>460</v>
      </c>
      <c r="W46" s="256" t="s">
        <v>12</v>
      </c>
      <c r="X46" s="255" t="s">
        <v>156</v>
      </c>
      <c r="AJ46" s="56">
        <f t="shared" si="40"/>
        <v>5</v>
      </c>
      <c r="AK46" s="56">
        <f t="shared" si="41"/>
        <v>13</v>
      </c>
      <c r="AL46" s="56">
        <f t="shared" si="46"/>
        <v>20</v>
      </c>
      <c r="AM46" s="26">
        <f t="shared" si="42"/>
        <v>1290000</v>
      </c>
      <c r="AN46" s="26">
        <v>84108</v>
      </c>
      <c r="AO46" s="183">
        <f t="shared" si="43"/>
        <v>6.5199999999999994E-2</v>
      </c>
      <c r="AP46" s="341">
        <f>38613.79/AN46</f>
        <v>0.45909770770913588</v>
      </c>
    </row>
    <row r="47" spans="1:42" ht="15">
      <c r="A47" s="176" t="s">
        <v>407</v>
      </c>
      <c r="B47" s="344">
        <v>5.7000000000000002E-2</v>
      </c>
      <c r="C47" s="345">
        <v>1.2E-2</v>
      </c>
      <c r="D47" s="307">
        <f t="shared" si="38"/>
        <v>6.8400000000000004E-4</v>
      </c>
      <c r="E47" s="345">
        <v>8.9999999999999993E-3</v>
      </c>
      <c r="F47" s="307">
        <f t="shared" si="39"/>
        <v>5.13E-4</v>
      </c>
      <c r="G47" s="345">
        <v>4.0000000000000001E-3</v>
      </c>
      <c r="H47" s="311">
        <f t="shared" si="44"/>
        <v>2.2800000000000001E-4</v>
      </c>
      <c r="I47" s="62"/>
      <c r="J47" s="65"/>
      <c r="K47" s="65"/>
      <c r="L47" s="65"/>
      <c r="M47" s="65"/>
      <c r="N47" s="65"/>
      <c r="O47" s="65"/>
      <c r="P47" s="65"/>
      <c r="V47" s="312">
        <f t="shared" si="45"/>
        <v>57</v>
      </c>
      <c r="W47" s="256" t="s">
        <v>12</v>
      </c>
      <c r="X47" s="255" t="s">
        <v>157</v>
      </c>
      <c r="AJ47" s="56">
        <f t="shared" si="40"/>
        <v>12</v>
      </c>
      <c r="AK47" s="56">
        <f t="shared" si="41"/>
        <v>9</v>
      </c>
      <c r="AL47" s="56">
        <f t="shared" si="46"/>
        <v>4</v>
      </c>
      <c r="AM47" s="26">
        <f t="shared" si="42"/>
        <v>3096000</v>
      </c>
      <c r="AN47" s="26">
        <v>47388</v>
      </c>
      <c r="AO47" s="183">
        <f t="shared" si="43"/>
        <v>1.5306201550387597E-2</v>
      </c>
      <c r="AP47" s="341">
        <f>2705.86/AN47</f>
        <v>5.710010973242171E-2</v>
      </c>
    </row>
    <row r="48" spans="1:42" ht="15">
      <c r="A48" s="176" t="s">
        <v>408</v>
      </c>
      <c r="B48" s="344">
        <v>8.7499999999999994E-2</v>
      </c>
      <c r="C48" s="345">
        <v>0</v>
      </c>
      <c r="D48" s="307">
        <f t="shared" si="38"/>
        <v>0</v>
      </c>
      <c r="E48" s="345">
        <v>0.27800000000000002</v>
      </c>
      <c r="F48" s="307">
        <f t="shared" si="39"/>
        <v>2.4324999999999999E-2</v>
      </c>
      <c r="G48" s="345">
        <v>0.215</v>
      </c>
      <c r="H48" s="311">
        <f t="shared" si="44"/>
        <v>1.8812499999999999E-2</v>
      </c>
      <c r="I48" s="62"/>
      <c r="J48" s="65"/>
      <c r="K48" s="65"/>
      <c r="L48" s="65"/>
      <c r="M48" s="65"/>
      <c r="N48" s="65"/>
      <c r="O48" s="65"/>
      <c r="P48" s="65"/>
      <c r="V48" s="312">
        <f t="shared" si="45"/>
        <v>87.5</v>
      </c>
      <c r="W48" s="256" t="s">
        <v>12</v>
      </c>
      <c r="X48" s="255" t="s">
        <v>231</v>
      </c>
      <c r="AJ48" s="56">
        <f t="shared" si="40"/>
        <v>0</v>
      </c>
      <c r="AK48" s="56">
        <f t="shared" si="41"/>
        <v>278</v>
      </c>
      <c r="AL48" s="56">
        <f t="shared" si="46"/>
        <v>215</v>
      </c>
      <c r="AM48" s="26">
        <f t="shared" si="42"/>
        <v>0</v>
      </c>
      <c r="AN48" s="26">
        <v>560786</v>
      </c>
      <c r="AO48" s="183" t="e">
        <f t="shared" si="43"/>
        <v>#DIV/0!</v>
      </c>
      <c r="AP48" s="341">
        <f>49077.4/AN48</f>
        <v>8.7515380198507103E-2</v>
      </c>
    </row>
    <row r="49" spans="1:42" ht="15">
      <c r="A49" s="176" t="s">
        <v>409</v>
      </c>
      <c r="B49" s="344">
        <v>6.0780000000000003</v>
      </c>
      <c r="C49" s="345">
        <v>0</v>
      </c>
      <c r="D49" s="307">
        <f t="shared" si="38"/>
        <v>0</v>
      </c>
      <c r="E49" s="345">
        <v>1.0999999999999999E-2</v>
      </c>
      <c r="F49" s="307">
        <f t="shared" si="39"/>
        <v>6.6858000000000001E-2</v>
      </c>
      <c r="G49" s="345">
        <v>1.2E-2</v>
      </c>
      <c r="H49" s="311">
        <f t="shared" si="44"/>
        <v>7.2936000000000001E-2</v>
      </c>
      <c r="I49" s="62"/>
      <c r="J49" s="65"/>
      <c r="K49" s="65"/>
      <c r="L49" s="65"/>
      <c r="M49" s="65"/>
      <c r="N49" s="65"/>
      <c r="O49" s="65"/>
      <c r="P49" s="65"/>
      <c r="V49" s="312">
        <f t="shared" si="45"/>
        <v>6078</v>
      </c>
      <c r="W49" s="256" t="s">
        <v>12</v>
      </c>
      <c r="X49" s="255" t="s">
        <v>232</v>
      </c>
      <c r="AJ49" s="56">
        <f t="shared" si="40"/>
        <v>0</v>
      </c>
      <c r="AK49" s="56">
        <f t="shared" si="41"/>
        <v>11</v>
      </c>
      <c r="AL49" s="56">
        <f t="shared" si="46"/>
        <v>12</v>
      </c>
      <c r="AM49" s="26">
        <f t="shared" si="42"/>
        <v>0</v>
      </c>
      <c r="AN49" s="26">
        <v>208883</v>
      </c>
      <c r="AO49" s="183" t="e">
        <f t="shared" si="43"/>
        <v>#DIV/0!</v>
      </c>
      <c r="AP49" s="341">
        <f>1269211.15/AN49</f>
        <v>6.0761821210917111</v>
      </c>
    </row>
    <row r="50" spans="1:42">
      <c r="A50" s="63"/>
      <c r="B50" s="67"/>
      <c r="C50" s="51"/>
      <c r="D50" s="68"/>
      <c r="E50" s="51"/>
      <c r="F50" s="68"/>
      <c r="G50" s="51"/>
      <c r="H50" s="98"/>
      <c r="I50" s="62"/>
      <c r="J50" s="65"/>
      <c r="K50" s="65"/>
      <c r="L50" s="65"/>
      <c r="M50" s="65"/>
      <c r="N50" s="65"/>
      <c r="O50" s="65"/>
      <c r="P50" s="65"/>
      <c r="X50" s="156"/>
      <c r="AL50" s="157"/>
    </row>
    <row r="51" spans="1:42" ht="15">
      <c r="A51" s="63" t="s">
        <v>42</v>
      </c>
      <c r="C51" s="69"/>
      <c r="D51" s="199" t="s">
        <v>43</v>
      </c>
      <c r="F51" s="199" t="s">
        <v>43</v>
      </c>
      <c r="H51" s="283" t="s">
        <v>43</v>
      </c>
    </row>
    <row r="52" spans="1:42">
      <c r="A52" s="63" t="s">
        <v>284</v>
      </c>
      <c r="C52" s="69"/>
      <c r="D52" s="64" t="e">
        <f>D43+D44</f>
        <v>#REF!</v>
      </c>
      <c r="F52" s="64" t="e">
        <f>F43+F44</f>
        <v>#REF!</v>
      </c>
      <c r="H52" s="189" t="e">
        <f>H43+H44</f>
        <v>#REF!</v>
      </c>
    </row>
    <row r="53" spans="1:42" ht="15">
      <c r="A53" s="63" t="s">
        <v>44</v>
      </c>
      <c r="C53" s="69"/>
      <c r="D53" s="70">
        <f>SUM(D45:D49)</f>
        <v>1.8501699999999999E-2</v>
      </c>
      <c r="F53" s="70">
        <f>SUM(F45:F49)</f>
        <v>9.7675999999999999E-2</v>
      </c>
      <c r="H53" s="310">
        <f>SUM(H45:H49)</f>
        <v>0.1011765</v>
      </c>
    </row>
    <row r="54" spans="1:42" ht="15">
      <c r="A54" s="63" t="s">
        <v>45</v>
      </c>
      <c r="C54" s="51"/>
      <c r="D54" s="339" t="e">
        <f>SUM(D52:D53)</f>
        <v>#REF!</v>
      </c>
      <c r="F54" s="339" t="e">
        <f>SUM(F52:F53)</f>
        <v>#REF!</v>
      </c>
      <c r="H54" s="340" t="e">
        <f>SUM(H52:H53)</f>
        <v>#REF!</v>
      </c>
      <c r="J54" s="65"/>
    </row>
    <row r="55" spans="1:42">
      <c r="A55" s="71"/>
      <c r="B55" s="72"/>
      <c r="C55" s="72"/>
      <c r="D55" s="72"/>
      <c r="E55" s="73"/>
      <c r="F55" s="74"/>
      <c r="G55" s="72"/>
      <c r="H55" s="75"/>
      <c r="W55" s="69"/>
    </row>
    <row r="56" spans="1:42">
      <c r="A56" s="39"/>
      <c r="E56" s="51"/>
      <c r="F56" s="76"/>
      <c r="W56" s="69"/>
    </row>
    <row r="57" spans="1:42" ht="13.5" thickBot="1">
      <c r="F57" s="39"/>
      <c r="G57" s="39"/>
    </row>
    <row r="58" spans="1:42" ht="14.65" customHeight="1">
      <c r="A58" s="82" t="s">
        <v>269</v>
      </c>
      <c r="B58" s="1020" t="s">
        <v>18</v>
      </c>
      <c r="C58" s="1020"/>
      <c r="D58" s="1020"/>
      <c r="E58" s="93"/>
      <c r="F58" s="1020" t="s">
        <v>46</v>
      </c>
      <c r="G58" s="1020"/>
      <c r="H58" s="1021"/>
      <c r="AA58" s="1014" t="s">
        <v>253</v>
      </c>
      <c r="AB58" s="1015"/>
      <c r="AC58" s="1015"/>
      <c r="AD58" s="1015"/>
      <c r="AE58" s="1015"/>
      <c r="AF58" s="1015"/>
      <c r="AG58" s="1015"/>
      <c r="AH58" s="1015"/>
      <c r="AI58" s="1015"/>
      <c r="AJ58" s="1015"/>
      <c r="AK58" s="1016"/>
    </row>
    <row r="59" spans="1:42" ht="14.65" customHeight="1">
      <c r="A59" s="43"/>
      <c r="B59" s="199" t="s">
        <v>159</v>
      </c>
      <c r="C59" s="199" t="s">
        <v>109</v>
      </c>
      <c r="D59" s="199" t="s">
        <v>107</v>
      </c>
      <c r="E59" s="26"/>
      <c r="F59" s="199" t="s">
        <v>159</v>
      </c>
      <c r="G59" s="199" t="s">
        <v>109</v>
      </c>
      <c r="H59" s="283" t="s">
        <v>107</v>
      </c>
      <c r="R59" s="240"/>
      <c r="S59" s="240"/>
      <c r="T59" s="261">
        <f>$T$14*$Z59</f>
        <v>3406628.3</v>
      </c>
      <c r="U59" s="250"/>
      <c r="V59" s="250"/>
      <c r="W59" s="256"/>
      <c r="X59" s="20" t="s">
        <v>79</v>
      </c>
      <c r="Y59" s="128" t="s">
        <v>80</v>
      </c>
      <c r="Z59" s="206">
        <f>100%-D62</f>
        <v>0.85</v>
      </c>
      <c r="AA59" s="274"/>
      <c r="AB59" s="261"/>
      <c r="AC59" s="261"/>
      <c r="AD59" s="261" t="s">
        <v>159</v>
      </c>
      <c r="AE59" s="278">
        <f>($B$66+$B$68+$B$70+$B$73-$B$75)/$B$25*$B$24</f>
        <v>70091.55</v>
      </c>
      <c r="AF59" s="278">
        <f>($B$66+$B$68+$B$70+$B$73-$B$75)/$B$25*($E$24+$H$24)</f>
        <v>0</v>
      </c>
      <c r="AG59" s="278"/>
      <c r="AH59" s="278">
        <f>SUM(AE59:AF59)</f>
        <v>70091.55</v>
      </c>
      <c r="AI59" s="25"/>
      <c r="AJ59" s="24"/>
      <c r="AK59" s="270"/>
      <c r="AL59" s="131"/>
    </row>
    <row r="60" spans="1:42" ht="14.65" customHeight="1">
      <c r="A60" s="48" t="s">
        <v>191</v>
      </c>
      <c r="B60" s="346">
        <f>'17 Std'!O4</f>
        <v>33</v>
      </c>
      <c r="C60" s="346">
        <f>'17 Std'!P4</f>
        <v>20</v>
      </c>
      <c r="D60" s="78">
        <f>SUM(B60:C60)</f>
        <v>53</v>
      </c>
      <c r="F60" s="346">
        <f>'17 Std'!Q4</f>
        <v>12</v>
      </c>
      <c r="G60" s="346">
        <f>'17 Std'!R4</f>
        <v>4</v>
      </c>
      <c r="H60" s="79">
        <f>SUM(F60:G60)</f>
        <v>16</v>
      </c>
      <c r="R60" s="269"/>
      <c r="S60" s="269"/>
      <c r="T60" s="262">
        <f>$T$14*$Z60</f>
        <v>601169.69999999995</v>
      </c>
      <c r="U60" s="250"/>
      <c r="V60" s="250"/>
      <c r="W60" s="256"/>
      <c r="X60" s="20" t="s">
        <v>81</v>
      </c>
      <c r="Y60" s="128" t="s">
        <v>82</v>
      </c>
      <c r="Z60" s="138">
        <f>D62</f>
        <v>0.15</v>
      </c>
      <c r="AA60" s="274"/>
      <c r="AB60" s="261"/>
      <c r="AC60" s="261"/>
      <c r="AD60" s="261" t="s">
        <v>109</v>
      </c>
      <c r="AE60" s="279">
        <v>0</v>
      </c>
      <c r="AF60" s="279" t="e">
        <f>($B$67+$B$69+$B$71)/$E$24*($E$24+$H$24)</f>
        <v>#DIV/0!</v>
      </c>
      <c r="AG60" s="279"/>
      <c r="AH60" s="279" t="e">
        <f>SUM(AE60:AF60)</f>
        <v>#DIV/0!</v>
      </c>
      <c r="AI60" s="25"/>
      <c r="AJ60" s="24"/>
      <c r="AK60" s="270"/>
      <c r="AL60" s="131"/>
    </row>
    <row r="61" spans="1:42" ht="14.65" customHeight="1" thickBot="1">
      <c r="A61" s="48" t="s">
        <v>192</v>
      </c>
      <c r="B61" s="347">
        <f>28.16*(1+$F$148)</f>
        <v>28.723200000000002</v>
      </c>
      <c r="C61" s="347">
        <f>30.44*(1+$F$148)</f>
        <v>31.048800000000004</v>
      </c>
      <c r="D61" s="80">
        <f>($B$60*B61+$C$60*C61)/$D$60</f>
        <v>29.60078490566038</v>
      </c>
      <c r="E61" s="26"/>
      <c r="F61" s="347">
        <f>32.42*(1+$F$148)</f>
        <v>33.068400000000004</v>
      </c>
      <c r="G61" s="347">
        <f>32.42*(1+$F$148)</f>
        <v>33.068400000000004</v>
      </c>
      <c r="H61" s="81">
        <f>($F$60*F61+$G$60*G61)/$H$60</f>
        <v>33.068400000000004</v>
      </c>
      <c r="R61" s="235"/>
      <c r="S61" s="235"/>
      <c r="T61" s="24">
        <f>SUM(T59:T60)</f>
        <v>4007798</v>
      </c>
      <c r="U61" s="268"/>
      <c r="V61" s="268"/>
      <c r="W61" s="256" t="s">
        <v>19</v>
      </c>
      <c r="X61" s="130" t="s">
        <v>20</v>
      </c>
      <c r="Y61" s="257" t="s">
        <v>107</v>
      </c>
      <c r="Z61" s="138"/>
      <c r="AA61" s="271">
        <f>$AI$61*AJ61*$B$24</f>
        <v>2258962.067266738</v>
      </c>
      <c r="AB61" s="272" t="e">
        <f>$AI$61*AK61*($E$24+$H$24)</f>
        <v>#DIV/0!</v>
      </c>
      <c r="AC61" s="272"/>
      <c r="AD61" s="273" t="e">
        <f>SUM(AA61:AB61)</f>
        <v>#DIV/0!</v>
      </c>
      <c r="AE61" s="280">
        <f>SUM(AE59:AE60)</f>
        <v>70091.55</v>
      </c>
      <c r="AF61" s="280" t="e">
        <f>SUM(AF59:AF60)</f>
        <v>#DIV/0!</v>
      </c>
      <c r="AG61" s="280"/>
      <c r="AH61" s="280" t="e">
        <f>SUM(AH59:AH60)</f>
        <v>#DIV/0!</v>
      </c>
      <c r="AI61" s="277">
        <f>$AI$14</f>
        <v>32.228736092535236</v>
      </c>
      <c r="AJ61" s="275">
        <f>AE61/$B$24</f>
        <v>0.27167267441860465</v>
      </c>
      <c r="AK61" s="276" t="e">
        <f>AF61/($E$24+$H$24)</f>
        <v>#DIV/0!</v>
      </c>
      <c r="AL61" s="131"/>
    </row>
    <row r="62" spans="1:42" ht="14.65" customHeight="1">
      <c r="A62" s="48" t="s">
        <v>193</v>
      </c>
      <c r="B62" s="343">
        <v>0.15</v>
      </c>
      <c r="C62" s="343">
        <v>0.15</v>
      </c>
      <c r="D62" s="203">
        <f>($B$60*B62+$C$60*C62)/$D$60</f>
        <v>0.15</v>
      </c>
      <c r="E62" s="26"/>
      <c r="F62" s="343">
        <v>0.12</v>
      </c>
      <c r="G62" s="343">
        <v>0.16</v>
      </c>
      <c r="H62" s="211">
        <f>($F$60*F62+$G$60*G62)/$H$60</f>
        <v>0.13</v>
      </c>
      <c r="AA62" s="1014" t="s">
        <v>254</v>
      </c>
      <c r="AB62" s="1015"/>
      <c r="AC62" s="1015"/>
      <c r="AD62" s="1015"/>
      <c r="AE62" s="1015"/>
      <c r="AF62" s="1015"/>
      <c r="AG62" s="1015"/>
      <c r="AH62" s="1015"/>
      <c r="AI62" s="1015"/>
      <c r="AJ62" s="1015"/>
      <c r="AK62" s="1016"/>
    </row>
    <row r="63" spans="1:42" ht="14.65" customHeight="1">
      <c r="A63" s="43"/>
      <c r="H63" s="45"/>
      <c r="R63" s="240"/>
      <c r="S63" s="240"/>
      <c r="T63" s="261">
        <f>$T$15*$Z63</f>
        <v>1201359.51</v>
      </c>
      <c r="U63" s="250"/>
      <c r="V63" s="250"/>
      <c r="W63" s="256"/>
      <c r="X63" s="20" t="s">
        <v>83</v>
      </c>
      <c r="Y63" s="128" t="s">
        <v>84</v>
      </c>
      <c r="Z63" s="138">
        <f>100%-H62</f>
        <v>0.87</v>
      </c>
      <c r="AA63" s="274"/>
      <c r="AB63" s="261"/>
      <c r="AC63" s="261"/>
      <c r="AD63" s="261" t="s">
        <v>159</v>
      </c>
      <c r="AE63" s="278">
        <f>($F$66+$F$68+$F$70+$F$73-$F$75)/$B$25*$B$24</f>
        <v>29352.959999999999</v>
      </c>
      <c r="AF63" s="278">
        <f>($F$66+$F$68+$F$70+$F$73-$F$75)/$B$25*($E$24+$H$24)</f>
        <v>0</v>
      </c>
      <c r="AG63" s="278"/>
      <c r="AH63" s="278">
        <f>SUM(AE63:AF63)</f>
        <v>29352.959999999999</v>
      </c>
      <c r="AI63" s="25"/>
      <c r="AJ63" s="24"/>
      <c r="AK63" s="270"/>
      <c r="AL63" s="131"/>
    </row>
    <row r="64" spans="1:42" ht="14.65" customHeight="1">
      <c r="A64" s="48"/>
      <c r="B64" s="1017" t="s">
        <v>18</v>
      </c>
      <c r="C64" s="1017"/>
      <c r="D64" s="1017"/>
      <c r="F64" s="1017" t="s">
        <v>47</v>
      </c>
      <c r="G64" s="1017"/>
      <c r="H64" s="1018"/>
      <c r="R64" s="269"/>
      <c r="S64" s="269"/>
      <c r="T64" s="262">
        <f>$T$15*$Z64</f>
        <v>179513.49000000002</v>
      </c>
      <c r="U64" s="250"/>
      <c r="V64" s="250"/>
      <c r="W64" s="256"/>
      <c r="X64" s="20" t="s">
        <v>85</v>
      </c>
      <c r="Y64" s="128" t="s">
        <v>86</v>
      </c>
      <c r="Z64" s="138">
        <f>H62</f>
        <v>0.13</v>
      </c>
      <c r="AA64" s="274"/>
      <c r="AB64" s="261"/>
      <c r="AC64" s="261"/>
      <c r="AD64" s="261" t="s">
        <v>109</v>
      </c>
      <c r="AE64" s="279">
        <v>0</v>
      </c>
      <c r="AF64" s="279" t="e">
        <f>($F$67+$F$69+$F$71)/$E$24*($E$24+$H$24)</f>
        <v>#DIV/0!</v>
      </c>
      <c r="AG64" s="279"/>
      <c r="AH64" s="279" t="e">
        <f>SUM(AE64:AF64)</f>
        <v>#DIV/0!</v>
      </c>
      <c r="AI64" s="25"/>
      <c r="AJ64" s="24"/>
      <c r="AK64" s="270"/>
      <c r="AL64" s="131"/>
    </row>
    <row r="65" spans="1:37" ht="14.65" customHeight="1" thickBot="1">
      <c r="A65" s="48"/>
      <c r="B65" s="83" t="s">
        <v>48</v>
      </c>
      <c r="C65" s="83" t="s">
        <v>49</v>
      </c>
      <c r="D65" s="84" t="s">
        <v>50</v>
      </c>
      <c r="E65" s="52"/>
      <c r="F65" s="83" t="s">
        <v>48</v>
      </c>
      <c r="G65" s="83" t="s">
        <v>49</v>
      </c>
      <c r="H65" s="85" t="s">
        <v>50</v>
      </c>
      <c r="I65" s="52"/>
      <c r="R65" s="235"/>
      <c r="S65" s="235"/>
      <c r="T65" s="24">
        <f>SUM(T63:T64)</f>
        <v>1380873</v>
      </c>
      <c r="U65" s="268"/>
      <c r="V65" s="268"/>
      <c r="W65" s="256" t="s">
        <v>19</v>
      </c>
      <c r="X65" s="130" t="s">
        <v>22</v>
      </c>
      <c r="Y65" s="257" t="s">
        <v>107</v>
      </c>
      <c r="Z65" s="138"/>
      <c r="AA65" s="271">
        <f>$AI$65*AJ65*$B$24</f>
        <v>1026489.5839331682</v>
      </c>
      <c r="AB65" s="272" t="e">
        <f>$AI$65*AK65*($E$24+$H$24)</f>
        <v>#DIV/0!</v>
      </c>
      <c r="AC65" s="272"/>
      <c r="AD65" s="273" t="e">
        <f>SUM(AA65:AB65)</f>
        <v>#DIV/0!</v>
      </c>
      <c r="AE65" s="280">
        <f>SUM(AE63:AE64)</f>
        <v>29352.959999999999</v>
      </c>
      <c r="AF65" s="280" t="e">
        <f>SUM(AF63:AF64)</f>
        <v>#DIV/0!</v>
      </c>
      <c r="AG65" s="280"/>
      <c r="AH65" s="280" t="e">
        <f>SUM(AH63:AH64)</f>
        <v>#DIV/0!</v>
      </c>
      <c r="AI65" s="277">
        <f>$AI$15</f>
        <v>34.970564601769915</v>
      </c>
      <c r="AJ65" s="275">
        <f>AE65/$B$24</f>
        <v>0.11377116279069767</v>
      </c>
      <c r="AK65" s="276" t="e">
        <f>AF65/($E$24+$H$24)</f>
        <v>#DIV/0!</v>
      </c>
    </row>
    <row r="66" spans="1:37" ht="14.65" customHeight="1">
      <c r="A66" s="48" t="s">
        <v>195</v>
      </c>
      <c r="B66" s="49">
        <f>$D$148*$D$149*B$60</f>
        <v>72072</v>
      </c>
      <c r="C66" s="86">
        <f>B$61</f>
        <v>28.723200000000002</v>
      </c>
      <c r="D66" s="87">
        <f>B66*C66</f>
        <v>2070138.4704000002</v>
      </c>
      <c r="F66" s="49">
        <f>$D$148*$D$149*F$60</f>
        <v>26208</v>
      </c>
      <c r="G66" s="86">
        <f>F$61</f>
        <v>33.068400000000004</v>
      </c>
      <c r="H66" s="88">
        <f>F66*G66</f>
        <v>866656.6272000001</v>
      </c>
      <c r="I66" s="26"/>
      <c r="R66"/>
      <c r="S66"/>
      <c r="T66"/>
      <c r="U66" s="131"/>
      <c r="V66" s="131"/>
      <c r="W66" s="146"/>
      <c r="X66" s="131"/>
      <c r="Y66" s="132"/>
      <c r="Z66"/>
      <c r="AA66" s="260" t="s">
        <v>398</v>
      </c>
      <c r="AB66" s="131"/>
      <c r="AC66" s="131"/>
      <c r="AD66" s="131"/>
      <c r="AE66" s="162"/>
    </row>
    <row r="67" spans="1:37" ht="14.65" customHeight="1">
      <c r="A67" s="48" t="s">
        <v>196</v>
      </c>
      <c r="B67" s="49">
        <f>$D$148*$D$149*C$60</f>
        <v>43680</v>
      </c>
      <c r="C67" s="205">
        <f>C$61</f>
        <v>31.048800000000004</v>
      </c>
      <c r="D67" s="78">
        <f>B67*C67</f>
        <v>1356211.5840000003</v>
      </c>
      <c r="F67" s="49">
        <f>$D$148*$D$149*G$60</f>
        <v>8736</v>
      </c>
      <c r="G67" s="205">
        <f>G$61</f>
        <v>33.068400000000004</v>
      </c>
      <c r="H67" s="79">
        <f>F67*G67</f>
        <v>288885.54240000003</v>
      </c>
      <c r="I67" s="26"/>
      <c r="R67" s="240"/>
      <c r="S67" s="240"/>
      <c r="T67" s="261">
        <f t="shared" ref="T67:T72" si="47">$T$16*$Z67</f>
        <v>215080.25097696795</v>
      </c>
      <c r="U67" s="250"/>
      <c r="V67" s="250"/>
      <c r="W67" s="159"/>
      <c r="X67" s="20" t="s">
        <v>87</v>
      </c>
      <c r="Y67" s="128" t="s">
        <v>88</v>
      </c>
      <c r="Z67" s="138">
        <f t="shared" ref="Z67:Z72" si="48">AA67/$AA$73</f>
        <v>8.8696471435533455E-2</v>
      </c>
      <c r="AA67" s="143">
        <v>113854.1</v>
      </c>
      <c r="AB67" s="133"/>
      <c r="AC67" s="133"/>
      <c r="AD67" s="133"/>
      <c r="AE67" s="143"/>
      <c r="AI67" s="240"/>
      <c r="AJ67" s="240"/>
    </row>
    <row r="68" spans="1:37" ht="14.65" customHeight="1">
      <c r="A68" s="48" t="s">
        <v>197</v>
      </c>
      <c r="B68" s="49">
        <f>B66*B62</f>
        <v>10810.8</v>
      </c>
      <c r="C68" s="89">
        <f>B61*D150</f>
        <v>43.084800000000001</v>
      </c>
      <c r="D68" s="78">
        <f>B68*C68</f>
        <v>465781.15583999996</v>
      </c>
      <c r="F68" s="49">
        <f>F66*F62</f>
        <v>3144.96</v>
      </c>
      <c r="G68" s="89">
        <f>F61*D150</f>
        <v>49.60260000000001</v>
      </c>
      <c r="H68" s="79">
        <f>F68*G68</f>
        <v>155998.19289600002</v>
      </c>
      <c r="I68" s="26"/>
      <c r="R68" s="240"/>
      <c r="S68" s="240"/>
      <c r="T68" s="261">
        <f t="shared" si="47"/>
        <v>201675.99165525968</v>
      </c>
      <c r="U68" s="250"/>
      <c r="V68" s="250"/>
      <c r="W68" s="159"/>
      <c r="X68" s="20" t="s">
        <v>89</v>
      </c>
      <c r="Y68" s="128" t="s">
        <v>90</v>
      </c>
      <c r="Z68" s="138">
        <f t="shared" si="48"/>
        <v>8.3168718428728125E-2</v>
      </c>
      <c r="AA68" s="143">
        <v>106758.47</v>
      </c>
      <c r="AB68" s="133"/>
      <c r="AC68" s="133"/>
      <c r="AD68" s="133"/>
      <c r="AE68" s="143"/>
      <c r="AI68" s="240"/>
      <c r="AJ68" s="240"/>
    </row>
    <row r="69" spans="1:37" ht="14.65" customHeight="1">
      <c r="A69" s="48" t="s">
        <v>198</v>
      </c>
      <c r="B69" s="49">
        <f>B67*C62</f>
        <v>6552</v>
      </c>
      <c r="C69" s="89">
        <f>C61*D150</f>
        <v>46.573200000000007</v>
      </c>
      <c r="D69" s="78">
        <f>B69*C69</f>
        <v>305147.60640000005</v>
      </c>
      <c r="F69" s="49">
        <f>F67*G62</f>
        <v>1397.76</v>
      </c>
      <c r="G69" s="89">
        <f>G61*D150</f>
        <v>49.60260000000001</v>
      </c>
      <c r="H69" s="79">
        <f>F69*G69</f>
        <v>69332.530176000015</v>
      </c>
      <c r="I69" s="26"/>
      <c r="R69" s="240"/>
      <c r="S69" s="240"/>
      <c r="T69" s="261">
        <f t="shared" si="47"/>
        <v>200153.63346302236</v>
      </c>
      <c r="U69" s="250"/>
      <c r="V69" s="250"/>
      <c r="W69" s="159"/>
      <c r="X69" s="20" t="s">
        <v>91</v>
      </c>
      <c r="Y69" s="128" t="s">
        <v>92</v>
      </c>
      <c r="Z69" s="138">
        <f t="shared" si="48"/>
        <v>8.2540916483644436E-2</v>
      </c>
      <c r="AA69" s="143">
        <v>105952.6</v>
      </c>
      <c r="AB69" s="133"/>
      <c r="AC69" s="133"/>
      <c r="AD69" s="133"/>
      <c r="AE69" s="143"/>
      <c r="AI69" s="240"/>
      <c r="AJ69" s="240"/>
    </row>
    <row r="70" spans="1:37" ht="14.65" customHeight="1">
      <c r="A70" s="48" t="s">
        <v>199</v>
      </c>
      <c r="B70" s="49">
        <v>0</v>
      </c>
      <c r="C70" s="90"/>
      <c r="D70" s="78">
        <f>96*(34.91*1.03)*12*1.5</f>
        <v>62134.21439999999</v>
      </c>
      <c r="F70" s="49">
        <v>0</v>
      </c>
      <c r="G70" s="89"/>
      <c r="H70" s="79">
        <v>0</v>
      </c>
      <c r="I70" s="26"/>
      <c r="R70" s="240"/>
      <c r="S70" s="240"/>
      <c r="T70" s="261">
        <f t="shared" si="47"/>
        <v>1209891.5049458479</v>
      </c>
      <c r="U70" s="250"/>
      <c r="V70" s="250"/>
      <c r="W70" s="159"/>
      <c r="X70" s="20" t="s">
        <v>93</v>
      </c>
      <c r="Y70" s="128" t="s">
        <v>94</v>
      </c>
      <c r="Z70" s="138">
        <f t="shared" si="48"/>
        <v>0.49894449546655822</v>
      </c>
      <c r="AA70" s="143">
        <v>640463.77</v>
      </c>
      <c r="AB70" s="133"/>
      <c r="AC70" s="133"/>
      <c r="AD70" s="133"/>
      <c r="AE70" s="143"/>
      <c r="AI70" s="240"/>
      <c r="AJ70" s="240"/>
    </row>
    <row r="71" spans="1:37" ht="14.65" customHeight="1">
      <c r="A71" s="48" t="s">
        <v>200</v>
      </c>
      <c r="B71" s="170">
        <v>0</v>
      </c>
      <c r="C71" s="177"/>
      <c r="D71" s="178">
        <v>0</v>
      </c>
      <c r="E71" s="163"/>
      <c r="F71" s="170">
        <v>0</v>
      </c>
      <c r="G71" s="177"/>
      <c r="H71" s="194">
        <v>0</v>
      </c>
      <c r="I71" s="26"/>
      <c r="R71" s="240"/>
      <c r="S71" s="240"/>
      <c r="T71" s="261">
        <f t="shared" si="47"/>
        <v>553380.34820740751</v>
      </c>
      <c r="U71" s="250"/>
      <c r="V71" s="250"/>
      <c r="W71" s="159"/>
      <c r="X71" s="20" t="s">
        <v>95</v>
      </c>
      <c r="Y71" s="128" t="s">
        <v>96</v>
      </c>
      <c r="Z71" s="138">
        <f t="shared" si="48"/>
        <v>0.22820730413328355</v>
      </c>
      <c r="AA71" s="143">
        <v>292935.40999999997</v>
      </c>
      <c r="AB71" s="133"/>
      <c r="AC71" s="133"/>
      <c r="AD71" s="133"/>
      <c r="AE71" s="143"/>
      <c r="AI71" s="240"/>
      <c r="AJ71" s="240"/>
    </row>
    <row r="72" spans="1:37" ht="14.65" customHeight="1">
      <c r="A72" s="176" t="s">
        <v>161</v>
      </c>
      <c r="B72" s="49">
        <f>SUM(B66:B71)</f>
        <v>133114.79999999999</v>
      </c>
      <c r="C72" s="80">
        <f>D72/B72</f>
        <v>31.998042524497659</v>
      </c>
      <c r="D72" s="167">
        <f>SUM(D66:D71)</f>
        <v>4259413.0310400007</v>
      </c>
      <c r="E72" s="163"/>
      <c r="F72" s="49">
        <f>SUM(F66:F71)</f>
        <v>39486.720000000001</v>
      </c>
      <c r="G72" s="80">
        <f>H72/F72</f>
        <v>34.970564601769915</v>
      </c>
      <c r="H72" s="91">
        <f>SUM(H66:H71)</f>
        <v>1380872.8926720002</v>
      </c>
      <c r="I72" s="26"/>
      <c r="R72" s="269"/>
      <c r="S72" s="269"/>
      <c r="T72" s="262">
        <f t="shared" si="47"/>
        <v>44720.270751494434</v>
      </c>
      <c r="U72" s="250"/>
      <c r="V72" s="250"/>
      <c r="W72" s="159"/>
      <c r="X72" s="20" t="s">
        <v>97</v>
      </c>
      <c r="Y72" s="128" t="s">
        <v>98</v>
      </c>
      <c r="Z72" s="258">
        <f t="shared" si="48"/>
        <v>1.8442094052252188E-2</v>
      </c>
      <c r="AA72" s="161">
        <v>23672.959999999999</v>
      </c>
      <c r="AB72" s="133"/>
      <c r="AC72" s="133"/>
      <c r="AD72" s="133"/>
      <c r="AE72" s="161"/>
      <c r="AI72" s="240"/>
      <c r="AJ72" s="240"/>
    </row>
    <row r="73" spans="1:37" ht="14.65" customHeight="1">
      <c r="A73" s="176" t="s">
        <v>217</v>
      </c>
      <c r="B73" s="170">
        <f>-H82</f>
        <v>-8760</v>
      </c>
      <c r="C73" s="209">
        <f>D73/B73</f>
        <v>28.723173515981735</v>
      </c>
      <c r="D73" s="179">
        <f>ROUND(B73*B61,0)</f>
        <v>-251615</v>
      </c>
      <c r="E73" s="163"/>
      <c r="F73" s="170">
        <v>0</v>
      </c>
      <c r="G73" s="210"/>
      <c r="H73" s="195">
        <v>0</v>
      </c>
      <c r="I73" s="163"/>
      <c r="R73" s="235"/>
      <c r="S73" s="235"/>
      <c r="T73" s="24">
        <f>SUM(T67:T72)</f>
        <v>2424902</v>
      </c>
      <c r="U73" s="268"/>
      <c r="V73" s="268"/>
      <c r="W73" s="256" t="s">
        <v>19</v>
      </c>
      <c r="X73" s="130" t="s">
        <v>24</v>
      </c>
      <c r="Y73" s="257" t="s">
        <v>107</v>
      </c>
      <c r="Z73" s="138">
        <f>SUM(Z67:Z72)</f>
        <v>0.99999999999999989</v>
      </c>
      <c r="AA73" s="259">
        <f>SUM(AA67:AA72)</f>
        <v>1283637.31</v>
      </c>
      <c r="AB73"/>
      <c r="AC73"/>
      <c r="AD73"/>
      <c r="AE73" s="160"/>
      <c r="AI73" s="241"/>
      <c r="AJ73" s="241"/>
    </row>
    <row r="74" spans="1:37" ht="14.65" customHeight="1">
      <c r="A74" s="176" t="s">
        <v>162</v>
      </c>
      <c r="B74" s="165">
        <f>SUM(B72:B73)</f>
        <v>124354.79999999999</v>
      </c>
      <c r="C74" s="166">
        <f>D74/B74</f>
        <v>32.228736092535236</v>
      </c>
      <c r="D74" s="169">
        <f>SUM(D72:D73)</f>
        <v>4007798.0310400007</v>
      </c>
      <c r="E74" s="163"/>
      <c r="F74" s="165">
        <f>SUM(F72:F73)</f>
        <v>39486.720000000001</v>
      </c>
      <c r="G74" s="196">
        <f>H74/F74</f>
        <v>34.970564601769915</v>
      </c>
      <c r="H74" s="164">
        <f>SUM(H72:H73)</f>
        <v>1380872.8926720002</v>
      </c>
    </row>
    <row r="75" spans="1:37" ht="14.65" customHeight="1">
      <c r="A75" s="141" t="s">
        <v>163</v>
      </c>
      <c r="B75" s="165">
        <f>H83</f>
        <v>4031.25</v>
      </c>
      <c r="C75" s="166"/>
      <c r="D75" s="169">
        <f>B75*C74</f>
        <v>129922.09237303268</v>
      </c>
      <c r="E75" s="163"/>
      <c r="F75" s="165">
        <v>0</v>
      </c>
      <c r="G75" s="40"/>
      <c r="H75" s="164">
        <f>F75*G74</f>
        <v>0</v>
      </c>
    </row>
    <row r="76" spans="1:37" ht="14.65" customHeight="1">
      <c r="A76" s="141" t="s">
        <v>164</v>
      </c>
      <c r="B76" s="165">
        <f>B74-B75</f>
        <v>120323.54999999999</v>
      </c>
      <c r="C76" s="166"/>
      <c r="D76" s="169">
        <f>B76*C74</f>
        <v>3877875.9386669677</v>
      </c>
      <c r="E76" s="163"/>
      <c r="F76" s="165">
        <f>F74-F75</f>
        <v>39486.720000000001</v>
      </c>
      <c r="G76" s="196"/>
      <c r="H76" s="197">
        <f>F76*G74</f>
        <v>1380872.8926720002</v>
      </c>
    </row>
    <row r="77" spans="1:37" ht="14.65" customHeight="1" thickBot="1">
      <c r="A77" s="48"/>
      <c r="B77" s="59"/>
      <c r="H77" s="45"/>
    </row>
    <row r="78" spans="1:37" ht="14.65" customHeight="1">
      <c r="A78" s="48" t="str">
        <f>CONCATENATE("Indirect Payroll Cost (IPC) at ",$D$151*100,"% (NIRO)")</f>
        <v>Indirect Payroll Cost (IPC) at 45% (NIRO)</v>
      </c>
      <c r="B78" s="49">
        <f>B66+B68+B70</f>
        <v>82882.8</v>
      </c>
      <c r="C78" s="80">
        <f>D78/B78</f>
        <v>19.658106354167572</v>
      </c>
      <c r="D78" s="204">
        <f>((D66+D68+D70)*$D$151)+((H66+H68+H70)*$D$151)</f>
        <v>1629318.8973312001</v>
      </c>
      <c r="E78" s="1019" t="s">
        <v>300</v>
      </c>
      <c r="F78" s="1019"/>
      <c r="G78" s="1019"/>
      <c r="H78" s="357">
        <f>B61*(1+D151)*H81</f>
        <v>532738.16639999999</v>
      </c>
      <c r="AA78" s="1014" t="s">
        <v>255</v>
      </c>
      <c r="AB78" s="1015"/>
      <c r="AC78" s="1015"/>
      <c r="AD78" s="1015"/>
      <c r="AE78" s="1015"/>
      <c r="AF78" s="1015"/>
      <c r="AG78" s="1015"/>
      <c r="AH78" s="1015"/>
      <c r="AI78" s="1015"/>
      <c r="AJ78" s="1015"/>
      <c r="AK78" s="1016"/>
    </row>
    <row r="79" spans="1:37" ht="14.65" customHeight="1">
      <c r="A79" s="48" t="str">
        <f>CONCATENATE("Indirect Payroll Cost (IPC) at ",$D$151*100,"% (KS)")</f>
        <v>Indirect Payroll Cost (IPC) at 45% (KS)</v>
      </c>
      <c r="B79" s="170">
        <f>B67+B69+B71</f>
        <v>50232</v>
      </c>
      <c r="C79" s="209">
        <f>D79/B79</f>
        <v>18.092247339130434</v>
      </c>
      <c r="D79" s="179">
        <f>((D67+D69+D71)*$D$151)+((H67+H69+H71)*$D$151)</f>
        <v>908809.76833920006</v>
      </c>
      <c r="E79" s="1019" t="s">
        <v>301</v>
      </c>
      <c r="F79" s="1022"/>
      <c r="G79" s="356">
        <v>0.2</v>
      </c>
      <c r="H79" s="292">
        <f>B25*G79*1000</f>
        <v>51600000</v>
      </c>
      <c r="AA79" s="274"/>
      <c r="AB79" s="261"/>
      <c r="AC79" s="261"/>
      <c r="AD79" s="261" t="s">
        <v>159</v>
      </c>
      <c r="AE79" s="278">
        <f>($B$66+$B$68+$B$70+$B$73-$B$75)/$B$25*$B$24</f>
        <v>70091.55</v>
      </c>
      <c r="AF79" s="278">
        <f>($B$66+$B$68+$B$70+$B$73-$B$75)/$B$25*($E$24+$H$24)</f>
        <v>0</v>
      </c>
      <c r="AG79" s="278"/>
      <c r="AH79" s="278">
        <f>SUM(AE79:AF79)</f>
        <v>70091.55</v>
      </c>
      <c r="AI79" s="25"/>
      <c r="AJ79" s="24"/>
      <c r="AK79" s="270"/>
    </row>
    <row r="80" spans="1:37" ht="14.65" customHeight="1">
      <c r="A80" s="176" t="str">
        <f>CONCATENATE("Total IPC at ",$D$151*100,"% (KS)")</f>
        <v>Total IPC at 45% (KS)</v>
      </c>
      <c r="B80" s="49">
        <f>SUM(B78:B79)</f>
        <v>133114.79999999999</v>
      </c>
      <c r="C80" s="80">
        <f>D80/B80</f>
        <v>19.067216159813938</v>
      </c>
      <c r="D80" s="207">
        <f>SUM(D78:D79)</f>
        <v>2538128.6656704</v>
      </c>
      <c r="E80" s="293" t="s">
        <v>158</v>
      </c>
      <c r="F80" s="294" t="s">
        <v>50</v>
      </c>
      <c r="G80" s="294" t="s">
        <v>52</v>
      </c>
      <c r="H80" s="295" t="s">
        <v>53</v>
      </c>
      <c r="AA80" s="274"/>
      <c r="AB80" s="261"/>
      <c r="AC80" s="261"/>
      <c r="AD80" s="261" t="s">
        <v>109</v>
      </c>
      <c r="AE80" s="279">
        <v>0</v>
      </c>
      <c r="AF80" s="279" t="e">
        <f>($B$67+$B$69+$B$71)/($E$24+$H$24)*($E$24+$H$24)</f>
        <v>#DIV/0!</v>
      </c>
      <c r="AG80" s="279"/>
      <c r="AH80" s="279" t="e">
        <f>SUM(AE80:AF80)</f>
        <v>#DIV/0!</v>
      </c>
      <c r="AI80" s="25"/>
      <c r="AJ80" s="24"/>
      <c r="AK80" s="270"/>
    </row>
    <row r="81" spans="1:37" ht="14.65" customHeight="1" thickBot="1">
      <c r="A81" s="176" t="s">
        <v>201</v>
      </c>
      <c r="B81" s="147">
        <f>B73</f>
        <v>-8760</v>
      </c>
      <c r="C81" s="208">
        <f>D81/B81</f>
        <v>12.925456621004566</v>
      </c>
      <c r="D81" s="168">
        <f>ROUND(B81*$B$61*D151,0)</f>
        <v>-113227</v>
      </c>
      <c r="E81" s="298" t="s">
        <v>151</v>
      </c>
      <c r="F81" s="296">
        <f>SUM(F82:F83)</f>
        <v>367405.63200000004</v>
      </c>
      <c r="G81" s="296">
        <f>SUM(G82:G83)</f>
        <v>165332.5344</v>
      </c>
      <c r="H81" s="297">
        <f>SUM(H82:H83)</f>
        <v>12791.25</v>
      </c>
      <c r="AA81" s="271">
        <f>$AI$81*AJ81*$B$24</f>
        <v>1366775.6801057952</v>
      </c>
      <c r="AB81" s="272" t="e">
        <f>$AI$81*AK81*($E$24+$H$24)</f>
        <v>#DIV/0!</v>
      </c>
      <c r="AC81" s="272"/>
      <c r="AD81" s="273" t="e">
        <f>SUM(AA81:AB81)</f>
        <v>#DIV/0!</v>
      </c>
      <c r="AE81" s="280">
        <f>SUM(AE79:AE80)</f>
        <v>70091.55</v>
      </c>
      <c r="AF81" s="280" t="e">
        <f>SUM(AF79:AF80)</f>
        <v>#DIV/0!</v>
      </c>
      <c r="AG81" s="280"/>
      <c r="AH81" s="280" t="e">
        <f>SUM(AH79:AH80)</f>
        <v>#DIV/0!</v>
      </c>
      <c r="AI81" s="277">
        <f>$AI$16</f>
        <v>19.499863822469258</v>
      </c>
      <c r="AJ81" s="275">
        <f>AE81/$B$24</f>
        <v>0.27167267441860465</v>
      </c>
      <c r="AK81" s="276" t="e">
        <f>AF81/($E$24+$H$24)</f>
        <v>#DIV/0!</v>
      </c>
    </row>
    <row r="82" spans="1:37" ht="14.65" customHeight="1">
      <c r="A82" s="176" t="s">
        <v>165</v>
      </c>
      <c r="B82" s="165">
        <f>SUM(B80:B81)</f>
        <v>124354.79999999999</v>
      </c>
      <c r="C82" s="166">
        <f>D82/B82</f>
        <v>19.499863822469258</v>
      </c>
      <c r="D82" s="169">
        <f>SUM(D80:D81)</f>
        <v>2424901.6656704</v>
      </c>
      <c r="E82" s="298" t="s">
        <v>54</v>
      </c>
      <c r="F82" s="296">
        <f>$H82*$B$61</f>
        <v>251615.23200000002</v>
      </c>
      <c r="G82" s="296">
        <f>$H82*$B$61*$D$151</f>
        <v>113226.85440000001</v>
      </c>
      <c r="H82" s="297">
        <f>1*365*24</f>
        <v>8760</v>
      </c>
    </row>
    <row r="83" spans="1:37" ht="14.65" customHeight="1">
      <c r="A83" s="141" t="s">
        <v>166</v>
      </c>
      <c r="B83" s="165">
        <f>H83</f>
        <v>4031.25</v>
      </c>
      <c r="C83" s="166"/>
      <c r="D83" s="169">
        <f>B83*C82</f>
        <v>78608.826034329191</v>
      </c>
      <c r="E83" s="298" t="s">
        <v>55</v>
      </c>
      <c r="F83" s="296">
        <f>$H83*$B$61</f>
        <v>115790.40000000001</v>
      </c>
      <c r="G83" s="296">
        <f>$H83*$B$61*$D$151</f>
        <v>52105.680000000008</v>
      </c>
      <c r="H83" s="297">
        <f>H79/12800</f>
        <v>4031.25</v>
      </c>
    </row>
    <row r="84" spans="1:37" ht="14.65" customHeight="1">
      <c r="A84" s="141" t="s">
        <v>167</v>
      </c>
      <c r="B84" s="165">
        <f>B82-B83</f>
        <v>120323.54999999999</v>
      </c>
      <c r="C84" s="196"/>
      <c r="D84" s="169">
        <f>B84*C82</f>
        <v>2346292.8396360707</v>
      </c>
      <c r="E84" s="26"/>
      <c r="F84" s="26"/>
      <c r="G84" s="26"/>
      <c r="H84" s="77"/>
    </row>
    <row r="85" spans="1:37" ht="14.65" customHeight="1">
      <c r="A85" s="48"/>
      <c r="B85" s="26"/>
      <c r="C85" s="26"/>
      <c r="D85" s="299"/>
      <c r="E85" s="1009" t="s">
        <v>186</v>
      </c>
      <c r="F85" s="1009"/>
      <c r="G85" s="1009" t="s">
        <v>259</v>
      </c>
      <c r="H85" s="1010"/>
    </row>
    <row r="86" spans="1:37" ht="14.65" customHeight="1">
      <c r="A86" s="48"/>
      <c r="B86" s="26"/>
      <c r="C86" s="26"/>
      <c r="D86" s="299"/>
      <c r="E86" s="199" t="s">
        <v>53</v>
      </c>
      <c r="F86" s="199" t="s">
        <v>273</v>
      </c>
      <c r="G86" s="199" t="s">
        <v>53</v>
      </c>
      <c r="H86" s="305" t="s">
        <v>273</v>
      </c>
    </row>
    <row r="87" spans="1:37" ht="14.65" customHeight="1">
      <c r="A87" s="48" t="s">
        <v>274</v>
      </c>
      <c r="B87" s="26"/>
      <c r="C87" s="26"/>
      <c r="D87" s="299"/>
      <c r="E87" s="49">
        <f>IF(AND($B$130&lt;&gt;0,$C$130&lt;&gt;0),$B$76/$D$130*$B$130,IF(AND($B$130&lt;&gt;0,$C$130=0),$B$76,0))</f>
        <v>120323.54999999999</v>
      </c>
      <c r="F87" s="102">
        <f>E87*$C$74</f>
        <v>3877875.9386669677</v>
      </c>
      <c r="G87" s="49">
        <f>IF(AND($B$130&lt;&gt;0,$C$130&lt;&gt;0),$B$76/$D$130*$C$130,IF(AND($B$130=0,$C$130&lt;&gt;0),$B$76,0))</f>
        <v>0</v>
      </c>
      <c r="H87" s="303">
        <f>G87*$C$74</f>
        <v>0</v>
      </c>
    </row>
    <row r="88" spans="1:37" ht="14.65" customHeight="1">
      <c r="A88" s="48" t="s">
        <v>275</v>
      </c>
      <c r="B88" s="26"/>
      <c r="C88" s="26"/>
      <c r="D88" s="299"/>
      <c r="E88" s="49">
        <f>IF(AND($B$130&lt;&gt;0,$C$130&lt;&gt;0),$F$76/$D$130*$B$130,IF(AND($B$130&lt;&gt;0,$C$130=0),$F$76,0))</f>
        <v>39486.720000000001</v>
      </c>
      <c r="F88" s="102">
        <f>E88*$G$74</f>
        <v>1380872.8926720002</v>
      </c>
      <c r="G88" s="49">
        <f>IF(AND($B$130&lt;&gt;0,$C$130&lt;&gt;0),$F$76/$D$130*$C$130,IF(AND($B$130=0,$C$130&lt;&gt;0),$F$76,0))</f>
        <v>0</v>
      </c>
      <c r="H88" s="303">
        <f>G88*$G$74</f>
        <v>0</v>
      </c>
    </row>
    <row r="89" spans="1:37" ht="14.65" customHeight="1">
      <c r="A89" s="112" t="s">
        <v>276</v>
      </c>
      <c r="B89" s="113"/>
      <c r="C89" s="113"/>
      <c r="D89" s="300"/>
      <c r="E89" s="170">
        <f>(E87+E88)/($B$76+$F$76)*$B$84</f>
        <v>120323.54999999999</v>
      </c>
      <c r="F89" s="302">
        <f>E89*$C$82</f>
        <v>2346292.8396360707</v>
      </c>
      <c r="G89" s="170">
        <f>(G87+G88)/($B$76+$F$76)*$B$84</f>
        <v>0</v>
      </c>
      <c r="H89" s="304">
        <f>G89*$C$82</f>
        <v>0</v>
      </c>
    </row>
    <row r="90" spans="1:37" ht="14.65" customHeight="1">
      <c r="D90" s="92"/>
      <c r="H90" s="92"/>
    </row>
    <row r="91" spans="1:37" ht="14.65" customHeight="1"/>
    <row r="92" spans="1:37" ht="14.65" customHeight="1">
      <c r="A92" s="82" t="s">
        <v>56</v>
      </c>
      <c r="B92" s="93"/>
      <c r="C92" s="93"/>
      <c r="D92" s="94"/>
      <c r="E92" s="94"/>
      <c r="F92" s="93"/>
      <c r="G92" s="93"/>
      <c r="H92" s="95"/>
    </row>
    <row r="93" spans="1:37" ht="15">
      <c r="A93" s="48"/>
      <c r="B93" s="147" t="s">
        <v>8</v>
      </c>
      <c r="C93" s="213" t="s">
        <v>207</v>
      </c>
      <c r="D93" s="213" t="s">
        <v>213</v>
      </c>
      <c r="F93" s="147" t="s">
        <v>5</v>
      </c>
      <c r="G93" s="213" t="s">
        <v>6</v>
      </c>
      <c r="H93" s="214" t="s">
        <v>214</v>
      </c>
    </row>
    <row r="94" spans="1:37" ht="15">
      <c r="A94" s="48"/>
      <c r="B94" s="49" t="s">
        <v>202</v>
      </c>
      <c r="C94" s="49">
        <f>IF(($B$107*$B$24+$F$107*$E$24+$F$107*$H$24)*1000&lt;=480000,($B$107*$B$24+$F$107*$E$24+$F$107*$H$24)*1000,480000)</f>
        <v>480000</v>
      </c>
      <c r="D94" s="347">
        <v>5.1124999999999998</v>
      </c>
      <c r="F94" s="49" t="s">
        <v>159</v>
      </c>
      <c r="G94" s="49">
        <f>(B100*$B$24+F100*$E$24+F100*$H$24)*1000</f>
        <v>16512000</v>
      </c>
      <c r="H94" s="349">
        <v>0.1</v>
      </c>
    </row>
    <row r="95" spans="1:37" ht="16.5">
      <c r="A95" s="48"/>
      <c r="B95" s="49" t="s">
        <v>203</v>
      </c>
      <c r="C95" s="147">
        <f>IF(C94&gt;=480000,(((B104+B105+B106)*$B$24*1000)+((F104+F105+F106)*($E$24+$H$24)*1000))-480000,0)</f>
        <v>650040</v>
      </c>
      <c r="D95" s="347">
        <v>3.0468000000000002</v>
      </c>
      <c r="F95" s="49" t="s">
        <v>109</v>
      </c>
      <c r="G95" s="147">
        <f>(B101*$B$24+F101*$E$24+F101*$H$24)*1000</f>
        <v>0</v>
      </c>
      <c r="H95" s="349">
        <v>6.5000000000000002E-2</v>
      </c>
    </row>
    <row r="96" spans="1:37">
      <c r="A96" s="48"/>
      <c r="B96" s="49"/>
      <c r="C96" s="49">
        <f>SUM(C94:C95)</f>
        <v>1130040</v>
      </c>
      <c r="D96" s="80">
        <f>(C94*D94+C95*D95)/C96</f>
        <v>3.9242344270999259</v>
      </c>
      <c r="F96" s="49"/>
      <c r="G96" s="49">
        <f>SUM(G94:G95)</f>
        <v>16512000</v>
      </c>
      <c r="H96" s="173">
        <f>(G94*H94+G95*H95)/G96</f>
        <v>0.1</v>
      </c>
    </row>
    <row r="97" spans="1:36">
      <c r="A97" s="43"/>
      <c r="C97" s="359"/>
      <c r="G97" s="359"/>
      <c r="H97" s="96"/>
    </row>
    <row r="98" spans="1:36">
      <c r="A98" s="48"/>
      <c r="B98" s="1023" t="s">
        <v>194</v>
      </c>
      <c r="C98" s="1023"/>
      <c r="D98" s="1023"/>
      <c r="F98" s="1023" t="s">
        <v>285</v>
      </c>
      <c r="G98" s="1023"/>
      <c r="H98" s="1024"/>
    </row>
    <row r="99" spans="1:36" ht="26.25">
      <c r="A99" s="48"/>
      <c r="B99" s="97" t="s">
        <v>152</v>
      </c>
      <c r="C99" s="13" t="s">
        <v>215</v>
      </c>
      <c r="D99" s="97" t="s">
        <v>153</v>
      </c>
      <c r="F99" s="97" t="s">
        <v>152</v>
      </c>
      <c r="G99" s="13" t="s">
        <v>215</v>
      </c>
      <c r="H99" s="101" t="s">
        <v>153</v>
      </c>
      <c r="Y99"/>
      <c r="Z99"/>
      <c r="AA99"/>
      <c r="AB99"/>
      <c r="AC99"/>
      <c r="AD99"/>
      <c r="AE99" s="136"/>
    </row>
    <row r="100" spans="1:36" ht="15">
      <c r="A100" s="48" t="s">
        <v>204</v>
      </c>
      <c r="B100" s="350">
        <f>0.064</f>
        <v>6.4000000000000001E-2</v>
      </c>
      <c r="C100" s="172">
        <f>$H$96</f>
        <v>0.1</v>
      </c>
      <c r="D100" s="174">
        <f>B100*C100</f>
        <v>6.4000000000000003E-3</v>
      </c>
      <c r="F100" s="350">
        <f>0.064</f>
        <v>6.4000000000000001E-2</v>
      </c>
      <c r="G100" s="172">
        <f>$H$96</f>
        <v>0.1</v>
      </c>
      <c r="H100" s="175">
        <f>F100*G100</f>
        <v>6.4000000000000003E-3</v>
      </c>
      <c r="W100" s="97"/>
      <c r="Y100"/>
      <c r="Z100"/>
      <c r="AA100"/>
      <c r="AB100"/>
      <c r="AC100"/>
      <c r="AD100"/>
      <c r="AE100" s="136"/>
    </row>
    <row r="101" spans="1:36" ht="15">
      <c r="A101" s="48" t="s">
        <v>205</v>
      </c>
      <c r="B101" s="350">
        <v>0</v>
      </c>
      <c r="C101" s="172">
        <f>$H$96</f>
        <v>0.1</v>
      </c>
      <c r="D101" s="174">
        <f>B101*C101</f>
        <v>0</v>
      </c>
      <c r="F101" s="350">
        <f>0.6884</f>
        <v>0.68840000000000001</v>
      </c>
      <c r="G101" s="172">
        <f>$H$96</f>
        <v>0.1</v>
      </c>
      <c r="H101" s="175">
        <f>F101*G101</f>
        <v>6.8839999999999998E-2</v>
      </c>
      <c r="W101" s="266"/>
      <c r="Y101"/>
      <c r="Z101"/>
      <c r="AA101"/>
      <c r="AB101"/>
      <c r="AC101"/>
      <c r="AD101"/>
      <c r="AE101" s="136"/>
      <c r="AJ101" s="158"/>
    </row>
    <row r="102" spans="1:36" ht="15">
      <c r="A102" s="176" t="s">
        <v>210</v>
      </c>
      <c r="B102" s="222">
        <f>SUM(B100:B101)</f>
        <v>6.4000000000000001E-2</v>
      </c>
      <c r="C102" s="223">
        <f>D102/B102</f>
        <v>0.1</v>
      </c>
      <c r="D102" s="224">
        <f>SUM(D100:D101)</f>
        <v>6.4000000000000003E-3</v>
      </c>
      <c r="F102" s="222">
        <f>SUM(F100:F101)</f>
        <v>0.75239999999999996</v>
      </c>
      <c r="G102" s="223">
        <f>H102/F102</f>
        <v>0.1</v>
      </c>
      <c r="H102" s="225">
        <f>SUM(H100:H101)</f>
        <v>7.5240000000000001E-2</v>
      </c>
      <c r="W102" s="266"/>
      <c r="Y102"/>
      <c r="Z102"/>
      <c r="AA102"/>
      <c r="AB102"/>
      <c r="AC102"/>
      <c r="AD102"/>
      <c r="AE102" s="136"/>
      <c r="AJ102" s="158"/>
    </row>
    <row r="103" spans="1:36" ht="15">
      <c r="A103" s="176"/>
      <c r="B103" s="217"/>
      <c r="C103" s="221"/>
      <c r="D103" s="174"/>
      <c r="F103" s="217"/>
      <c r="G103" s="221"/>
      <c r="H103" s="175"/>
      <c r="W103" s="266"/>
      <c r="Y103"/>
      <c r="Z103"/>
      <c r="AA103"/>
      <c r="AB103"/>
      <c r="AC103"/>
      <c r="AD103"/>
      <c r="AE103" s="136"/>
    </row>
    <row r="104" spans="1:36" ht="15">
      <c r="A104" s="48" t="s">
        <v>208</v>
      </c>
      <c r="B104" s="350">
        <v>2.1900000000000001E-3</v>
      </c>
      <c r="C104" s="212">
        <f>$D$96</f>
        <v>3.9242344270999259</v>
      </c>
      <c r="D104" s="174">
        <f>B104*C104</f>
        <v>8.5940733953488377E-3</v>
      </c>
      <c r="F104" s="350">
        <v>2.1900000000000001E-3</v>
      </c>
      <c r="G104" s="212">
        <f>$D$96</f>
        <v>3.9242344270999259</v>
      </c>
      <c r="H104" s="175">
        <f>F104*G104</f>
        <v>8.5940733953488377E-3</v>
      </c>
      <c r="W104" s="266"/>
      <c r="Y104"/>
      <c r="Z104"/>
      <c r="AA104"/>
      <c r="AB104"/>
      <c r="AC104"/>
      <c r="AD104"/>
      <c r="AE104" s="136"/>
    </row>
    <row r="105" spans="1:36" ht="15">
      <c r="A105" s="48" t="s">
        <v>206</v>
      </c>
      <c r="B105" s="350">
        <v>2.1900000000000001E-3</v>
      </c>
      <c r="C105" s="212">
        <f>$D$96</f>
        <v>3.9242344270999259</v>
      </c>
      <c r="D105" s="174">
        <f>B105*C105</f>
        <v>8.5940733953488377E-3</v>
      </c>
      <c r="F105" s="350">
        <v>0</v>
      </c>
      <c r="G105" s="212">
        <f>$D$96</f>
        <v>3.9242344270999259</v>
      </c>
      <c r="H105" s="175">
        <f>F105*G105</f>
        <v>0</v>
      </c>
      <c r="Y105"/>
      <c r="Z105"/>
      <c r="AA105"/>
      <c r="AB105"/>
      <c r="AC105"/>
      <c r="AD105"/>
      <c r="AE105" s="136"/>
    </row>
    <row r="106" spans="1:36" ht="15">
      <c r="A106" s="48" t="s">
        <v>209</v>
      </c>
      <c r="B106" s="350">
        <v>0</v>
      </c>
      <c r="C106" s="212">
        <f>$D$96</f>
        <v>3.9242344270999259</v>
      </c>
      <c r="D106" s="219">
        <f>B106*C106</f>
        <v>0</v>
      </c>
      <c r="F106" s="350">
        <v>2.5000000000000001E-4</v>
      </c>
      <c r="G106" s="212">
        <f>$D$96</f>
        <v>3.9242344270999259</v>
      </c>
      <c r="H106" s="220">
        <f>F106*G106</f>
        <v>9.8105860677498154E-4</v>
      </c>
      <c r="Y106"/>
      <c r="Z106"/>
      <c r="AA106"/>
      <c r="AB106"/>
      <c r="AC106"/>
      <c r="AD106"/>
      <c r="AE106" s="136"/>
    </row>
    <row r="107" spans="1:36" ht="15">
      <c r="A107" s="176" t="s">
        <v>211</v>
      </c>
      <c r="B107" s="228">
        <f>SUM(B104:B106)</f>
        <v>4.3800000000000002E-3</v>
      </c>
      <c r="C107" s="229">
        <f>D107/B107</f>
        <v>3.9242344270999259</v>
      </c>
      <c r="D107" s="226">
        <f>SUM(D104:D106)</f>
        <v>1.7188146790697675E-2</v>
      </c>
      <c r="F107" s="222">
        <f>SUM(F104:F106)</f>
        <v>2.4400000000000003E-3</v>
      </c>
      <c r="G107" s="229">
        <f>H107/F107</f>
        <v>3.924234427099925</v>
      </c>
      <c r="H107" s="227">
        <f>SUM(H104:H106)</f>
        <v>9.5751320021238186E-3</v>
      </c>
      <c r="Y107"/>
      <c r="Z107"/>
      <c r="AA107"/>
      <c r="AB107"/>
      <c r="AC107"/>
      <c r="AD107"/>
      <c r="AE107" s="136"/>
    </row>
    <row r="108" spans="1:36" ht="15">
      <c r="A108" s="176"/>
      <c r="B108" s="124"/>
      <c r="C108" s="212"/>
      <c r="D108" s="230"/>
      <c r="F108" s="217"/>
      <c r="G108" s="212"/>
      <c r="H108" s="231"/>
      <c r="Y108"/>
      <c r="Z108"/>
      <c r="AA108"/>
      <c r="AB108"/>
      <c r="AC108"/>
      <c r="AD108"/>
      <c r="AE108" s="136"/>
    </row>
    <row r="109" spans="1:36" ht="15.75" thickBot="1">
      <c r="A109" s="141" t="s">
        <v>212</v>
      </c>
      <c r="B109" s="218"/>
      <c r="C109" s="13"/>
      <c r="D109" s="232">
        <f>D102+D107</f>
        <v>2.3588146790697675E-2</v>
      </c>
      <c r="F109" s="218"/>
      <c r="G109" s="13"/>
      <c r="H109" s="233">
        <f>H102+H107</f>
        <v>8.4815132002123816E-2</v>
      </c>
      <c r="Y109"/>
      <c r="Z109"/>
      <c r="AA109"/>
      <c r="AB109"/>
      <c r="AC109"/>
      <c r="AD109"/>
      <c r="AE109" s="136"/>
    </row>
    <row r="110" spans="1:36" ht="15">
      <c r="A110" s="99"/>
      <c r="B110" s="72"/>
      <c r="C110" s="72"/>
      <c r="D110" s="72"/>
      <c r="E110" s="72"/>
      <c r="F110" s="72"/>
      <c r="G110" s="72"/>
      <c r="H110" s="75"/>
      <c r="Y110"/>
      <c r="Z110"/>
      <c r="AA110"/>
      <c r="AB110"/>
      <c r="AC110"/>
      <c r="AD110"/>
      <c r="AE110" s="136"/>
    </row>
    <row r="111" spans="1:36" ht="15">
      <c r="Y111"/>
      <c r="Z111"/>
      <c r="AA111"/>
      <c r="AB111"/>
      <c r="AC111"/>
      <c r="AD111"/>
      <c r="AE111" s="136"/>
    </row>
    <row r="112" spans="1:36" ht="15">
      <c r="G112" s="100"/>
      <c r="Y112"/>
      <c r="Z112"/>
      <c r="AA112"/>
      <c r="AB112"/>
      <c r="AC112"/>
      <c r="AD112"/>
      <c r="AE112" s="136"/>
    </row>
    <row r="113" spans="1:36" ht="15">
      <c r="A113" s="82" t="s">
        <v>218</v>
      </c>
      <c r="B113" s="93"/>
      <c r="C113" s="93"/>
      <c r="D113" s="93"/>
      <c r="E113" s="93"/>
      <c r="F113" s="93"/>
      <c r="G113" s="93"/>
      <c r="H113" s="148"/>
      <c r="Y113"/>
      <c r="Z113"/>
      <c r="AA113"/>
      <c r="AB113"/>
      <c r="AC113"/>
      <c r="AD113"/>
      <c r="AE113" s="136"/>
    </row>
    <row r="114" spans="1:36" ht="16.5">
      <c r="A114" s="48"/>
      <c r="B114" s="147" t="s">
        <v>107</v>
      </c>
      <c r="C114" s="147" t="s">
        <v>220</v>
      </c>
      <c r="D114" s="147" t="s">
        <v>219</v>
      </c>
      <c r="E114" s="26"/>
      <c r="F114" s="26"/>
      <c r="G114" s="26"/>
      <c r="H114" s="77"/>
      <c r="Y114"/>
      <c r="Z114"/>
      <c r="AA114"/>
      <c r="AB114"/>
      <c r="AC114"/>
      <c r="AD114"/>
      <c r="AE114" s="136"/>
    </row>
    <row r="115" spans="1:36" ht="30">
      <c r="A115" s="48" t="s">
        <v>57</v>
      </c>
      <c r="B115" s="87">
        <f>SUM(C115:D115)</f>
        <v>104400000</v>
      </c>
      <c r="C115" s="87">
        <f>37300000+20000000</f>
        <v>57300000</v>
      </c>
      <c r="D115" s="87">
        <f>47100000</f>
        <v>47100000</v>
      </c>
      <c r="E115" s="1009" t="s">
        <v>277</v>
      </c>
      <c r="F115" s="1009"/>
      <c r="G115" s="199" t="s">
        <v>3</v>
      </c>
      <c r="H115" s="308" t="s">
        <v>69</v>
      </c>
      <c r="Y115"/>
      <c r="Z115"/>
      <c r="AA115"/>
      <c r="AB115"/>
      <c r="AC115"/>
      <c r="AD115"/>
      <c r="AE115" s="136"/>
    </row>
    <row r="116" spans="1:36" ht="16.5">
      <c r="A116" s="48" t="s">
        <v>58</v>
      </c>
      <c r="B116" s="343">
        <v>2.2030649999999999E-2</v>
      </c>
      <c r="E116" s="306" t="s">
        <v>186</v>
      </c>
      <c r="F116" s="306" t="s">
        <v>259</v>
      </c>
      <c r="H116" s="45"/>
      <c r="Y116"/>
      <c r="Z116"/>
      <c r="AA116" s="260" t="s">
        <v>398</v>
      </c>
      <c r="AD116"/>
      <c r="AE116" s="234"/>
    </row>
    <row r="117" spans="1:36" ht="16.5">
      <c r="A117" s="48" t="s">
        <v>59</v>
      </c>
      <c r="B117" s="26"/>
      <c r="C117" s="26"/>
      <c r="D117" s="26"/>
      <c r="E117" s="102">
        <f>($C$115/$B$25*$B$24)*$B$116</f>
        <v>1262356.2449999999</v>
      </c>
      <c r="F117" s="102">
        <f>($C$115/$B$25*($E$24+$H$24)+D115)*$B$116</f>
        <v>1037643.615</v>
      </c>
      <c r="G117" s="358">
        <f>SUM(E117:F117)</f>
        <v>2299999.86</v>
      </c>
      <c r="H117" s="103">
        <f>G117/(B$25*1000)</f>
        <v>8.9147281395348839E-3</v>
      </c>
      <c r="R117" s="240"/>
      <c r="S117" s="240"/>
      <c r="T117" s="261">
        <f t="shared" ref="T117:T125" si="49">ROUND($T$11*$Z117,0)</f>
        <v>21549</v>
      </c>
      <c r="W117" s="265"/>
      <c r="X117" s="20" t="s">
        <v>235</v>
      </c>
      <c r="Y117" s="128">
        <v>631040</v>
      </c>
      <c r="Z117" s="138">
        <f t="shared" ref="Z117:Z125" si="50">AA117/$AA$126</f>
        <v>2.8732014048368993E-2</v>
      </c>
      <c r="AA117" s="143">
        <v>30387.07</v>
      </c>
      <c r="AB117" s="136"/>
      <c r="AC117" s="136"/>
      <c r="AI117" s="236"/>
      <c r="AJ117" s="236"/>
    </row>
    <row r="118" spans="1:36" ht="15">
      <c r="A118" s="48"/>
      <c r="B118" s="26"/>
      <c r="C118" s="26"/>
      <c r="D118" s="26"/>
      <c r="E118" s="307">
        <f>E117/B24/1000</f>
        <v>4.8928536627906973E-3</v>
      </c>
      <c r="F118" s="307" t="e">
        <f>F117/($E$24+$H$24)/1000</f>
        <v>#DIV/0!</v>
      </c>
      <c r="G118" s="11"/>
      <c r="H118" s="77"/>
      <c r="R118" s="240"/>
      <c r="S118" s="240"/>
      <c r="T118" s="261">
        <f t="shared" si="49"/>
        <v>23088</v>
      </c>
      <c r="W118" s="265"/>
      <c r="X118" s="20" t="s">
        <v>236</v>
      </c>
      <c r="Y118" s="128">
        <v>631060</v>
      </c>
      <c r="Z118" s="138">
        <f t="shared" si="50"/>
        <v>3.0784541877331692E-2</v>
      </c>
      <c r="AA118" s="143">
        <v>32557.83</v>
      </c>
      <c r="AB118" s="136"/>
      <c r="AC118" s="136"/>
      <c r="AI118" s="235"/>
      <c r="AJ118" s="235"/>
    </row>
    <row r="119" spans="1:36" ht="15">
      <c r="A119" s="48" t="s">
        <v>172</v>
      </c>
      <c r="B119" s="26"/>
      <c r="C119" s="26"/>
      <c r="D119" s="26"/>
      <c r="E119" s="26"/>
      <c r="F119" s="104"/>
      <c r="G119" s="26"/>
      <c r="H119" s="77"/>
      <c r="R119" s="240"/>
      <c r="S119" s="240"/>
      <c r="T119" s="261">
        <f t="shared" si="49"/>
        <v>0</v>
      </c>
      <c r="W119" s="265"/>
      <c r="X119" s="20" t="s">
        <v>237</v>
      </c>
      <c r="Y119" s="128">
        <v>631900</v>
      </c>
      <c r="Z119" s="138">
        <f t="shared" si="50"/>
        <v>0</v>
      </c>
      <c r="AA119" s="143">
        <v>0</v>
      </c>
      <c r="AB119" s="136"/>
      <c r="AC119" s="136"/>
      <c r="AI119" s="235"/>
      <c r="AJ119" s="235"/>
    </row>
    <row r="120" spans="1:36" ht="15">
      <c r="A120" s="48" t="s">
        <v>60</v>
      </c>
      <c r="B120" s="26"/>
      <c r="C120" s="26"/>
      <c r="D120" s="26"/>
      <c r="E120" s="26"/>
      <c r="F120" s="26"/>
      <c r="G120" s="26"/>
      <c r="H120" s="77"/>
      <c r="R120" s="240"/>
      <c r="S120" s="240"/>
      <c r="T120" s="261">
        <f t="shared" si="49"/>
        <v>68702</v>
      </c>
      <c r="W120" s="265"/>
      <c r="X120" s="20" t="s">
        <v>238</v>
      </c>
      <c r="Y120" s="128">
        <v>630020</v>
      </c>
      <c r="Z120" s="138">
        <f t="shared" si="50"/>
        <v>9.1602521626258315E-2</v>
      </c>
      <c r="AA120" s="143">
        <v>96879.12</v>
      </c>
      <c r="AB120" s="136"/>
      <c r="AC120" s="136"/>
      <c r="AI120" s="235"/>
      <c r="AJ120" s="235"/>
    </row>
    <row r="121" spans="1:36" ht="16.5">
      <c r="A121" s="48" t="s">
        <v>61</v>
      </c>
      <c r="B121" s="26"/>
      <c r="C121" s="26"/>
      <c r="D121" s="26"/>
      <c r="E121" s="26"/>
      <c r="F121" s="26"/>
      <c r="G121" s="348">
        <v>200000</v>
      </c>
      <c r="H121" s="103">
        <f>G121/(B$25*1000)</f>
        <v>7.7519379844961239E-4</v>
      </c>
      <c r="R121" s="240"/>
      <c r="S121" s="240"/>
      <c r="T121" s="261">
        <f t="shared" si="49"/>
        <v>0</v>
      </c>
      <c r="W121" s="265"/>
      <c r="X121" s="20" t="s">
        <v>239</v>
      </c>
      <c r="Y121" s="128">
        <v>630030</v>
      </c>
      <c r="Z121" s="138">
        <f t="shared" si="50"/>
        <v>0</v>
      </c>
      <c r="AA121" s="143">
        <v>0</v>
      </c>
      <c r="AB121" s="136"/>
      <c r="AC121" s="136"/>
      <c r="AI121" s="235"/>
      <c r="AJ121" s="235"/>
    </row>
    <row r="122" spans="1:36" ht="15">
      <c r="A122" s="48"/>
      <c r="B122" s="26"/>
      <c r="C122" s="26"/>
      <c r="D122" s="26"/>
      <c r="E122" s="26"/>
      <c r="F122" s="26"/>
      <c r="G122" s="26"/>
      <c r="H122" s="77"/>
      <c r="R122" s="240"/>
      <c r="S122" s="240"/>
      <c r="T122" s="261">
        <f t="shared" si="49"/>
        <v>93843</v>
      </c>
      <c r="W122" s="265"/>
      <c r="X122" s="20" t="s">
        <v>240</v>
      </c>
      <c r="Y122" s="128">
        <v>630070</v>
      </c>
      <c r="Z122" s="138">
        <f t="shared" si="50"/>
        <v>0.12512342057966541</v>
      </c>
      <c r="AA122" s="143">
        <v>132330.93</v>
      </c>
      <c r="AB122" s="136"/>
      <c r="AC122" s="136"/>
      <c r="AI122" s="235"/>
      <c r="AJ122" s="235"/>
    </row>
    <row r="123" spans="1:36" ht="15">
      <c r="A123" s="48" t="s">
        <v>62</v>
      </c>
      <c r="B123" s="26"/>
      <c r="C123" s="26"/>
      <c r="D123" s="26"/>
      <c r="E123" s="26"/>
      <c r="F123" s="26"/>
      <c r="G123" s="26"/>
      <c r="H123" s="77"/>
      <c r="R123" s="240"/>
      <c r="S123" s="240"/>
      <c r="T123" s="261">
        <f t="shared" si="49"/>
        <v>459068</v>
      </c>
      <c r="W123" s="265"/>
      <c r="X123" s="20" t="s">
        <v>241</v>
      </c>
      <c r="Y123" s="128">
        <v>630080</v>
      </c>
      <c r="Z123" s="138">
        <f t="shared" si="50"/>
        <v>0.61209054586824252</v>
      </c>
      <c r="AA123" s="143">
        <v>647348.92000000004</v>
      </c>
      <c r="AB123" s="136"/>
      <c r="AC123" s="136"/>
      <c r="AI123" s="235"/>
      <c r="AJ123" s="235"/>
    </row>
    <row r="124" spans="1:36" ht="16.5">
      <c r="A124" s="48" t="s">
        <v>63</v>
      </c>
      <c r="B124" s="26"/>
      <c r="C124" s="26"/>
      <c r="D124" s="26"/>
      <c r="E124" s="26"/>
      <c r="F124" s="26"/>
      <c r="G124" s="348">
        <v>750000</v>
      </c>
      <c r="H124" s="103">
        <f>G124/(B$25*1000)</f>
        <v>2.9069767441860465E-3</v>
      </c>
      <c r="R124" s="240"/>
      <c r="S124" s="240"/>
      <c r="T124" s="261">
        <f t="shared" si="49"/>
        <v>83750</v>
      </c>
      <c r="W124" s="265"/>
      <c r="X124" s="20" t="s">
        <v>242</v>
      </c>
      <c r="Y124" s="128">
        <v>633000</v>
      </c>
      <c r="Z124" s="138">
        <f t="shared" si="50"/>
        <v>0.11166695600013314</v>
      </c>
      <c r="AA124" s="143">
        <v>118099.33</v>
      </c>
      <c r="AB124" s="136"/>
      <c r="AC124" s="136"/>
      <c r="AI124" s="235"/>
      <c r="AJ124" s="235"/>
    </row>
    <row r="125" spans="1:36" ht="17.25">
      <c r="A125" s="99"/>
      <c r="B125" s="72"/>
      <c r="C125" s="105"/>
      <c r="D125" s="72"/>
      <c r="E125" s="72"/>
      <c r="F125" s="72"/>
      <c r="G125" s="72"/>
      <c r="H125" s="75"/>
      <c r="R125" s="240"/>
      <c r="S125" s="240"/>
      <c r="T125" s="262">
        <f t="shared" si="49"/>
        <v>0</v>
      </c>
      <c r="W125" s="265"/>
      <c r="X125" s="20" t="s">
        <v>243</v>
      </c>
      <c r="Y125" s="128">
        <v>660000</v>
      </c>
      <c r="Z125" s="258">
        <f t="shared" si="50"/>
        <v>0</v>
      </c>
      <c r="AA125" s="161">
        <v>0</v>
      </c>
      <c r="AB125" s="136"/>
      <c r="AC125" s="136"/>
      <c r="AI125" s="235"/>
      <c r="AJ125" s="235"/>
    </row>
    <row r="126" spans="1:36" ht="15">
      <c r="R126" s="160"/>
      <c r="S126" s="160"/>
      <c r="T126" s="264">
        <f>SUM(T117:T125)</f>
        <v>750000</v>
      </c>
      <c r="W126" s="256" t="s">
        <v>12</v>
      </c>
      <c r="X126" s="130" t="s">
        <v>17</v>
      </c>
      <c r="Y126" s="257" t="s">
        <v>107</v>
      </c>
      <c r="Z126" s="138">
        <f>SUM(Z117:Z125)</f>
        <v>1</v>
      </c>
      <c r="AA126" s="259">
        <f>SUM(AA117:AA125)</f>
        <v>1057603.2</v>
      </c>
      <c r="AE126" s="137"/>
    </row>
    <row r="128" spans="1:36">
      <c r="A128" s="82" t="s">
        <v>64</v>
      </c>
      <c r="B128" s="1012" t="s">
        <v>65</v>
      </c>
      <c r="C128" s="1012"/>
      <c r="D128" s="1012"/>
      <c r="E128" s="1012"/>
      <c r="F128" s="1012"/>
      <c r="G128" s="1012"/>
      <c r="H128" s="1013"/>
    </row>
    <row r="129" spans="1:36" ht="14.65" customHeight="1">
      <c r="A129" s="48"/>
      <c r="B129" s="199" t="s">
        <v>159</v>
      </c>
      <c r="C129" s="199" t="s">
        <v>109</v>
      </c>
      <c r="D129" s="199" t="s">
        <v>107</v>
      </c>
      <c r="E129" s="26"/>
      <c r="F129" s="26"/>
      <c r="G129" s="26"/>
      <c r="H129" s="77"/>
      <c r="AA129" s="1007" t="s">
        <v>398</v>
      </c>
      <c r="AB129" s="1007"/>
    </row>
    <row r="130" spans="1:36" ht="14.65" customHeight="1">
      <c r="A130" s="48" t="s">
        <v>262</v>
      </c>
      <c r="B130" s="207">
        <f>B30+B31</f>
        <v>258000</v>
      </c>
      <c r="C130" s="207">
        <f>B32+B33</f>
        <v>0</v>
      </c>
      <c r="D130" s="207">
        <f>SUM(B130:C130)</f>
        <v>258000</v>
      </c>
      <c r="E130" s="26"/>
      <c r="F130" s="1008" t="s">
        <v>66</v>
      </c>
      <c r="G130" s="1008"/>
      <c r="H130" s="106">
        <f>D130/D131</f>
        <v>0.99230769230769234</v>
      </c>
      <c r="R130" s="240"/>
      <c r="S130" s="240"/>
      <c r="T130" s="261">
        <f>$T$18*$Z130</f>
        <v>142500</v>
      </c>
      <c r="W130" s="265"/>
      <c r="X130" s="20" t="s">
        <v>244</v>
      </c>
      <c r="Y130" s="128" t="s">
        <v>100</v>
      </c>
      <c r="Z130" s="138">
        <v>0.5</v>
      </c>
      <c r="AA130" s="143">
        <v>120244.49</v>
      </c>
      <c r="AB130" s="144">
        <f>AA130/$AA$132</f>
        <v>0.50750815162970342</v>
      </c>
      <c r="AC130" s="136"/>
      <c r="AD130"/>
    </row>
    <row r="131" spans="1:36" ht="14.65" customHeight="1">
      <c r="A131" s="48" t="s">
        <v>263</v>
      </c>
      <c r="B131" s="207"/>
      <c r="C131" s="207"/>
      <c r="D131" s="207">
        <v>260000</v>
      </c>
      <c r="E131" s="26"/>
      <c r="F131" s="26"/>
      <c r="G131" s="26"/>
      <c r="H131" s="107"/>
      <c r="R131" s="240"/>
      <c r="S131" s="240"/>
      <c r="T131" s="262">
        <f>$T$18*$Z131</f>
        <v>142500</v>
      </c>
      <c r="W131" s="265"/>
      <c r="X131" s="20" t="s">
        <v>245</v>
      </c>
      <c r="Y131" s="128">
        <v>630040</v>
      </c>
      <c r="Z131" s="138">
        <v>0.5</v>
      </c>
      <c r="AA131" s="161">
        <v>116686.66</v>
      </c>
      <c r="AB131" s="378">
        <f>AA131/$AA$132</f>
        <v>0.49249184837029658</v>
      </c>
      <c r="AC131" s="136"/>
      <c r="AD131"/>
    </row>
    <row r="132" spans="1:36" ht="14.65" customHeight="1">
      <c r="A132" s="43"/>
      <c r="D132" s="108"/>
      <c r="F132" s="1009" t="s">
        <v>290</v>
      </c>
      <c r="G132" s="1009"/>
      <c r="H132" s="1010"/>
      <c r="R132" s="160"/>
      <c r="S132" s="160"/>
      <c r="T132" s="264">
        <f>SUM(T130:T131)</f>
        <v>285000</v>
      </c>
      <c r="W132" s="256" t="s">
        <v>12</v>
      </c>
      <c r="X132" s="130" t="s">
        <v>28</v>
      </c>
      <c r="Y132" s="257" t="s">
        <v>107</v>
      </c>
      <c r="Z132" s="138">
        <f>SUM(Z130:Z131)</f>
        <v>1</v>
      </c>
      <c r="AA132" s="259">
        <f>SUM(AA130:AA131)</f>
        <v>236931.15000000002</v>
      </c>
      <c r="AB132" s="144">
        <f>SUM(AB130:AB131)</f>
        <v>1</v>
      </c>
    </row>
    <row r="133" spans="1:36" ht="28.15" customHeight="1">
      <c r="A133" s="48"/>
      <c r="B133" s="97" t="s">
        <v>67</v>
      </c>
      <c r="C133" s="97" t="s">
        <v>68</v>
      </c>
      <c r="D133" s="97" t="s">
        <v>257</v>
      </c>
      <c r="E133" s="97" t="s">
        <v>258</v>
      </c>
      <c r="F133" s="49"/>
      <c r="G133" s="286" t="s">
        <v>260</v>
      </c>
      <c r="H133" s="287" t="s">
        <v>261</v>
      </c>
    </row>
    <row r="134" spans="1:36" ht="15">
      <c r="A134" s="48" t="s">
        <v>25</v>
      </c>
      <c r="B134" s="104">
        <f>C134/12</f>
        <v>30812.5</v>
      </c>
      <c r="C134" s="351">
        <f>90625*'17 Std'!S4*(1+$F$148)</f>
        <v>369750</v>
      </c>
      <c r="D134" s="64">
        <f>$C134/$D$130/1000</f>
        <v>1.433139534883721E-3</v>
      </c>
      <c r="E134" s="64">
        <f>$C134/$D$130/1000</f>
        <v>1.433139534883721E-3</v>
      </c>
      <c r="F134" s="156" t="s">
        <v>270</v>
      </c>
      <c r="G134" s="348">
        <v>1220000</v>
      </c>
      <c r="H134" s="238">
        <f>G134/$D$130/1000</f>
        <v>4.7286821705426361E-3</v>
      </c>
      <c r="I134" s="253"/>
      <c r="X134" s="139"/>
      <c r="Y134"/>
      <c r="Z134"/>
      <c r="AA134" s="260" t="s">
        <v>398</v>
      </c>
      <c r="AB134"/>
      <c r="AC134"/>
      <c r="AD134"/>
    </row>
    <row r="135" spans="1:36" ht="14.65" customHeight="1">
      <c r="A135" s="48" t="s">
        <v>27</v>
      </c>
      <c r="B135" s="26">
        <f>C135/12</f>
        <v>23750</v>
      </c>
      <c r="C135" s="346">
        <f>285000</f>
        <v>285000</v>
      </c>
      <c r="D135" s="109">
        <f>$C135/$D$130/1000</f>
        <v>1.1046511627906977E-3</v>
      </c>
      <c r="E135" s="109">
        <f>$C135/$D$130/1000</f>
        <v>1.1046511627906977E-3</v>
      </c>
      <c r="F135" s="156" t="s">
        <v>271</v>
      </c>
      <c r="G135" s="348">
        <f>30000</f>
        <v>30000</v>
      </c>
      <c r="H135" s="238">
        <f>IF($B$130&lt;&gt;0,G135/$B$130/1000,G135/D130/1000)</f>
        <v>1.1627906976744185E-4</v>
      </c>
      <c r="I135" s="253"/>
      <c r="R135" s="240"/>
      <c r="S135" s="240"/>
      <c r="T135" s="261">
        <f t="shared" ref="T135:T142" si="51">ROUND($T$19*$Z135,0)</f>
        <v>148897</v>
      </c>
      <c r="W135" s="265"/>
      <c r="X135" s="20" t="s">
        <v>399</v>
      </c>
      <c r="Y135" s="128" t="s">
        <v>400</v>
      </c>
      <c r="Z135" s="138">
        <f t="shared" ref="Z135:Z142" si="52">AA135/$AA$143</f>
        <v>3.1020278092671626E-2</v>
      </c>
      <c r="AA135" s="143">
        <v>140030.43</v>
      </c>
      <c r="AB135" s="136"/>
      <c r="AC135" s="136"/>
      <c r="AD135"/>
    </row>
    <row r="136" spans="1:36" ht="14.65" customHeight="1">
      <c r="A136" s="48" t="s">
        <v>29</v>
      </c>
      <c r="B136" s="26">
        <f>C136/12</f>
        <v>400000</v>
      </c>
      <c r="C136" s="78">
        <f>G137</f>
        <v>4800000</v>
      </c>
      <c r="D136" s="110">
        <f>H140</f>
        <v>1.8604651162790697E-2</v>
      </c>
      <c r="E136" s="110">
        <f>H141</f>
        <v>1.8604651162790697E-2</v>
      </c>
      <c r="F136" s="156" t="s">
        <v>272</v>
      </c>
      <c r="G136" s="352">
        <f>3550000</f>
        <v>3550000</v>
      </c>
      <c r="H136" s="238">
        <f>IF(C130&lt;&gt;0,G136/$C$130/1000,G136/D130/1000)</f>
        <v>1.375968992248062E-2</v>
      </c>
      <c r="I136" s="253"/>
      <c r="J136" s="281"/>
      <c r="K136" s="281"/>
      <c r="L136" s="281"/>
      <c r="M136" s="281"/>
      <c r="N136" s="281"/>
      <c r="O136" s="281"/>
      <c r="P136" s="281"/>
      <c r="R136" s="240"/>
      <c r="S136" s="240"/>
      <c r="T136" s="261">
        <f t="shared" si="51"/>
        <v>7396</v>
      </c>
      <c r="W136" s="265"/>
      <c r="X136" s="20" t="s">
        <v>246</v>
      </c>
      <c r="Y136" s="128" t="s">
        <v>101</v>
      </c>
      <c r="Z136" s="138">
        <f t="shared" si="52"/>
        <v>1.5409319575424053E-3</v>
      </c>
      <c r="AA136" s="143">
        <v>6956.01</v>
      </c>
      <c r="AB136" s="136"/>
      <c r="AC136" s="136"/>
      <c r="AD136"/>
      <c r="AI136" s="235"/>
      <c r="AJ136" s="235"/>
    </row>
    <row r="137" spans="1:36" ht="14.65" customHeight="1">
      <c r="A137" s="48" t="s">
        <v>70</v>
      </c>
      <c r="D137" s="64">
        <f>SUM(D134:D136)</f>
        <v>2.1142441860465117E-2</v>
      </c>
      <c r="E137" s="64">
        <f>SUM(E134:E136)</f>
        <v>2.1142441860465117E-2</v>
      </c>
      <c r="F137" s="301" t="s">
        <v>268</v>
      </c>
      <c r="G137" s="285">
        <f>SUM(G134:G136)</f>
        <v>4800000</v>
      </c>
      <c r="H137" s="238">
        <f>G137/D130/1000</f>
        <v>1.8604651162790697E-2</v>
      </c>
      <c r="J137" s="282"/>
      <c r="K137" s="282"/>
      <c r="L137" s="282"/>
      <c r="M137" s="282"/>
      <c r="N137" s="282"/>
      <c r="O137" s="282"/>
      <c r="P137" s="282"/>
      <c r="R137" s="240"/>
      <c r="S137" s="240"/>
      <c r="T137" s="261">
        <f t="shared" si="51"/>
        <v>379435</v>
      </c>
      <c r="W137" s="265"/>
      <c r="X137" s="20" t="s">
        <v>247</v>
      </c>
      <c r="Y137" s="128">
        <v>640010</v>
      </c>
      <c r="Z137" s="138">
        <f t="shared" si="52"/>
        <v>7.9049062217207061E-2</v>
      </c>
      <c r="AA137" s="143">
        <v>356839.94</v>
      </c>
      <c r="AB137" s="136"/>
      <c r="AC137" s="136"/>
      <c r="AD137"/>
      <c r="AI137" s="235"/>
      <c r="AJ137" s="235"/>
    </row>
    <row r="138" spans="1:36" ht="14.65" customHeight="1">
      <c r="A138" s="48"/>
      <c r="B138" s="26"/>
      <c r="C138" s="26"/>
      <c r="D138" s="64"/>
      <c r="E138" s="64"/>
      <c r="F138" s="26"/>
      <c r="G138" s="204"/>
      <c r="H138" s="238"/>
      <c r="R138" s="240"/>
      <c r="S138" s="240"/>
      <c r="T138" s="261">
        <f t="shared" si="51"/>
        <v>3980171</v>
      </c>
      <c r="W138" s="265"/>
      <c r="X138" s="20" t="s">
        <v>248</v>
      </c>
      <c r="Y138" s="128">
        <v>640020</v>
      </c>
      <c r="Z138" s="138">
        <f t="shared" si="52"/>
        <v>0.82920233056363746</v>
      </c>
      <c r="AA138" s="143">
        <v>3743150.16</v>
      </c>
      <c r="AB138" s="136"/>
      <c r="AC138" s="136"/>
      <c r="AD138"/>
    </row>
    <row r="139" spans="1:36" ht="14.65" customHeight="1">
      <c r="A139" s="48"/>
      <c r="B139" s="26"/>
      <c r="C139" s="26"/>
      <c r="D139" s="288" t="s">
        <v>266</v>
      </c>
      <c r="E139" s="288" t="s">
        <v>267</v>
      </c>
      <c r="F139" s="26"/>
      <c r="G139" s="204"/>
      <c r="H139" s="238"/>
      <c r="R139" s="240"/>
      <c r="S139" s="240"/>
      <c r="T139" s="261">
        <f t="shared" si="51"/>
        <v>263981</v>
      </c>
      <c r="W139" s="265"/>
      <c r="X139" s="20" t="s">
        <v>401</v>
      </c>
      <c r="Y139" s="128" t="s">
        <v>402</v>
      </c>
      <c r="Z139" s="138">
        <f t="shared" si="52"/>
        <v>5.4995959722533301E-2</v>
      </c>
      <c r="AA139" s="143">
        <v>248260.44</v>
      </c>
      <c r="AB139" s="136"/>
      <c r="AC139" s="136"/>
      <c r="AD139"/>
      <c r="AI139" s="235"/>
      <c r="AJ139" s="235"/>
    </row>
    <row r="140" spans="1:36" ht="14.65" customHeight="1">
      <c r="A140" s="48"/>
      <c r="B140" s="26"/>
      <c r="C140" s="26"/>
      <c r="D140" s="290">
        <f>G140/$G$142</f>
        <v>1</v>
      </c>
      <c r="E140" s="207">
        <f>ROUND(G140/$H$137,0)</f>
        <v>258000000</v>
      </c>
      <c r="F140" s="156" t="s">
        <v>186</v>
      </c>
      <c r="G140" s="204">
        <f>$H140*$B$130*1000</f>
        <v>4800000</v>
      </c>
      <c r="H140" s="238">
        <f>IF(AND($B$130&lt;&gt;0,$C$130&lt;&gt;0),H134+H135,$H$137)</f>
        <v>1.8604651162790697E-2</v>
      </c>
      <c r="R140" s="240"/>
      <c r="S140" s="240"/>
      <c r="T140" s="261">
        <f t="shared" si="51"/>
        <v>7264</v>
      </c>
      <c r="W140" s="265"/>
      <c r="X140" s="20" t="s">
        <v>249</v>
      </c>
      <c r="Y140" s="128">
        <v>640040</v>
      </c>
      <c r="Z140" s="138">
        <f t="shared" si="52"/>
        <v>1.5133299095422179E-3</v>
      </c>
      <c r="AA140" s="143">
        <v>6831.41</v>
      </c>
      <c r="AB140" s="136"/>
      <c r="AC140" s="136"/>
      <c r="AD140"/>
      <c r="AI140" s="235"/>
      <c r="AJ140" s="235"/>
    </row>
    <row r="141" spans="1:36" ht="14.65" customHeight="1">
      <c r="A141" s="48"/>
      <c r="B141" s="26"/>
      <c r="C141" s="26"/>
      <c r="D141" s="290">
        <f>G141/$G$142</f>
        <v>0</v>
      </c>
      <c r="E141" s="168">
        <f>ROUND(G141/$H$137,0)</f>
        <v>0</v>
      </c>
      <c r="F141" s="156" t="s">
        <v>286</v>
      </c>
      <c r="G141" s="239">
        <f>$H141*$C$130*1000</f>
        <v>0</v>
      </c>
      <c r="H141" s="238">
        <f>IF(AND($B$130&lt;&gt;0,$C$130&lt;&gt;0),H134+H136,$H$137)</f>
        <v>1.8604651162790697E-2</v>
      </c>
      <c r="R141" s="160"/>
      <c r="S141" s="160"/>
      <c r="T141" s="261">
        <f t="shared" si="51"/>
        <v>1111</v>
      </c>
      <c r="W141" s="265"/>
      <c r="X141" s="20" t="s">
        <v>250</v>
      </c>
      <c r="Y141" s="128">
        <v>640070</v>
      </c>
      <c r="Z141" s="138">
        <f t="shared" si="52"/>
        <v>2.3147396449338557E-4</v>
      </c>
      <c r="AA141" s="143">
        <v>1044.9100000000001</v>
      </c>
      <c r="AB141"/>
      <c r="AC141"/>
      <c r="AD141"/>
      <c r="AI141" s="235"/>
      <c r="AJ141" s="235"/>
    </row>
    <row r="142" spans="1:36" ht="14.65" customHeight="1">
      <c r="A142" s="48"/>
      <c r="B142" s="26"/>
      <c r="C142" s="26"/>
      <c r="D142" s="290">
        <f>G142/$G$142</f>
        <v>1</v>
      </c>
      <c r="E142" s="289">
        <f>SUM(E140:E141)</f>
        <v>258000000</v>
      </c>
      <c r="F142" s="156" t="s">
        <v>107</v>
      </c>
      <c r="G142" s="285">
        <f>SUM(G140:G141)</f>
        <v>4800000</v>
      </c>
      <c r="H142" s="238"/>
      <c r="T142" s="262">
        <f t="shared" si="51"/>
        <v>11744</v>
      </c>
      <c r="W142" s="265"/>
      <c r="X142" s="20" t="s">
        <v>251</v>
      </c>
      <c r="Y142" s="128">
        <v>640080</v>
      </c>
      <c r="Z142" s="138">
        <f t="shared" si="52"/>
        <v>2.4466335723723111E-3</v>
      </c>
      <c r="AA142" s="161">
        <v>11044.49</v>
      </c>
      <c r="AI142" s="235"/>
      <c r="AJ142" s="235"/>
    </row>
    <row r="143" spans="1:36" ht="14.65" customHeight="1">
      <c r="A143" s="112"/>
      <c r="B143" s="113"/>
      <c r="C143" s="113"/>
      <c r="D143" s="113"/>
      <c r="E143" s="113"/>
      <c r="F143" s="113"/>
      <c r="G143" s="113"/>
      <c r="H143" s="284"/>
      <c r="T143" s="264">
        <f>SUM(T135:T142)</f>
        <v>4799999</v>
      </c>
      <c r="W143" s="256" t="s">
        <v>12</v>
      </c>
      <c r="X143" s="130" t="s">
        <v>30</v>
      </c>
      <c r="Y143" s="257" t="s">
        <v>107</v>
      </c>
      <c r="Z143" s="138">
        <f>SUM(Z135:Z142)</f>
        <v>0.99999999999999989</v>
      </c>
      <c r="AA143" s="259">
        <f>SUM(AA135:AA142)</f>
        <v>4514157.790000001</v>
      </c>
      <c r="AI143" s="235"/>
      <c r="AJ143" s="235"/>
    </row>
    <row r="144" spans="1:36">
      <c r="AI144" s="235"/>
      <c r="AJ144" s="235"/>
    </row>
    <row r="145" spans="1:8">
      <c r="A145" s="72"/>
      <c r="B145" s="72"/>
      <c r="C145" s="72"/>
      <c r="D145" s="72"/>
      <c r="E145" s="72"/>
      <c r="F145" s="72"/>
      <c r="G145" s="72"/>
      <c r="H145" s="72"/>
    </row>
    <row r="146" spans="1:8">
      <c r="A146" s="82" t="s">
        <v>71</v>
      </c>
      <c r="B146" s="93"/>
      <c r="C146" s="93"/>
      <c r="D146" s="93"/>
      <c r="E146" s="93"/>
      <c r="F146" s="93"/>
      <c r="G146" s="93"/>
      <c r="H146" s="148"/>
    </row>
    <row r="147" spans="1:8" ht="15">
      <c r="A147" s="82"/>
      <c r="B147" s="1011" t="s">
        <v>189</v>
      </c>
      <c r="C147" s="1011"/>
      <c r="D147" s="1011"/>
      <c r="E147" s="202"/>
      <c r="F147" s="93"/>
      <c r="G147" s="93"/>
      <c r="H147" s="148"/>
    </row>
    <row r="148" spans="1:8" ht="15">
      <c r="A148" s="48"/>
      <c r="B148" s="1004" t="s">
        <v>72</v>
      </c>
      <c r="C148" s="1004"/>
      <c r="D148" s="342">
        <v>52</v>
      </c>
      <c r="E148" s="49" t="s">
        <v>354</v>
      </c>
      <c r="F148" s="456">
        <f>'17 Std'!T4</f>
        <v>0.02</v>
      </c>
      <c r="G148" s="26"/>
      <c r="H148" s="77"/>
    </row>
    <row r="149" spans="1:8" ht="15">
      <c r="A149" s="48"/>
      <c r="B149" s="1004" t="s">
        <v>73</v>
      </c>
      <c r="C149" s="1004"/>
      <c r="D149" s="353">
        <v>42</v>
      </c>
      <c r="E149" s="200"/>
      <c r="F149" s="26"/>
      <c r="G149" s="26"/>
      <c r="H149" s="77"/>
    </row>
    <row r="150" spans="1:8" ht="15">
      <c r="A150" s="48"/>
      <c r="B150" s="1004" t="s">
        <v>74</v>
      </c>
      <c r="C150" s="1004"/>
      <c r="D150" s="353">
        <v>1.5</v>
      </c>
      <c r="E150" s="201"/>
      <c r="F150" s="26"/>
      <c r="G150" s="26"/>
      <c r="H150" s="111"/>
    </row>
    <row r="151" spans="1:8" ht="15">
      <c r="A151" s="112"/>
      <c r="B151" s="1005" t="s">
        <v>160</v>
      </c>
      <c r="C151" s="1005"/>
      <c r="D151" s="354">
        <v>0.45</v>
      </c>
      <c r="E151" s="180"/>
      <c r="F151" s="113"/>
      <c r="G151" s="113"/>
      <c r="H151" s="181"/>
    </row>
    <row r="152" spans="1:8">
      <c r="A152" s="82"/>
      <c r="B152" s="93"/>
      <c r="C152" s="93"/>
      <c r="D152" s="182"/>
      <c r="E152" s="93"/>
      <c r="F152" s="93"/>
      <c r="G152" s="93"/>
      <c r="H152" s="191"/>
    </row>
    <row r="154" spans="1:8">
      <c r="B154" s="1006"/>
      <c r="C154" s="1006"/>
      <c r="D154" s="1006"/>
      <c r="F154" s="1006"/>
      <c r="G154" s="1006"/>
      <c r="H154" s="1006"/>
    </row>
    <row r="155" spans="1:8">
      <c r="B155" s="114"/>
      <c r="C155" s="114"/>
      <c r="D155" s="115"/>
      <c r="E155" s="6"/>
      <c r="F155" s="114"/>
      <c r="G155" s="114"/>
      <c r="H155" s="115"/>
    </row>
    <row r="156" spans="1:8">
      <c r="C156" s="116"/>
      <c r="D156" s="117"/>
      <c r="G156" s="116"/>
      <c r="H156" s="117"/>
    </row>
    <row r="157" spans="1:8">
      <c r="C157" s="116"/>
      <c r="D157" s="108"/>
      <c r="G157" s="116"/>
      <c r="H157" s="108"/>
    </row>
    <row r="158" spans="1:8">
      <c r="C158" s="118"/>
      <c r="D158" s="108"/>
      <c r="G158" s="118"/>
      <c r="H158" s="108"/>
    </row>
    <row r="159" spans="1:8">
      <c r="C159" s="119"/>
      <c r="D159" s="108"/>
      <c r="G159" s="119"/>
      <c r="H159" s="108"/>
    </row>
    <row r="160" spans="1:8">
      <c r="C160" s="120"/>
      <c r="D160" s="108"/>
      <c r="G160" s="120"/>
      <c r="H160" s="108"/>
    </row>
    <row r="161" spans="3:8">
      <c r="C161" s="118"/>
      <c r="D161" s="108"/>
      <c r="G161" s="118"/>
      <c r="H161" s="108"/>
    </row>
    <row r="162" spans="3:8" ht="15">
      <c r="C162" s="121"/>
      <c r="D162" s="122"/>
      <c r="G162" s="121"/>
      <c r="H162" s="122"/>
    </row>
    <row r="163" spans="3:8" ht="15">
      <c r="D163" s="123"/>
      <c r="H163" s="123"/>
    </row>
  </sheetData>
  <mergeCells count="42">
    <mergeCell ref="B27:H27"/>
    <mergeCell ref="N28:P28"/>
    <mergeCell ref="A1:J1"/>
    <mergeCell ref="R1:V1"/>
    <mergeCell ref="AA1:AI1"/>
    <mergeCell ref="A2:J2"/>
    <mergeCell ref="B3:D3"/>
    <mergeCell ref="E3:G3"/>
    <mergeCell ref="H3:J3"/>
    <mergeCell ref="M3:P3"/>
    <mergeCell ref="AA58:AK58"/>
    <mergeCell ref="AJ3:AL3"/>
    <mergeCell ref="Y22:Z22"/>
    <mergeCell ref="Y23:Z23"/>
    <mergeCell ref="Y24:Z24"/>
    <mergeCell ref="C36:D36"/>
    <mergeCell ref="E36:F36"/>
    <mergeCell ref="G36:H36"/>
    <mergeCell ref="B58:D58"/>
    <mergeCell ref="F58:H58"/>
    <mergeCell ref="B128:H128"/>
    <mergeCell ref="AA62:AK62"/>
    <mergeCell ref="B64:D64"/>
    <mergeCell ref="F64:H64"/>
    <mergeCell ref="E78:G78"/>
    <mergeCell ref="AA78:AK78"/>
    <mergeCell ref="E79:F79"/>
    <mergeCell ref="E85:F85"/>
    <mergeCell ref="G85:H85"/>
    <mergeCell ref="B98:D98"/>
    <mergeCell ref="F98:H98"/>
    <mergeCell ref="E115:F115"/>
    <mergeCell ref="AA129:AB129"/>
    <mergeCell ref="B151:C151"/>
    <mergeCell ref="B154:D154"/>
    <mergeCell ref="F154:H154"/>
    <mergeCell ref="F130:G130"/>
    <mergeCell ref="F132:H132"/>
    <mergeCell ref="B147:D147"/>
    <mergeCell ref="B148:C148"/>
    <mergeCell ref="B149:C149"/>
    <mergeCell ref="B150:C150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7" max="9" man="1"/>
    <brk id="89" max="9" man="1"/>
    <brk id="111" max="9" man="1"/>
    <brk id="126" max="9" man="1"/>
  </row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59999389629810485"/>
    <pageSetUpPr fitToPage="1"/>
  </sheetPr>
  <dimension ref="A1:AP163"/>
  <sheetViews>
    <sheetView zoomScaleNormal="100" workbookViewId="0">
      <pane xSplit="1" ySplit="2" topLeftCell="B3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7109375" style="1" bestFit="1" customWidth="1"/>
    <col min="9" max="9" width="9.7109375" style="1" bestFit="1" customWidth="1"/>
    <col min="10" max="10" width="12.28515625" style="1" bestFit="1" customWidth="1"/>
    <col min="11" max="12" width="5.5703125" style="1" customWidth="1"/>
    <col min="13" max="13" width="15.28515625" style="1" bestFit="1" customWidth="1"/>
    <col min="14" max="14" width="13.5703125" style="1" bestFit="1" customWidth="1"/>
    <col min="15" max="15" width="11.28515625" style="1" bestFit="1" customWidth="1"/>
    <col min="16" max="16" width="13.42578125" style="1" bestFit="1" customWidth="1"/>
    <col min="17" max="17" width="7.28515625" style="1" bestFit="1" customWidth="1"/>
    <col min="18" max="18" width="12.42578125" style="1" customWidth="1" outlineLevel="1"/>
    <col min="19" max="19" width="9.7109375" style="1" customWidth="1" outlineLevel="1"/>
    <col min="20" max="20" width="12.42578125" style="1" customWidth="1" outlineLevel="1"/>
    <col min="21" max="21" width="11.5703125" style="1" customWidth="1" outlineLevel="1"/>
    <col min="22" max="22" width="11.7109375" style="1" customWidth="1" outlineLevel="1"/>
    <col min="23" max="23" width="5.28515625" style="62" customWidth="1" outlineLevel="1"/>
    <col min="24" max="24" width="16.5703125" style="1" customWidth="1" outlineLevel="1"/>
    <col min="25" max="26" width="9" style="1" customWidth="1" outlineLevel="1"/>
    <col min="27" max="27" width="12.42578125" style="1" customWidth="1" outlineLevel="1"/>
    <col min="28" max="28" width="12.42578125" style="1" bestFit="1" customWidth="1" outlineLevel="1"/>
    <col min="29" max="29" width="9" style="1" bestFit="1" customWidth="1" outlineLevel="1"/>
    <col min="30" max="30" width="12.42578125" style="1" customWidth="1" outlineLevel="1"/>
    <col min="31" max="31" width="11.5703125" style="135" customWidth="1" outlineLevel="1"/>
    <col min="32" max="32" width="11.5703125" style="1" customWidth="1" outlineLevel="1"/>
    <col min="33" max="33" width="9.7109375" style="1" bestFit="1" customWidth="1" outlineLevel="1"/>
    <col min="34" max="34" width="11.5703125" style="1" customWidth="1" outlineLevel="1"/>
    <col min="35" max="35" width="11.7109375" style="1" customWidth="1" outlineLevel="1"/>
    <col min="36" max="37" width="11.5703125" style="1" customWidth="1" outlineLevel="1"/>
    <col min="38" max="38" width="11.5703125" style="1" bestFit="1" customWidth="1" outlineLevel="1"/>
    <col min="39" max="40" width="11.5703125" style="1" bestFit="1" customWidth="1"/>
    <col min="41" max="42" width="10.28515625" style="1" bestFit="1" customWidth="1"/>
    <col min="43" max="237" width="8.5703125" style="1" customWidth="1"/>
    <col min="238" max="16384" width="10.5703125" style="1"/>
  </cols>
  <sheetData>
    <row r="1" spans="1:42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R1" s="1029" t="s">
        <v>216</v>
      </c>
      <c r="S1" s="1029"/>
      <c r="T1" s="1029"/>
      <c r="U1" s="1029"/>
      <c r="V1" s="1029"/>
      <c r="W1" s="245"/>
      <c r="X1" s="246"/>
      <c r="Y1" s="128"/>
      <c r="Z1" s="128"/>
      <c r="AA1" s="1029" t="s">
        <v>225</v>
      </c>
      <c r="AB1" s="1029"/>
      <c r="AC1" s="1029"/>
      <c r="AD1" s="1029"/>
      <c r="AE1" s="1029"/>
      <c r="AF1" s="1029"/>
      <c r="AG1" s="1029"/>
      <c r="AH1" s="1029"/>
      <c r="AI1" s="1029"/>
      <c r="AJ1" s="248" t="s">
        <v>194</v>
      </c>
      <c r="AK1" s="248" t="s">
        <v>177</v>
      </c>
      <c r="AL1" s="248" t="s">
        <v>282</v>
      </c>
      <c r="AM1" s="387" t="s">
        <v>107</v>
      </c>
      <c r="AN1" s="387" t="s">
        <v>194</v>
      </c>
      <c r="AO1" s="387" t="s">
        <v>177</v>
      </c>
      <c r="AP1" s="387" t="s">
        <v>282</v>
      </c>
    </row>
    <row r="2" spans="1:42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R2" s="10" t="s">
        <v>190</v>
      </c>
      <c r="S2" s="10" t="s">
        <v>55</v>
      </c>
      <c r="T2" s="10" t="s">
        <v>3</v>
      </c>
      <c r="U2" s="140" t="s">
        <v>1</v>
      </c>
      <c r="V2" s="140" t="s">
        <v>215</v>
      </c>
      <c r="W2" s="249" t="s">
        <v>2</v>
      </c>
      <c r="X2" s="9" t="s">
        <v>223</v>
      </c>
      <c r="Y2" s="129" t="s">
        <v>226</v>
      </c>
      <c r="Z2" s="129" t="s">
        <v>227</v>
      </c>
      <c r="AA2" s="10" t="s">
        <v>194</v>
      </c>
      <c r="AB2" s="10" t="s">
        <v>177</v>
      </c>
      <c r="AC2" s="10" t="s">
        <v>282</v>
      </c>
      <c r="AD2" s="10" t="s">
        <v>3</v>
      </c>
      <c r="AE2" s="140" t="s">
        <v>228</v>
      </c>
      <c r="AF2" s="140" t="s">
        <v>229</v>
      </c>
      <c r="AG2" s="140" t="s">
        <v>283</v>
      </c>
      <c r="AH2" s="140" t="s">
        <v>230</v>
      </c>
      <c r="AI2" s="140" t="s">
        <v>215</v>
      </c>
      <c r="AJ2" s="249" t="s">
        <v>222</v>
      </c>
      <c r="AK2" s="249" t="s">
        <v>222</v>
      </c>
      <c r="AL2" s="249" t="s">
        <v>222</v>
      </c>
      <c r="AM2" s="388" t="s">
        <v>327</v>
      </c>
      <c r="AN2" s="388" t="s">
        <v>327</v>
      </c>
      <c r="AO2" s="388" t="s">
        <v>327</v>
      </c>
      <c r="AP2" s="388" t="s">
        <v>327</v>
      </c>
    </row>
    <row r="3" spans="1:42" ht="17.25" customHeight="1">
      <c r="B3" s="1031" t="s">
        <v>297</v>
      </c>
      <c r="C3" s="1032"/>
      <c r="D3" s="1033"/>
      <c r="E3" s="1031" t="s">
        <v>302</v>
      </c>
      <c r="F3" s="1032"/>
      <c r="G3" s="1033"/>
      <c r="H3" s="1031" t="s">
        <v>282</v>
      </c>
      <c r="I3" s="1032"/>
      <c r="J3" s="1033"/>
      <c r="K3" s="363"/>
      <c r="L3" s="363"/>
      <c r="M3" s="1031" t="s">
        <v>309</v>
      </c>
      <c r="N3" s="1032"/>
      <c r="O3" s="1032"/>
      <c r="P3" s="1033"/>
      <c r="R3" s="4"/>
      <c r="S3" s="4"/>
      <c r="T3" s="4"/>
      <c r="U3" s="4"/>
      <c r="V3" s="5"/>
      <c r="W3" s="265"/>
      <c r="X3" s="3"/>
      <c r="Y3" s="125"/>
      <c r="Z3" s="126"/>
      <c r="AA3" s="242"/>
      <c r="AB3" s="242"/>
      <c r="AC3" s="242"/>
      <c r="AD3" s="4"/>
      <c r="AE3" s="242"/>
      <c r="AF3" s="242"/>
      <c r="AG3" s="242"/>
      <c r="AH3" s="242"/>
      <c r="AI3" s="5"/>
      <c r="AJ3" s="1025"/>
      <c r="AK3" s="1025"/>
      <c r="AL3" s="1025"/>
      <c r="AM3" s="389"/>
      <c r="AN3" s="389"/>
      <c r="AO3" s="389"/>
      <c r="AP3" s="389"/>
    </row>
    <row r="4" spans="1:42" s="6" customFormat="1" ht="16.5">
      <c r="B4" s="319" t="s">
        <v>289</v>
      </c>
      <c r="C4" s="8" t="s">
        <v>288</v>
      </c>
      <c r="D4" s="313" t="s">
        <v>108</v>
      </c>
      <c r="E4" s="319" t="s">
        <v>289</v>
      </c>
      <c r="F4" s="7" t="s">
        <v>288</v>
      </c>
      <c r="G4" s="320" t="s">
        <v>108</v>
      </c>
      <c r="H4" s="319" t="s">
        <v>289</v>
      </c>
      <c r="I4" s="7" t="s">
        <v>288</v>
      </c>
      <c r="J4" s="313" t="s">
        <v>108</v>
      </c>
      <c r="K4" s="8"/>
      <c r="L4" s="8"/>
      <c r="M4" s="319" t="s">
        <v>289</v>
      </c>
      <c r="N4" s="364" t="s">
        <v>306</v>
      </c>
      <c r="O4" s="364" t="s">
        <v>307</v>
      </c>
      <c r="P4" s="365" t="s">
        <v>308</v>
      </c>
      <c r="R4" s="10"/>
      <c r="S4" s="10"/>
      <c r="T4" s="10"/>
      <c r="U4" s="5"/>
      <c r="V4" s="5"/>
      <c r="W4" s="256"/>
      <c r="X4" s="9"/>
      <c r="Y4" s="125"/>
      <c r="Z4" s="126"/>
      <c r="AA4" s="243"/>
      <c r="AB4" s="243"/>
      <c r="AC4" s="243"/>
      <c r="AD4" s="10"/>
      <c r="AE4" s="244"/>
      <c r="AF4" s="244"/>
      <c r="AG4" s="244"/>
      <c r="AH4" s="244"/>
      <c r="AI4" s="5"/>
      <c r="AJ4" s="5"/>
      <c r="AK4" s="5"/>
      <c r="AL4" s="5"/>
      <c r="AM4" s="390"/>
      <c r="AN4" s="390"/>
      <c r="AO4" s="390"/>
      <c r="AP4" s="390"/>
    </row>
    <row r="5" spans="1:42" s="6" customFormat="1" ht="15">
      <c r="A5" s="11"/>
      <c r="B5" s="335"/>
      <c r="C5" s="11" t="s">
        <v>287</v>
      </c>
      <c r="D5" s="314"/>
      <c r="E5" s="321"/>
      <c r="F5" s="11" t="s">
        <v>287</v>
      </c>
      <c r="G5" s="322"/>
      <c r="H5" s="321"/>
      <c r="I5" s="11" t="s">
        <v>287</v>
      </c>
      <c r="J5" s="322"/>
      <c r="K5" s="309"/>
      <c r="L5" s="309"/>
      <c r="M5" s="321"/>
      <c r="N5" s="11"/>
      <c r="O5" s="11"/>
      <c r="P5" s="322"/>
      <c r="R5" s="15"/>
      <c r="S5" s="15"/>
      <c r="T5" s="15"/>
      <c r="U5" s="16"/>
      <c r="V5" s="16"/>
      <c r="W5" s="159"/>
      <c r="X5" s="14"/>
      <c r="Y5" s="125"/>
      <c r="Z5" s="126"/>
      <c r="AA5" s="15"/>
      <c r="AB5" s="15"/>
      <c r="AC5" s="15"/>
      <c r="AD5" s="15"/>
      <c r="AE5" s="16"/>
      <c r="AF5" s="16"/>
      <c r="AG5" s="16"/>
      <c r="AH5" s="16"/>
      <c r="AI5" s="16"/>
      <c r="AJ5" s="16"/>
      <c r="AK5" s="16"/>
      <c r="AL5" s="16"/>
      <c r="AM5" s="391"/>
      <c r="AN5" s="391"/>
      <c r="AO5" s="391"/>
      <c r="AP5" s="391"/>
    </row>
    <row r="6" spans="1:42" ht="15">
      <c r="A6" s="17" t="s">
        <v>4</v>
      </c>
      <c r="B6" s="449" t="e">
        <f>IF($B$24&lt;&gt;0,$D$54,0)</f>
        <v>#REF!</v>
      </c>
      <c r="C6" s="18">
        <v>5.1848256458867814E-2</v>
      </c>
      <c r="D6" s="238">
        <v>4.2711307857142861E-2</v>
      </c>
      <c r="E6" s="323" t="e">
        <f>$F$54</f>
        <v>#REF!</v>
      </c>
      <c r="F6" s="18">
        <v>0.13644871697440611</v>
      </c>
      <c r="G6" s="238">
        <v>8.7306307857142856E-2</v>
      </c>
      <c r="H6" s="323">
        <f>IF($H$24&lt;&gt;0,$H$54,0)</f>
        <v>0</v>
      </c>
      <c r="I6" s="18">
        <v>0.48991089907521851</v>
      </c>
      <c r="J6" s="238">
        <v>0.34557399999999999</v>
      </c>
      <c r="K6" s="18"/>
      <c r="L6" s="18"/>
      <c r="M6" s="323" t="e">
        <f>(B6*B$24+E6*E$24+H6*H$24)/M$24</f>
        <v>#REF!</v>
      </c>
      <c r="N6" s="18" t="e">
        <f>M6</f>
        <v>#REF!</v>
      </c>
      <c r="O6" s="18" t="e">
        <f>M6</f>
        <v>#REF!</v>
      </c>
      <c r="P6" s="238" t="e">
        <f>M6-O6</f>
        <v>#REF!</v>
      </c>
      <c r="Q6" s="1" t="e">
        <f>M6*$M$24</f>
        <v>#REF!</v>
      </c>
      <c r="R6" s="24"/>
      <c r="S6" s="21"/>
      <c r="T6" s="21"/>
      <c r="U6" s="2"/>
      <c r="V6" s="2"/>
      <c r="W6" s="159"/>
      <c r="X6" s="20"/>
      <c r="Y6" s="125"/>
      <c r="Z6" s="126"/>
      <c r="AA6" s="21"/>
      <c r="AB6" s="21"/>
      <c r="AC6" s="21"/>
      <c r="AD6" s="21"/>
      <c r="AE6" s="2"/>
      <c r="AF6" s="2"/>
      <c r="AG6" s="2"/>
      <c r="AH6" s="2"/>
      <c r="AI6" s="2"/>
      <c r="AJ6" s="2"/>
      <c r="AK6" s="2"/>
      <c r="AL6" s="2"/>
      <c r="AM6" s="253"/>
      <c r="AN6" s="253"/>
      <c r="AO6" s="253"/>
      <c r="AP6" s="253"/>
    </row>
    <row r="7" spans="1:42" ht="15">
      <c r="A7" s="17" t="s">
        <v>5</v>
      </c>
      <c r="B7" s="324">
        <f>IF($B$24&lt;&gt;0,$D$102,0)</f>
        <v>4.6582448823549857E-3</v>
      </c>
      <c r="C7" s="23">
        <v>7.4774681724732069E-3</v>
      </c>
      <c r="D7" s="315">
        <v>4.2586033477899779E-3</v>
      </c>
      <c r="E7" s="324">
        <f>$H$102</f>
        <v>5.4763491398185801E-2</v>
      </c>
      <c r="F7" s="23">
        <v>5.1789467822632336E-2</v>
      </c>
      <c r="G7" s="325">
        <v>5.0065205607455927E-2</v>
      </c>
      <c r="H7" s="324">
        <f>IF($H$24&lt;&gt;0,$H$102,0)</f>
        <v>0</v>
      </c>
      <c r="I7" s="23">
        <v>5.970646436615077E-2</v>
      </c>
      <c r="J7" s="315">
        <v>5.0065205607455927E-2</v>
      </c>
      <c r="K7" s="23"/>
      <c r="L7" s="23"/>
      <c r="M7" s="324">
        <f t="shared" ref="M7:M11" si="0">(B7*B$24+E7*E$24+H7*H$24)/M$24</f>
        <v>2.0942450000000001E-2</v>
      </c>
      <c r="N7" s="23">
        <v>6.5396806966618289E-3</v>
      </c>
      <c r="O7" s="23" t="e">
        <f>IF($M$22&lt;$N$22,M7,IF($M$12&lt;$N$12,M7,IF(AND($M$12&gt;$N$12,$M$20&lt;$N$20),(($N$7+$N$8+$N$9+$N$10+$N$11)+($N$20-$M$20))/($M$7+$M$8+$M$9+$M$10+$M$11)*M7,M7/($M$7+$M$8+$M$9+$M$10+$M$11)*($N$7+$N$8+$N$9+$N$10+$N$11))))</f>
        <v>#REF!</v>
      </c>
      <c r="P7" s="315" t="e">
        <f t="shared" ref="P7:P11" si="1">M7-O7</f>
        <v>#REF!</v>
      </c>
      <c r="Q7" s="1">
        <f t="shared" ref="Q7:Q11" si="2">M7*$M$24</f>
        <v>5026.1880000000001</v>
      </c>
      <c r="R7" s="24">
        <f>ROUND($G$96*$H$96,0)</f>
        <v>5026188</v>
      </c>
      <c r="S7" s="24">
        <v>0</v>
      </c>
      <c r="T7" s="24">
        <f>SUM(R7:S7)</f>
        <v>5026188</v>
      </c>
      <c r="U7" s="19">
        <f>G96</f>
        <v>69055200</v>
      </c>
      <c r="V7" s="25">
        <f>T7/U7</f>
        <v>7.2785076286796646E-2</v>
      </c>
      <c r="W7" s="159" t="s">
        <v>6</v>
      </c>
      <c r="X7" s="20" t="s">
        <v>7</v>
      </c>
      <c r="Y7" s="125">
        <v>630010</v>
      </c>
      <c r="Z7" s="126">
        <v>1</v>
      </c>
      <c r="AA7" s="24">
        <f>ROUND($B$102*$C$102*$B$24*1000,0)</f>
        <v>754636</v>
      </c>
      <c r="AB7" s="24">
        <f>ROUND($F$102*$G$102*$E$24*1000,0)</f>
        <v>4271552</v>
      </c>
      <c r="AC7" s="24">
        <f>ROUND($F$102*$G$102*$H$24*1000,0)</f>
        <v>0</v>
      </c>
      <c r="AD7" s="24">
        <f>SUM(AA7:AC7)</f>
        <v>5026188</v>
      </c>
      <c r="AE7" s="19">
        <f>$B$102*$B$24*1000</f>
        <v>10368000</v>
      </c>
      <c r="AF7" s="19">
        <f>$F$102*$E$24*1000</f>
        <v>58687200</v>
      </c>
      <c r="AG7" s="19">
        <f>$F$102*$H$24*1000</f>
        <v>0</v>
      </c>
      <c r="AH7" s="19">
        <f>SUM(AE7:AG7)</f>
        <v>69055200</v>
      </c>
      <c r="AI7" s="25">
        <f>AD7/AH7</f>
        <v>7.2785076286796646E-2</v>
      </c>
      <c r="AJ7" s="56">
        <f>ROUND(AE7/$B$24,3)</f>
        <v>64</v>
      </c>
      <c r="AK7" s="56">
        <f>ROUND(AF7/$E$24,3)</f>
        <v>752.4</v>
      </c>
      <c r="AL7" s="56">
        <f>IF($H$24&lt;&gt;0,ROUND(AG7/$H$24,3),0)</f>
        <v>0</v>
      </c>
      <c r="AM7" s="241" t="e">
        <f>P7*$M$24</f>
        <v>#REF!</v>
      </c>
      <c r="AN7" s="241" t="e">
        <f>$AM7/$AH7*AE7</f>
        <v>#REF!</v>
      </c>
      <c r="AO7" s="241" t="e">
        <f t="shared" ref="AO7:AP11" si="3">$AM7/$AH7*AF7</f>
        <v>#REF!</v>
      </c>
      <c r="AP7" s="241" t="e">
        <f t="shared" si="3"/>
        <v>#REF!</v>
      </c>
    </row>
    <row r="8" spans="1:42" ht="15">
      <c r="A8" s="26" t="s">
        <v>8</v>
      </c>
      <c r="B8" s="326">
        <f>IF($B$24&lt;&gt;0,$D$107,0)</f>
        <v>1.8171102682490999E-2</v>
      </c>
      <c r="C8" s="23">
        <v>2.6943144720550712E-2</v>
      </c>
      <c r="D8" s="315">
        <v>2.1338942513967681E-2</v>
      </c>
      <c r="E8" s="326">
        <f>$H$107</f>
        <v>1.0122714736364849E-2</v>
      </c>
      <c r="F8" s="23">
        <v>2.268105439077309E-2</v>
      </c>
      <c r="G8" s="315">
        <v>1.1887447427872407E-2</v>
      </c>
      <c r="H8" s="326">
        <f>IF($H$24&lt;&gt;0,$H$107,0)</f>
        <v>0</v>
      </c>
      <c r="I8" s="23">
        <v>2.3336341873140834E-2</v>
      </c>
      <c r="J8" s="315">
        <v>1.1887447427872407E-2</v>
      </c>
      <c r="K8" s="23"/>
      <c r="L8" s="23"/>
      <c r="M8" s="326">
        <f t="shared" si="0"/>
        <v>1.55553766E-2</v>
      </c>
      <c r="N8" s="23">
        <v>2.9646432510885341E-2</v>
      </c>
      <c r="O8" s="23" t="e">
        <f>IF($M$22&lt;$N$22,M8,IF($M$12&lt;$N$12,M8,IF(AND($M$12&gt;$N$12,$M$20&lt;$N$20),(($N$7+$N$8+$N$9+$N$10+$N$11)+($N$20-$M$20))/($M$7+$M$8+$M$9+$M$10+$M$11)*M8,M8/($M$7+$M$8+$M$9+$M$10+$M$11)*($N$7+$N$8+$N$9+$N$10+$N$11))))</f>
        <v>#REF!</v>
      </c>
      <c r="P8" s="315" t="e">
        <f t="shared" si="1"/>
        <v>#REF!</v>
      </c>
      <c r="Q8" s="1">
        <f t="shared" si="2"/>
        <v>3733.2903839999999</v>
      </c>
      <c r="R8" s="24">
        <f>ROUND($D$96*$C$96,0)</f>
        <v>3733290</v>
      </c>
      <c r="S8" s="24">
        <v>0</v>
      </c>
      <c r="T8" s="24">
        <f>SUM(R8:S8)</f>
        <v>3733290</v>
      </c>
      <c r="U8" s="19">
        <f>C96*1000</f>
        <v>899880000.00000012</v>
      </c>
      <c r="V8" s="25">
        <f>T8/U8</f>
        <v>4.148653153753833E-3</v>
      </c>
      <c r="W8" s="159" t="s">
        <v>9</v>
      </c>
      <c r="X8" s="20" t="s">
        <v>10</v>
      </c>
      <c r="Y8" s="125" t="s">
        <v>75</v>
      </c>
      <c r="Z8" s="126">
        <v>1</v>
      </c>
      <c r="AA8" s="24">
        <f>ROUND($B$107*$C$107*$B$24*1000,0)</f>
        <v>2943719</v>
      </c>
      <c r="AB8" s="24">
        <f>ROUND($F$107*$G$107*$E$24*1000,0)</f>
        <v>789572</v>
      </c>
      <c r="AC8" s="24">
        <f>ROUND($F$107*$G$107*$H$24*1000,0)</f>
        <v>0</v>
      </c>
      <c r="AD8" s="24">
        <f t="shared" ref="AD8:AD11" si="4">SUM(AA8:AC8)</f>
        <v>3733291</v>
      </c>
      <c r="AE8" s="19">
        <f>$B$107*$B$24*1000*1000</f>
        <v>709560000.00000012</v>
      </c>
      <c r="AF8" s="19">
        <f>$F$107*$E$24*1000*1000</f>
        <v>190320000.00000003</v>
      </c>
      <c r="AG8" s="19">
        <f>$F$107*$H$24*1000*1000</f>
        <v>0</v>
      </c>
      <c r="AH8" s="19">
        <f t="shared" ref="AH8:AH11" si="5">SUM(AE8:AG8)</f>
        <v>899880000.00000012</v>
      </c>
      <c r="AI8" s="25">
        <f>AD8/AH8</f>
        <v>4.148654265013112E-3</v>
      </c>
      <c r="AJ8" s="56">
        <f>ROUND(AE8/$B$24,3)</f>
        <v>4380</v>
      </c>
      <c r="AK8" s="56">
        <f>ROUND(AF8/$E$24,3)</f>
        <v>2440</v>
      </c>
      <c r="AL8" s="56">
        <f>IF($H$24&lt;&gt;0,ROUND(AG8/$H$24,3),0)</f>
        <v>0</v>
      </c>
      <c r="AM8" s="241" t="e">
        <f>P8*$M$24</f>
        <v>#REF!</v>
      </c>
      <c r="AN8" s="241" t="e">
        <f>$AM8/$AH8*AE8</f>
        <v>#REF!</v>
      </c>
      <c r="AO8" s="241" t="e">
        <f t="shared" si="3"/>
        <v>#REF!</v>
      </c>
      <c r="AP8" s="241" t="e">
        <f t="shared" si="3"/>
        <v>#REF!</v>
      </c>
    </row>
    <row r="9" spans="1:42" ht="15">
      <c r="A9" s="17" t="s">
        <v>11</v>
      </c>
      <c r="B9" s="326">
        <f>IF($B$24&lt;&gt;0,$H$117,0)</f>
        <v>9.5833327499999996E-3</v>
      </c>
      <c r="C9" s="23">
        <v>1.4341646397233654E-2</v>
      </c>
      <c r="D9" s="315">
        <v>1.2419503219871205E-2</v>
      </c>
      <c r="E9" s="326">
        <f>$H$117</f>
        <v>9.5833327499999996E-3</v>
      </c>
      <c r="F9" s="23">
        <v>1.8091919034933433E-2</v>
      </c>
      <c r="G9" s="315">
        <v>1.2419503219871205E-2</v>
      </c>
      <c r="H9" s="326">
        <f>IF($H$24&lt;&gt;0,$H$117,0)</f>
        <v>0</v>
      </c>
      <c r="I9" s="23">
        <v>2.9451034169154577E-2</v>
      </c>
      <c r="J9" s="315">
        <v>1.2419503219871205E-2</v>
      </c>
      <c r="K9" s="23"/>
      <c r="L9" s="23"/>
      <c r="M9" s="326">
        <f t="shared" si="0"/>
        <v>9.5833327499999996E-3</v>
      </c>
      <c r="N9" s="23">
        <v>1.4439611030478954E-2</v>
      </c>
      <c r="O9" s="23" t="e">
        <f>IF($M$22&lt;$N$22,M9,IF($M$12&lt;$N$12,M9,IF(AND($M$12&gt;$N$12,$M$20&lt;$N$20),(($N$7+$N$8+$N$9+$N$10+$N$11)+($N$20-$M$20))/($M$7+$M$8+$M$9+$M$10+$M$11)*M9,M9/($M$7+$M$8+$M$9+$M$10+$M$11)*($N$7+$N$8+$N$9+$N$10+$N$11))))</f>
        <v>#REF!</v>
      </c>
      <c r="P9" s="315" t="e">
        <f t="shared" si="1"/>
        <v>#REF!</v>
      </c>
      <c r="Q9" s="1">
        <f t="shared" si="2"/>
        <v>2299.9998599999999</v>
      </c>
      <c r="R9" s="24">
        <f>ROUND($G$117,0)</f>
        <v>2300000</v>
      </c>
      <c r="S9" s="24">
        <v>0</v>
      </c>
      <c r="T9" s="24">
        <f>SUM(R9:S9)</f>
        <v>2300000</v>
      </c>
      <c r="U9" s="19">
        <f>$B$25*1000</f>
        <v>240000000</v>
      </c>
      <c r="V9" s="25">
        <f>T9/U9</f>
        <v>9.5833333333333326E-3</v>
      </c>
      <c r="W9" s="159" t="s">
        <v>12</v>
      </c>
      <c r="X9" s="20" t="s">
        <v>13</v>
      </c>
      <c r="Y9" s="125" t="s">
        <v>76</v>
      </c>
      <c r="Z9" s="126">
        <v>1</v>
      </c>
      <c r="AA9" s="24">
        <f>$H$117*$B$24*1000</f>
        <v>1552499.9054999999</v>
      </c>
      <c r="AB9" s="24">
        <f>$H$117*$E$24*1000</f>
        <v>747499.95449999999</v>
      </c>
      <c r="AC9" s="24">
        <f>$H$117*$H$24*1000</f>
        <v>0</v>
      </c>
      <c r="AD9" s="24">
        <f t="shared" si="4"/>
        <v>2299999.86</v>
      </c>
      <c r="AE9" s="19">
        <f>$B$24*1000</f>
        <v>162000000</v>
      </c>
      <c r="AF9" s="19">
        <f>$E$24*1000</f>
        <v>78000000</v>
      </c>
      <c r="AG9" s="19">
        <f>$H$24*1000</f>
        <v>0</v>
      </c>
      <c r="AH9" s="19">
        <f t="shared" si="5"/>
        <v>240000000</v>
      </c>
      <c r="AI9" s="25">
        <f>AD9/AH9</f>
        <v>9.5833327499999996E-3</v>
      </c>
      <c r="AJ9" s="56">
        <f>ROUND(AE9/$B$24,3)</f>
        <v>1000</v>
      </c>
      <c r="AK9" s="56">
        <f>ROUND(AF9/$E$24,3)</f>
        <v>1000</v>
      </c>
      <c r="AL9" s="56">
        <f>IF($H$24&lt;&gt;0,ROUND(AG9/$H$24,3),0)</f>
        <v>0</v>
      </c>
      <c r="AM9" s="241" t="e">
        <f>P9*$M$24</f>
        <v>#REF!</v>
      </c>
      <c r="AN9" s="241" t="e">
        <f t="shared" ref="AN9:AN11" si="6">$AM9/$AH9*AE9</f>
        <v>#REF!</v>
      </c>
      <c r="AO9" s="241" t="e">
        <f t="shared" si="3"/>
        <v>#REF!</v>
      </c>
      <c r="AP9" s="241" t="e">
        <f t="shared" si="3"/>
        <v>#REF!</v>
      </c>
    </row>
    <row r="10" spans="1:42" ht="15">
      <c r="A10" s="17" t="s">
        <v>14</v>
      </c>
      <c r="B10" s="326">
        <f>IF($B$24&lt;&gt;0,$H$121,0)</f>
        <v>8.3333333333333339E-4</v>
      </c>
      <c r="C10" s="23">
        <v>1.7571987252344094E-3</v>
      </c>
      <c r="D10" s="315">
        <v>6.8997240110395589E-4</v>
      </c>
      <c r="E10" s="326">
        <f>$H$121</f>
        <v>8.3333333333333339E-4</v>
      </c>
      <c r="F10" s="23">
        <v>7.0933264503030852E-3</v>
      </c>
      <c r="G10" s="315">
        <v>6.8997240110395589E-4</v>
      </c>
      <c r="H10" s="326">
        <f>IF($H$24&lt;&gt;0,$H$121,0)</f>
        <v>0</v>
      </c>
      <c r="I10" s="23">
        <v>1.1193950669625665E-2</v>
      </c>
      <c r="J10" s="315">
        <v>6.8997240110395589E-4</v>
      </c>
      <c r="K10" s="23"/>
      <c r="L10" s="23"/>
      <c r="M10" s="326">
        <f t="shared" si="0"/>
        <v>8.3333333333333339E-4</v>
      </c>
      <c r="N10" s="23">
        <v>1.1089114658925979E-3</v>
      </c>
      <c r="O10" s="23" t="e">
        <f>IF($M$22&lt;$N$22,M10,IF($M$12&lt;$N$12,M10,IF(AND($M$12&gt;$N$12,$M$20&lt;$N$20),(($N$7+$N$8+$N$9+$N$10+$N$11)+($N$20-$M$20))/($M$7+$M$8+$M$9+$M$10+$M$11)*M10,M10/($M$7+$M$8+$M$9+$M$10+$M$11)*($N$7+$N$8+$N$9+$N$10+$N$11))))</f>
        <v>#REF!</v>
      </c>
      <c r="P10" s="315" t="e">
        <f t="shared" si="1"/>
        <v>#REF!</v>
      </c>
      <c r="Q10" s="1">
        <f t="shared" si="2"/>
        <v>200</v>
      </c>
      <c r="R10" s="24">
        <f>ROUND($G$121,0)</f>
        <v>200000</v>
      </c>
      <c r="S10" s="24">
        <v>0</v>
      </c>
      <c r="T10" s="24">
        <f>SUM(R10:S10)</f>
        <v>200000</v>
      </c>
      <c r="U10" s="19">
        <f>$B$25*1000</f>
        <v>240000000</v>
      </c>
      <c r="V10" s="25">
        <f>T10/U10</f>
        <v>8.3333333333333339E-4</v>
      </c>
      <c r="W10" s="159" t="s">
        <v>12</v>
      </c>
      <c r="X10" s="20" t="s">
        <v>15</v>
      </c>
      <c r="Y10" s="125" t="s">
        <v>77</v>
      </c>
      <c r="Z10" s="126">
        <v>1</v>
      </c>
      <c r="AA10" s="24">
        <f>$H$121*$B$24*1000</f>
        <v>135000</v>
      </c>
      <c r="AB10" s="24">
        <f>$H$121*$E$24*1000</f>
        <v>65000</v>
      </c>
      <c r="AC10" s="24">
        <f>$H$121*$H$24*1000</f>
        <v>0</v>
      </c>
      <c r="AD10" s="24">
        <f t="shared" si="4"/>
        <v>200000</v>
      </c>
      <c r="AE10" s="19">
        <f>$B$24*1000</f>
        <v>162000000</v>
      </c>
      <c r="AF10" s="19">
        <f>$E$24*1000</f>
        <v>78000000</v>
      </c>
      <c r="AG10" s="19">
        <f>$H$24*1000</f>
        <v>0</v>
      </c>
      <c r="AH10" s="19">
        <f t="shared" si="5"/>
        <v>240000000</v>
      </c>
      <c r="AI10" s="25">
        <f>AD10/AH10</f>
        <v>8.3333333333333339E-4</v>
      </c>
      <c r="AJ10" s="56">
        <f>ROUND(AE10/$B$24,3)</f>
        <v>1000</v>
      </c>
      <c r="AK10" s="56">
        <f>ROUND(AF10/$E$24,3)</f>
        <v>1000</v>
      </c>
      <c r="AL10" s="56">
        <f>IF($H$24&lt;&gt;0,ROUND(AG10/$H$24,3),0)</f>
        <v>0</v>
      </c>
      <c r="AM10" s="241" t="e">
        <f>P10*$M$24</f>
        <v>#REF!</v>
      </c>
      <c r="AN10" s="241" t="e">
        <f t="shared" si="6"/>
        <v>#REF!</v>
      </c>
      <c r="AO10" s="241" t="e">
        <f t="shared" si="3"/>
        <v>#REF!</v>
      </c>
      <c r="AP10" s="241" t="e">
        <f t="shared" si="3"/>
        <v>#REF!</v>
      </c>
    </row>
    <row r="11" spans="1:42" ht="15">
      <c r="A11" s="17" t="s">
        <v>16</v>
      </c>
      <c r="B11" s="336">
        <f>IF($B$24&lt;&gt;0,$H$124,0)</f>
        <v>3.1250000000000002E-3</v>
      </c>
      <c r="C11" s="27">
        <v>8.1960496265715312E-3</v>
      </c>
      <c r="D11" s="316">
        <v>2.2999080036798527E-3</v>
      </c>
      <c r="E11" s="327">
        <f>$H$124</f>
        <v>3.1250000000000002E-3</v>
      </c>
      <c r="F11" s="27">
        <v>1.9526413286256691E-2</v>
      </c>
      <c r="G11" s="317">
        <v>2.2999080036798527E-3</v>
      </c>
      <c r="H11" s="327">
        <f>IF($H$24&lt;&gt;0,$H$124,0)</f>
        <v>0</v>
      </c>
      <c r="I11" s="27">
        <v>1.9444311706705755E-2</v>
      </c>
      <c r="J11" s="317">
        <v>2.2999080036798527E-3</v>
      </c>
      <c r="K11" s="31"/>
      <c r="L11" s="31"/>
      <c r="M11" s="327">
        <f t="shared" si="0"/>
        <v>3.1250000000000002E-3</v>
      </c>
      <c r="N11" s="27">
        <v>3.106188679245283E-3</v>
      </c>
      <c r="O11" s="27" t="e">
        <f>IF($M$22&lt;$N$22,M11,IF($M$12&lt;$N$12,M11,IF(AND($M$12&gt;$N$12,$M$20&lt;$N$20),(($N$7+$N$8+$N$9+$N$10+$N$11)+($N$20-$M$20))/($M$7+$M$8+$M$9+$M$10+$M$11)*M11,M11/($M$7+$M$8+$M$9+$M$10+$M$11)*($N$7+$N$8+$N$9+$N$10+$N$11))))</f>
        <v>#REF!</v>
      </c>
      <c r="P11" s="317" t="e">
        <f t="shared" si="1"/>
        <v>#REF!</v>
      </c>
      <c r="Q11" s="372">
        <f t="shared" si="2"/>
        <v>750</v>
      </c>
      <c r="R11" s="28">
        <f>ROUND($G$124,0)</f>
        <v>750000</v>
      </c>
      <c r="S11" s="28">
        <v>0</v>
      </c>
      <c r="T11" s="28">
        <f>SUM(R11:S11)</f>
        <v>750000</v>
      </c>
      <c r="U11" s="19">
        <f>$B$25*1000</f>
        <v>240000000</v>
      </c>
      <c r="V11" s="25">
        <f>T11/U11</f>
        <v>3.1250000000000002E-3</v>
      </c>
      <c r="W11" s="159" t="s">
        <v>12</v>
      </c>
      <c r="X11" s="20" t="s">
        <v>17</v>
      </c>
      <c r="Y11" s="125" t="s">
        <v>78</v>
      </c>
      <c r="Z11" s="127" t="s">
        <v>78</v>
      </c>
      <c r="AA11" s="28">
        <f>$H$124*$B$24*1000</f>
        <v>506250</v>
      </c>
      <c r="AB11" s="28">
        <f>$H$124*$E$24*1000</f>
        <v>243750</v>
      </c>
      <c r="AC11" s="28">
        <f>$H$124*$H$24*1000</f>
        <v>0</v>
      </c>
      <c r="AD11" s="28">
        <f t="shared" si="4"/>
        <v>750000</v>
      </c>
      <c r="AE11" s="19">
        <f>$B$24*1000</f>
        <v>162000000</v>
      </c>
      <c r="AF11" s="19">
        <f>$E$24*1000</f>
        <v>78000000</v>
      </c>
      <c r="AG11" s="19">
        <f>$H$24*1000</f>
        <v>0</v>
      </c>
      <c r="AH11" s="19">
        <f t="shared" si="5"/>
        <v>240000000</v>
      </c>
      <c r="AI11" s="25">
        <f>AD11/AH11</f>
        <v>3.1250000000000002E-3</v>
      </c>
      <c r="AJ11" s="56">
        <f>ROUND(AE11/$B$24,3)</f>
        <v>1000</v>
      </c>
      <c r="AK11" s="56">
        <f>ROUND(AF11/$E$24,3)</f>
        <v>1000</v>
      </c>
      <c r="AL11" s="56">
        <f>IF($H$24&lt;&gt;0,ROUND(AG11/$H$24,3),0)</f>
        <v>0</v>
      </c>
      <c r="AM11" s="384" t="e">
        <f>P11*$M$24</f>
        <v>#REF!</v>
      </c>
      <c r="AN11" s="384" t="e">
        <f t="shared" si="6"/>
        <v>#REF!</v>
      </c>
      <c r="AO11" s="384" t="e">
        <f t="shared" si="3"/>
        <v>#REF!</v>
      </c>
      <c r="AP11" s="384" t="e">
        <f t="shared" si="3"/>
        <v>#REF!</v>
      </c>
    </row>
    <row r="12" spans="1:42">
      <c r="A12" s="192" t="s">
        <v>169</v>
      </c>
      <c r="B12" s="326" t="e">
        <f t="shared" ref="B12:D12" si="7">SUM(B6:B11)</f>
        <v>#REF!</v>
      </c>
      <c r="C12" s="23">
        <f t="shared" si="7"/>
        <v>0.11056376410093133</v>
      </c>
      <c r="D12" s="315">
        <f t="shared" si="7"/>
        <v>8.3718237343555532E-2</v>
      </c>
      <c r="E12" s="326" t="e">
        <f>SUM(E6:E11)</f>
        <v>#REF!</v>
      </c>
      <c r="F12" s="23">
        <f t="shared" ref="F12" si="8">SUM(F6:F11)</f>
        <v>0.25563089795930471</v>
      </c>
      <c r="G12" s="315">
        <f>SUM(G6:G11)</f>
        <v>0.1646683445171262</v>
      </c>
      <c r="H12" s="326">
        <f>SUM(H6:H11)</f>
        <v>0</v>
      </c>
      <c r="I12" s="23">
        <f t="shared" ref="I12" si="9">SUM(I6:I11)</f>
        <v>0.63304300185999618</v>
      </c>
      <c r="J12" s="315">
        <f>SUM(J6:J11)</f>
        <v>0.42293603665998336</v>
      </c>
      <c r="K12" s="23"/>
      <c r="L12" s="23"/>
      <c r="M12" s="326" t="e">
        <f>SUM(M6:M11)</f>
        <v>#REF!</v>
      </c>
      <c r="N12" s="23" t="e">
        <f t="shared" ref="N12:P12" si="10">SUM(N6:N11)</f>
        <v>#REF!</v>
      </c>
      <c r="O12" s="23" t="e">
        <f t="shared" si="10"/>
        <v>#REF!</v>
      </c>
      <c r="P12" s="315" t="e">
        <f t="shared" si="10"/>
        <v>#REF!</v>
      </c>
      <c r="Q12" s="1">
        <f>SUM(Q7:Q11)</f>
        <v>12009.478244</v>
      </c>
      <c r="R12" s="29">
        <f>SUM(R7:R11)</f>
        <v>12009478</v>
      </c>
      <c r="S12" s="29">
        <f>SUM(S7:S11)</f>
        <v>0</v>
      </c>
      <c r="T12" s="29">
        <f>SUM(T7:T11)</f>
        <v>12009478</v>
      </c>
      <c r="U12" s="19"/>
      <c r="V12" s="19"/>
      <c r="W12" s="159"/>
      <c r="X12" s="20"/>
      <c r="Y12" s="125"/>
      <c r="Z12" s="127"/>
      <c r="AA12" s="29">
        <f>SUM(AA7:AA11)</f>
        <v>5892104.9055000003</v>
      </c>
      <c r="AB12" s="29">
        <f>SUM(AB7:AB11)</f>
        <v>6117373.9545</v>
      </c>
      <c r="AC12" s="29">
        <f>SUM(AC7:AC11)</f>
        <v>0</v>
      </c>
      <c r="AD12" s="29">
        <f>SUM(AD7:AD11)</f>
        <v>12009478.859999999</v>
      </c>
      <c r="AE12" s="19"/>
      <c r="AF12" s="19"/>
      <c r="AG12" s="19"/>
      <c r="AH12" s="19"/>
      <c r="AI12" s="19"/>
      <c r="AJ12" s="19"/>
      <c r="AK12" s="19"/>
      <c r="AL12" s="19"/>
      <c r="AM12" s="102" t="e">
        <f>SUM(AM7:AM11)</f>
        <v>#REF!</v>
      </c>
      <c r="AN12" s="102" t="e">
        <f t="shared" ref="AN12:AP12" si="11">SUM(AN7:AN11)</f>
        <v>#REF!</v>
      </c>
      <c r="AO12" s="102" t="e">
        <f t="shared" si="11"/>
        <v>#REF!</v>
      </c>
      <c r="AP12" s="102" t="e">
        <f t="shared" si="11"/>
        <v>#REF!</v>
      </c>
    </row>
    <row r="13" spans="1:42">
      <c r="A13" s="17"/>
      <c r="B13" s="328"/>
      <c r="C13" s="23"/>
      <c r="D13" s="315"/>
      <c r="E13" s="328"/>
      <c r="F13" s="23"/>
      <c r="G13" s="329"/>
      <c r="H13" s="326"/>
      <c r="I13" s="23"/>
      <c r="J13" s="315"/>
      <c r="K13" s="23"/>
      <c r="L13" s="23"/>
      <c r="M13" s="326"/>
      <c r="N13" s="23"/>
      <c r="O13" s="23"/>
      <c r="P13" s="315"/>
      <c r="R13" s="29"/>
      <c r="S13" s="29"/>
      <c r="T13" s="29"/>
      <c r="U13" s="19"/>
      <c r="V13" s="19"/>
      <c r="W13" s="159"/>
      <c r="X13" s="20"/>
      <c r="Y13" s="125"/>
      <c r="Z13" s="127"/>
      <c r="AA13" s="29"/>
      <c r="AB13" s="29"/>
      <c r="AC13" s="29"/>
      <c r="AD13" s="29"/>
      <c r="AE13" s="19"/>
      <c r="AF13" s="19"/>
      <c r="AG13" s="19"/>
      <c r="AH13" s="19"/>
      <c r="AI13" s="19"/>
      <c r="AJ13" s="19"/>
      <c r="AK13" s="19"/>
      <c r="AL13" s="19"/>
      <c r="AM13" s="102"/>
      <c r="AN13" s="102"/>
      <c r="AO13" s="102"/>
      <c r="AP13" s="102"/>
    </row>
    <row r="14" spans="1:42">
      <c r="A14" s="17" t="s">
        <v>18</v>
      </c>
      <c r="B14" s="326">
        <f>IF($B$24&lt;&gt;0,$F$87/$B$24/1000,0)</f>
        <v>1.6195584461220804E-2</v>
      </c>
      <c r="C14" s="23">
        <v>1.1406821711646385E-2</v>
      </c>
      <c r="D14" s="315">
        <v>8.6668016661186568E-3</v>
      </c>
      <c r="E14" s="326">
        <f>$H$87/($E$24+$H$24)/1000</f>
        <v>1.6195584461220807E-2</v>
      </c>
      <c r="F14" s="23">
        <v>4.6935867548224E-2</v>
      </c>
      <c r="G14" s="315">
        <v>3.3876227767366693E-2</v>
      </c>
      <c r="H14" s="326">
        <f>IF($H$24&lt;&gt;0,$H$87/($E$24+$H$24)/1000,0)</f>
        <v>0</v>
      </c>
      <c r="I14" s="23">
        <v>4.6340890116036294E-2</v>
      </c>
      <c r="J14" s="315">
        <v>3.3876227767366693E-2</v>
      </c>
      <c r="K14" s="23"/>
      <c r="L14" s="23"/>
      <c r="M14" s="326">
        <f t="shared" ref="M14:M19" si="12">(B14*B$24+E14*E$24+H14*H$24)/M$24</f>
        <v>1.6195584461220804E-2</v>
      </c>
      <c r="N14" s="23">
        <v>1.130844702467344E-2</v>
      </c>
      <c r="O14" s="23" t="e">
        <f>IF($M$22&lt;$N$22,M14,IF($M$20&lt;$N$20,M14,IF(AND($M$20&gt;$N$20,$M$12&lt;$N$12),($N$20+($N$12-$M$12))/$M$20*M14,M14/$M$20*$N$20)))</f>
        <v>#REF!</v>
      </c>
      <c r="P14" s="315" t="e">
        <f t="shared" ref="P14:P19" si="13">M14-O14</f>
        <v>#REF!</v>
      </c>
      <c r="Q14" s="1">
        <f t="shared" ref="Q14:Q19" si="14">M14*$M$24</f>
        <v>3886.9402706929927</v>
      </c>
      <c r="R14" s="24">
        <f>ROUND($D$76,0)</f>
        <v>3886940</v>
      </c>
      <c r="S14" s="24">
        <f>ROUND($D$75,0)</f>
        <v>120858</v>
      </c>
      <c r="T14" s="24">
        <f t="shared" ref="T14:T19" si="15">SUM(R14:S14)</f>
        <v>4007798</v>
      </c>
      <c r="U14" s="19">
        <f>$B$74</f>
        <v>124354.79999999999</v>
      </c>
      <c r="V14" s="25">
        <f t="shared" ref="V14:V19" si="16">T14/U14</f>
        <v>32.228735842926852</v>
      </c>
      <c r="W14" s="159" t="s">
        <v>19</v>
      </c>
      <c r="X14" s="20" t="s">
        <v>20</v>
      </c>
      <c r="Y14" s="125" t="s">
        <v>78</v>
      </c>
      <c r="Z14" s="127" t="s">
        <v>78</v>
      </c>
      <c r="AA14" s="24">
        <f>$F87</f>
        <v>2623684.6827177703</v>
      </c>
      <c r="AB14" s="24">
        <f>$H87/($E$24+$H$24)*E24</f>
        <v>1263255.5879752231</v>
      </c>
      <c r="AC14" s="24">
        <f>$H87/($E$24+$H$24)*H24</f>
        <v>0</v>
      </c>
      <c r="AD14" s="24">
        <f t="shared" ref="AD14:AD19" si="17">SUM(AA14:AC14)</f>
        <v>3886940.2706929934</v>
      </c>
      <c r="AE14" s="19">
        <f>$E87</f>
        <v>81408.239999999991</v>
      </c>
      <c r="AF14" s="19">
        <f>$G87/($E$24+$H$24)*E24</f>
        <v>39196.559999999998</v>
      </c>
      <c r="AG14" s="19">
        <f>$G87/($E$24+$H$24)*H24</f>
        <v>0</v>
      </c>
      <c r="AH14" s="19">
        <f t="shared" ref="AH14:AH19" si="18">SUM(AE14:AG14)</f>
        <v>120604.79999999999</v>
      </c>
      <c r="AI14" s="25">
        <f t="shared" ref="AI14:AI19" si="19">AD14/AH14</f>
        <v>32.228736092535236</v>
      </c>
      <c r="AJ14" s="56">
        <f t="shared" ref="AJ14:AJ19" si="20">ROUND(AE14/$B$24,3)</f>
        <v>0.503</v>
      </c>
      <c r="AK14" s="56">
        <f t="shared" ref="AK14:AK19" si="21">ROUND(AF14/$E$24,3)</f>
        <v>0.503</v>
      </c>
      <c r="AL14" s="56">
        <f t="shared" ref="AL14:AL19" si="22">IF($H$24&lt;&gt;0,ROUND(AG14/$H$24,3),0)</f>
        <v>0</v>
      </c>
      <c r="AM14" s="241" t="e">
        <f t="shared" ref="AM14:AM19" si="23">P14*$M$24</f>
        <v>#REF!</v>
      </c>
      <c r="AN14" s="241" t="e">
        <f t="shared" ref="AN14:AP19" si="24">$AM14/$AH14*AE14</f>
        <v>#REF!</v>
      </c>
      <c r="AO14" s="241" t="e">
        <f t="shared" si="24"/>
        <v>#REF!</v>
      </c>
      <c r="AP14" s="241" t="e">
        <f t="shared" si="24"/>
        <v>#REF!</v>
      </c>
    </row>
    <row r="15" spans="1:42">
      <c r="A15" s="17" t="s">
        <v>21</v>
      </c>
      <c r="B15" s="326">
        <f>IF($B$24&lt;&gt;0,$F$88/$B$24/1000,0)</f>
        <v>5.7536370528000003E-3</v>
      </c>
      <c r="C15" s="23">
        <v>6.8035939956099384E-3</v>
      </c>
      <c r="D15" s="315">
        <v>5.7082690932158606E-3</v>
      </c>
      <c r="E15" s="326">
        <f>$H$88/($E$24+$H$24)/1000</f>
        <v>5.7536370528000012E-3</v>
      </c>
      <c r="F15" s="23">
        <v>1.6530869226761388E-2</v>
      </c>
      <c r="G15" s="315">
        <v>7.6368033280000006E-3</v>
      </c>
      <c r="H15" s="326">
        <f>IF($H$24&lt;&gt;0,$H$88/($E$24+$H$24)/1000,0)</f>
        <v>0</v>
      </c>
      <c r="I15" s="23">
        <v>1.7200245719289946E-2</v>
      </c>
      <c r="J15" s="315">
        <v>7.6368033280000006E-3</v>
      </c>
      <c r="K15" s="23"/>
      <c r="L15" s="23"/>
      <c r="M15" s="326">
        <f t="shared" si="12"/>
        <v>5.7536370528000012E-3</v>
      </c>
      <c r="N15" s="23">
        <v>5.2712801161103051E-3</v>
      </c>
      <c r="O15" s="23" t="e">
        <f t="shared" ref="O15:O19" si="25">IF($M$22&lt;$N$22,M15,IF($M$20&lt;$N$20,M15,IF(AND($M$20&gt;$N$20,$M$12&lt;$N$12),($N$20+($N$12-$M$12))/$M$20*M15,M15/$M$20*$N$20)))</f>
        <v>#REF!</v>
      </c>
      <c r="P15" s="315" t="e">
        <f t="shared" si="13"/>
        <v>#REF!</v>
      </c>
      <c r="Q15" s="1">
        <f t="shared" si="14"/>
        <v>1380.8728926720003</v>
      </c>
      <c r="R15" s="24">
        <f>ROUND($H$74,0)</f>
        <v>1380873</v>
      </c>
      <c r="S15" s="24">
        <v>0</v>
      </c>
      <c r="T15" s="24">
        <f t="shared" si="15"/>
        <v>1380873</v>
      </c>
      <c r="U15" s="19">
        <f>$F$74</f>
        <v>39486.720000000001</v>
      </c>
      <c r="V15" s="25">
        <f t="shared" si="16"/>
        <v>34.970567319848293</v>
      </c>
      <c r="W15" s="159" t="s">
        <v>19</v>
      </c>
      <c r="X15" s="20" t="s">
        <v>22</v>
      </c>
      <c r="Y15" s="125" t="s">
        <v>78</v>
      </c>
      <c r="Z15" s="127" t="s">
        <v>78</v>
      </c>
      <c r="AA15" s="24">
        <f>$F88</f>
        <v>932089.20255360007</v>
      </c>
      <c r="AB15" s="24">
        <f>$H88/($E$24+$H$24)*E24</f>
        <v>448783.69011840009</v>
      </c>
      <c r="AC15" s="24">
        <f>$H88/($E$24+$H$24)*H24</f>
        <v>0</v>
      </c>
      <c r="AD15" s="24">
        <f t="shared" si="17"/>
        <v>1380872.8926720002</v>
      </c>
      <c r="AE15" s="19">
        <f>$E88</f>
        <v>26653.536</v>
      </c>
      <c r="AF15" s="19">
        <f>$G88/($E$24+$H$24)*E24</f>
        <v>12833.184000000001</v>
      </c>
      <c r="AG15" s="19">
        <f>$G88/($E$24+$H$24)*H24</f>
        <v>0</v>
      </c>
      <c r="AH15" s="19">
        <f t="shared" si="18"/>
        <v>39486.720000000001</v>
      </c>
      <c r="AI15" s="25">
        <f t="shared" si="19"/>
        <v>34.970564601769915</v>
      </c>
      <c r="AJ15" s="56">
        <f t="shared" si="20"/>
        <v>0.16500000000000001</v>
      </c>
      <c r="AK15" s="56">
        <f t="shared" si="21"/>
        <v>0.16500000000000001</v>
      </c>
      <c r="AL15" s="56">
        <f t="shared" si="22"/>
        <v>0</v>
      </c>
      <c r="AM15" s="241" t="e">
        <f t="shared" si="23"/>
        <v>#REF!</v>
      </c>
      <c r="AN15" s="241" t="e">
        <f t="shared" si="24"/>
        <v>#REF!</v>
      </c>
      <c r="AO15" s="241" t="e">
        <f t="shared" si="24"/>
        <v>#REF!</v>
      </c>
      <c r="AP15" s="241" t="e">
        <f t="shared" si="24"/>
        <v>#REF!</v>
      </c>
    </row>
    <row r="16" spans="1:42">
      <c r="A16" s="17" t="s">
        <v>23</v>
      </c>
      <c r="B16" s="324">
        <f>IF($B$24&lt;&gt;0,$F$89/$B$24/1000,0)</f>
        <v>9.799071568067249E-3</v>
      </c>
      <c r="C16" s="23">
        <v>8.4807037416256559E-3</v>
      </c>
      <c r="D16" s="315">
        <v>6.3534946725212829E-3</v>
      </c>
      <c r="E16" s="324">
        <f>$H$89/($E$24+$H$24)/1000</f>
        <v>9.7990715680672507E-3</v>
      </c>
      <c r="F16" s="23">
        <v>2.4655898010653633E-2</v>
      </c>
      <c r="G16" s="325">
        <v>1.8636298500182859E-2</v>
      </c>
      <c r="H16" s="324">
        <f>IF($H$24&lt;&gt;0,$H$89/($E$24+$H$24)/1000,0)</f>
        <v>0</v>
      </c>
      <c r="I16" s="23">
        <v>1.9212926862216834E-2</v>
      </c>
      <c r="J16" s="315">
        <v>1.8636298500182859E-2</v>
      </c>
      <c r="K16" s="23"/>
      <c r="L16" s="23"/>
      <c r="M16" s="324">
        <f t="shared" si="12"/>
        <v>9.799071568067249E-3</v>
      </c>
      <c r="N16" s="23">
        <v>8.0958838896952098E-3</v>
      </c>
      <c r="O16" s="23" t="e">
        <f t="shared" si="25"/>
        <v>#REF!</v>
      </c>
      <c r="P16" s="315" t="e">
        <f t="shared" si="13"/>
        <v>#REF!</v>
      </c>
      <c r="Q16" s="1">
        <f t="shared" si="14"/>
        <v>2351.7771763361397</v>
      </c>
      <c r="R16" s="24">
        <f>ROUND($D$84,0)</f>
        <v>2351777</v>
      </c>
      <c r="S16" s="24">
        <f>ROUND($D$83,0)</f>
        <v>73124</v>
      </c>
      <c r="T16" s="24">
        <f t="shared" si="15"/>
        <v>2424901</v>
      </c>
      <c r="U16" s="19">
        <f>$B$82</f>
        <v>124354.79999999999</v>
      </c>
      <c r="V16" s="25">
        <f t="shared" si="16"/>
        <v>19.499858469476049</v>
      </c>
      <c r="W16" s="159" t="s">
        <v>19</v>
      </c>
      <c r="X16" s="20" t="s">
        <v>24</v>
      </c>
      <c r="Y16" s="125" t="s">
        <v>78</v>
      </c>
      <c r="Z16" s="127" t="s">
        <v>78</v>
      </c>
      <c r="AA16" s="24">
        <f>$F89</f>
        <v>1587449.5940268945</v>
      </c>
      <c r="AB16" s="24">
        <f>$H89/($E$24+$H$24)*E24</f>
        <v>764327.5823092456</v>
      </c>
      <c r="AC16" s="24">
        <f>$H89/($E$24+$H$24)*H24</f>
        <v>0</v>
      </c>
      <c r="AD16" s="24">
        <f t="shared" si="17"/>
        <v>2351777.1763361404</v>
      </c>
      <c r="AE16" s="19">
        <f>$E89</f>
        <v>81408.239999999991</v>
      </c>
      <c r="AF16" s="19">
        <f>$G89/($E$24+$H$24)*E24</f>
        <v>39196.559999999998</v>
      </c>
      <c r="AG16" s="19">
        <f>$G89/($E$24+$H$24)*H24</f>
        <v>0</v>
      </c>
      <c r="AH16" s="19">
        <f t="shared" si="18"/>
        <v>120604.79999999999</v>
      </c>
      <c r="AI16" s="25">
        <f t="shared" si="19"/>
        <v>19.499863822469258</v>
      </c>
      <c r="AJ16" s="56">
        <f t="shared" si="20"/>
        <v>0.503</v>
      </c>
      <c r="AK16" s="56">
        <f t="shared" si="21"/>
        <v>0.503</v>
      </c>
      <c r="AL16" s="56">
        <f t="shared" si="22"/>
        <v>0</v>
      </c>
      <c r="AM16" s="241" t="e">
        <f t="shared" si="23"/>
        <v>#REF!</v>
      </c>
      <c r="AN16" s="241" t="e">
        <f t="shared" si="24"/>
        <v>#REF!</v>
      </c>
      <c r="AO16" s="241" t="e">
        <f t="shared" si="24"/>
        <v>#REF!</v>
      </c>
      <c r="AP16" s="241" t="e">
        <f t="shared" si="24"/>
        <v>#REF!</v>
      </c>
    </row>
    <row r="17" spans="1:42">
      <c r="A17" s="26" t="s">
        <v>25</v>
      </c>
      <c r="B17" s="326">
        <f>IF($B$24&lt;&gt;0,$D$134,0)</f>
        <v>1.5406249999999999E-3</v>
      </c>
      <c r="C17" s="23">
        <v>2.8364259956918832E-3</v>
      </c>
      <c r="D17" s="315">
        <v>1.6697332106715731E-3</v>
      </c>
      <c r="E17" s="326">
        <f>$E$134</f>
        <v>1.5406249999999999E-3</v>
      </c>
      <c r="F17" s="23">
        <v>5.496632313134059E-3</v>
      </c>
      <c r="G17" s="315">
        <v>1.6697332106715731E-3</v>
      </c>
      <c r="H17" s="326">
        <f>IF($H$24&lt;&gt;0,$E$134,0)</f>
        <v>0</v>
      </c>
      <c r="I17" s="23">
        <v>5.7129132056770856E-3</v>
      </c>
      <c r="J17" s="315">
        <v>1.6697332106715731E-3</v>
      </c>
      <c r="K17" s="23"/>
      <c r="L17" s="23"/>
      <c r="M17" s="326">
        <f t="shared" si="12"/>
        <v>1.5406249999999999E-3</v>
      </c>
      <c r="N17" s="23">
        <v>2.0913265602322205E-3</v>
      </c>
      <c r="O17" s="23" t="e">
        <f t="shared" si="25"/>
        <v>#REF!</v>
      </c>
      <c r="P17" s="315" t="e">
        <f t="shared" si="13"/>
        <v>#REF!</v>
      </c>
      <c r="Q17" s="1">
        <f t="shared" si="14"/>
        <v>369.75</v>
      </c>
      <c r="R17" s="24">
        <f>ROUND($C$134,0)</f>
        <v>369750</v>
      </c>
      <c r="S17" s="24">
        <v>0</v>
      </c>
      <c r="T17" s="24">
        <f t="shared" si="15"/>
        <v>369750</v>
      </c>
      <c r="U17" s="19">
        <f>$B$25*1000</f>
        <v>240000000</v>
      </c>
      <c r="V17" s="25">
        <f t="shared" si="16"/>
        <v>1.5406249999999999E-3</v>
      </c>
      <c r="W17" s="159" t="s">
        <v>12</v>
      </c>
      <c r="X17" s="20" t="s">
        <v>26</v>
      </c>
      <c r="Y17" s="125" t="s">
        <v>99</v>
      </c>
      <c r="Z17" s="127">
        <v>1</v>
      </c>
      <c r="AA17" s="24">
        <f>$D$134*$B$24*1000</f>
        <v>249581.24999999997</v>
      </c>
      <c r="AB17" s="24">
        <f>$E$134*$E$24*1000</f>
        <v>120168.74999999999</v>
      </c>
      <c r="AC17" s="24">
        <f>$E$134*$H$24*1000</f>
        <v>0</v>
      </c>
      <c r="AD17" s="24">
        <f t="shared" si="17"/>
        <v>369749.99999999994</v>
      </c>
      <c r="AE17" s="19">
        <f t="shared" ref="AE17:AG18" si="26">ROUND(AA17/$V17,0)</f>
        <v>162000000</v>
      </c>
      <c r="AF17" s="19">
        <f t="shared" si="26"/>
        <v>78000000</v>
      </c>
      <c r="AG17" s="19">
        <f t="shared" si="26"/>
        <v>0</v>
      </c>
      <c r="AH17" s="19">
        <f t="shared" si="18"/>
        <v>240000000</v>
      </c>
      <c r="AI17" s="25">
        <f t="shared" si="19"/>
        <v>1.5406249999999997E-3</v>
      </c>
      <c r="AJ17" s="56">
        <f t="shared" si="20"/>
        <v>1000</v>
      </c>
      <c r="AK17" s="56">
        <f t="shared" si="21"/>
        <v>1000</v>
      </c>
      <c r="AL17" s="56">
        <f t="shared" si="22"/>
        <v>0</v>
      </c>
      <c r="AM17" s="241" t="e">
        <f t="shared" si="23"/>
        <v>#REF!</v>
      </c>
      <c r="AN17" s="241" t="e">
        <f t="shared" si="24"/>
        <v>#REF!</v>
      </c>
      <c r="AO17" s="241" t="e">
        <f t="shared" si="24"/>
        <v>#REF!</v>
      </c>
      <c r="AP17" s="241" t="e">
        <f t="shared" si="24"/>
        <v>#REF!</v>
      </c>
    </row>
    <row r="18" spans="1:42">
      <c r="A18" s="26" t="s">
        <v>27</v>
      </c>
      <c r="B18" s="326">
        <f>IF($B$24&lt;&gt;0,$D$135,0)</f>
        <v>1.1875E-3</v>
      </c>
      <c r="C18" s="23">
        <v>1.8905309773416263E-3</v>
      </c>
      <c r="D18" s="315">
        <v>1.6559337626494942E-3</v>
      </c>
      <c r="E18" s="326">
        <f>$E$135</f>
        <v>1.1875E-3</v>
      </c>
      <c r="F18" s="23">
        <v>4.6668647591818048E-3</v>
      </c>
      <c r="G18" s="315">
        <v>1.6559337626494942E-3</v>
      </c>
      <c r="H18" s="326">
        <f>IF($H$24&lt;&gt;0,$E$135,0)</f>
        <v>0</v>
      </c>
      <c r="I18" s="23">
        <v>5.7129132056770856E-3</v>
      </c>
      <c r="J18" s="315">
        <v>1.6559337626494942E-3</v>
      </c>
      <c r="K18" s="23"/>
      <c r="L18" s="23"/>
      <c r="M18" s="326">
        <f t="shared" si="12"/>
        <v>1.1875E-3</v>
      </c>
      <c r="N18" s="23">
        <v>3.1981538461538462E-3</v>
      </c>
      <c r="O18" s="23" t="e">
        <f t="shared" si="25"/>
        <v>#REF!</v>
      </c>
      <c r="P18" s="315" t="e">
        <f t="shared" si="13"/>
        <v>#REF!</v>
      </c>
      <c r="Q18" s="1">
        <f t="shared" si="14"/>
        <v>285</v>
      </c>
      <c r="R18" s="24">
        <f>ROUND($C$135,0)</f>
        <v>285000</v>
      </c>
      <c r="S18" s="24">
        <v>0</v>
      </c>
      <c r="T18" s="24">
        <f t="shared" si="15"/>
        <v>285000</v>
      </c>
      <c r="U18" s="19">
        <f>$B$25*1000</f>
        <v>240000000</v>
      </c>
      <c r="V18" s="25">
        <f t="shared" si="16"/>
        <v>1.1875E-3</v>
      </c>
      <c r="W18" s="159" t="s">
        <v>12</v>
      </c>
      <c r="X18" s="20" t="s">
        <v>28</v>
      </c>
      <c r="Y18" s="125" t="s">
        <v>78</v>
      </c>
      <c r="Z18" s="127" t="s">
        <v>78</v>
      </c>
      <c r="AA18" s="24">
        <f>$D$135*$B$24*1000</f>
        <v>192375</v>
      </c>
      <c r="AB18" s="24">
        <f>$E$135*$E$24*1000</f>
        <v>92625</v>
      </c>
      <c r="AC18" s="24">
        <f>$E$135*$H$24*1000</f>
        <v>0</v>
      </c>
      <c r="AD18" s="24">
        <f t="shared" si="17"/>
        <v>285000</v>
      </c>
      <c r="AE18" s="19">
        <f t="shared" si="26"/>
        <v>162000000</v>
      </c>
      <c r="AF18" s="19">
        <f t="shared" si="26"/>
        <v>78000000</v>
      </c>
      <c r="AG18" s="19">
        <f t="shared" si="26"/>
        <v>0</v>
      </c>
      <c r="AH18" s="19">
        <f t="shared" si="18"/>
        <v>240000000</v>
      </c>
      <c r="AI18" s="25">
        <f t="shared" si="19"/>
        <v>1.1875E-3</v>
      </c>
      <c r="AJ18" s="56">
        <f t="shared" si="20"/>
        <v>1000</v>
      </c>
      <c r="AK18" s="56">
        <f t="shared" si="21"/>
        <v>1000</v>
      </c>
      <c r="AL18" s="56">
        <f t="shared" si="22"/>
        <v>0</v>
      </c>
      <c r="AM18" s="241" t="e">
        <f t="shared" si="23"/>
        <v>#REF!</v>
      </c>
      <c r="AN18" s="241" t="e">
        <f t="shared" si="24"/>
        <v>#REF!</v>
      </c>
      <c r="AO18" s="241" t="e">
        <f t="shared" si="24"/>
        <v>#REF!</v>
      </c>
      <c r="AP18" s="241" t="e">
        <f t="shared" si="24"/>
        <v>#REF!</v>
      </c>
    </row>
    <row r="19" spans="1:42" ht="15">
      <c r="A19" s="26" t="s">
        <v>29</v>
      </c>
      <c r="B19" s="327">
        <f>IF($B$24&lt;&gt;0,$D$136,0)</f>
        <v>5.2685185185185179E-3</v>
      </c>
      <c r="C19" s="31">
        <v>2.1212866818408217E-2</v>
      </c>
      <c r="D19" s="317">
        <v>6.473611414259603E-3</v>
      </c>
      <c r="E19" s="327">
        <f>$E$136</f>
        <v>5.0596153846153846E-2</v>
      </c>
      <c r="F19" s="31">
        <v>0.10417686188941641</v>
      </c>
      <c r="G19" s="317">
        <v>5.9339199081609381E-2</v>
      </c>
      <c r="H19" s="327">
        <f>IF($H$24&lt;&gt;0,$E$136,0)</f>
        <v>0</v>
      </c>
      <c r="I19" s="31">
        <v>0.10178478302218978</v>
      </c>
      <c r="J19" s="317">
        <v>5.9339199081609381E-2</v>
      </c>
      <c r="K19" s="31"/>
      <c r="L19" s="31"/>
      <c r="M19" s="327">
        <f t="shared" si="12"/>
        <v>0.02</v>
      </c>
      <c r="N19" s="31">
        <v>8.7052133526850511E-3</v>
      </c>
      <c r="O19" s="31" t="e">
        <f t="shared" si="25"/>
        <v>#REF!</v>
      </c>
      <c r="P19" s="317" t="e">
        <f t="shared" si="13"/>
        <v>#REF!</v>
      </c>
      <c r="Q19" s="372">
        <f t="shared" si="14"/>
        <v>4800</v>
      </c>
      <c r="R19" s="28">
        <f>ROUND($C$136,0)</f>
        <v>4800000</v>
      </c>
      <c r="S19" s="28">
        <v>0</v>
      </c>
      <c r="T19" s="28">
        <f t="shared" si="15"/>
        <v>4800000</v>
      </c>
      <c r="U19" s="19">
        <f>$B$25*1000</f>
        <v>240000000</v>
      </c>
      <c r="V19" s="25">
        <f t="shared" si="16"/>
        <v>0.02</v>
      </c>
      <c r="W19" s="159" t="s">
        <v>12</v>
      </c>
      <c r="X19" s="20" t="s">
        <v>30</v>
      </c>
      <c r="Y19" s="125" t="s">
        <v>78</v>
      </c>
      <c r="Z19" s="127" t="s">
        <v>78</v>
      </c>
      <c r="AA19" s="28">
        <f>$D$136*$B$24*1000</f>
        <v>853499.99999999988</v>
      </c>
      <c r="AB19" s="28">
        <f>$E$136*$E$24*1000</f>
        <v>3946500</v>
      </c>
      <c r="AC19" s="28">
        <f>$E$136*$H$24*1000</f>
        <v>0</v>
      </c>
      <c r="AD19" s="28">
        <f t="shared" si="17"/>
        <v>4800000</v>
      </c>
      <c r="AE19" s="19">
        <f>AA19/$V19</f>
        <v>42674999.999999993</v>
      </c>
      <c r="AF19" s="19">
        <f>AB19/$V19</f>
        <v>197325000</v>
      </c>
      <c r="AG19" s="19">
        <f>AC19/$V19</f>
        <v>0</v>
      </c>
      <c r="AH19" s="19">
        <f t="shared" si="18"/>
        <v>240000000</v>
      </c>
      <c r="AI19" s="25">
        <f t="shared" si="19"/>
        <v>0.02</v>
      </c>
      <c r="AJ19" s="56">
        <f t="shared" si="20"/>
        <v>263.42599999999999</v>
      </c>
      <c r="AK19" s="56">
        <f t="shared" si="21"/>
        <v>2529.808</v>
      </c>
      <c r="AL19" s="56">
        <f t="shared" si="22"/>
        <v>0</v>
      </c>
      <c r="AM19" s="384" t="e">
        <f t="shared" si="23"/>
        <v>#REF!</v>
      </c>
      <c r="AN19" s="384" t="e">
        <f t="shared" si="24"/>
        <v>#REF!</v>
      </c>
      <c r="AO19" s="384" t="e">
        <f t="shared" si="24"/>
        <v>#REF!</v>
      </c>
      <c r="AP19" s="384" t="e">
        <f t="shared" si="24"/>
        <v>#REF!</v>
      </c>
    </row>
    <row r="20" spans="1:42">
      <c r="A20" s="192" t="s">
        <v>170</v>
      </c>
      <c r="B20" s="326">
        <f t="shared" ref="B20:D20" si="27">SUM(B14:B19)</f>
        <v>3.9744936600606573E-2</v>
      </c>
      <c r="C20" s="23">
        <f t="shared" si="27"/>
        <v>5.2630943240323705E-2</v>
      </c>
      <c r="D20" s="315">
        <f t="shared" si="27"/>
        <v>3.0527843819436469E-2</v>
      </c>
      <c r="E20" s="326">
        <f>SUM(E14:E19)</f>
        <v>8.5072571928241913E-2</v>
      </c>
      <c r="F20" s="23">
        <f t="shared" ref="F20" si="28">SUM(F14:F19)</f>
        <v>0.20246299374737131</v>
      </c>
      <c r="G20" s="315">
        <f>SUM(G14:G19)</f>
        <v>0.12281419565048</v>
      </c>
      <c r="H20" s="326">
        <f>SUM(H14:H19)</f>
        <v>0</v>
      </c>
      <c r="I20" s="23">
        <f t="shared" ref="I20" si="29">SUM(I14:I19)</f>
        <v>0.19596467213108704</v>
      </c>
      <c r="J20" s="315">
        <f>SUM(J14:J19)</f>
        <v>0.12281419565048</v>
      </c>
      <c r="K20" s="23"/>
      <c r="L20" s="23"/>
      <c r="M20" s="326">
        <f>SUM(M14:M19)</f>
        <v>5.4476418082088057E-2</v>
      </c>
      <c r="N20" s="23">
        <f t="shared" ref="N20:P20" si="30">SUM(N14:N19)</f>
        <v>3.8670304789550067E-2</v>
      </c>
      <c r="O20" s="23" t="e">
        <f t="shared" si="30"/>
        <v>#REF!</v>
      </c>
      <c r="P20" s="315" t="e">
        <f t="shared" si="30"/>
        <v>#REF!</v>
      </c>
      <c r="Q20" s="1">
        <f>SUM(Q14:Q19)</f>
        <v>13074.340339701132</v>
      </c>
      <c r="R20" s="32">
        <f>SUM(R14:R19)</f>
        <v>13074340</v>
      </c>
      <c r="S20" s="32">
        <f>SUM(S14:S19)</f>
        <v>193982</v>
      </c>
      <c r="T20" s="32">
        <f>SUM(T14:T19)</f>
        <v>13268322</v>
      </c>
      <c r="U20" s="19"/>
      <c r="V20" s="19"/>
      <c r="W20" s="265"/>
      <c r="X20" s="21"/>
      <c r="Y20" s="125"/>
      <c r="Z20" s="127"/>
      <c r="AA20" s="32">
        <f>SUM(AA14:AA19)</f>
        <v>6438679.7292982647</v>
      </c>
      <c r="AB20" s="32">
        <f>SUM(AB14:AB19)</f>
        <v>6635660.6104028691</v>
      </c>
      <c r="AC20" s="32">
        <f>SUM(AC14:AC19)</f>
        <v>0</v>
      </c>
      <c r="AD20" s="32">
        <f>SUM(AD14:AD19)</f>
        <v>13074340.339701135</v>
      </c>
      <c r="AE20" s="19"/>
      <c r="AF20" s="19"/>
      <c r="AG20" s="19"/>
      <c r="AH20" s="19"/>
      <c r="AI20" s="19"/>
      <c r="AJ20" s="19"/>
      <c r="AK20" s="19"/>
      <c r="AL20" s="19"/>
      <c r="AM20" s="385" t="e">
        <f>SUM(AM14:AM19)</f>
        <v>#REF!</v>
      </c>
      <c r="AN20" s="385" t="e">
        <f t="shared" ref="AN20:AP20" si="31">SUM(AN14:AN19)</f>
        <v>#REF!</v>
      </c>
      <c r="AO20" s="385" t="e">
        <f t="shared" si="31"/>
        <v>#REF!</v>
      </c>
      <c r="AP20" s="385" t="e">
        <f t="shared" si="31"/>
        <v>#REF!</v>
      </c>
    </row>
    <row r="21" spans="1:42" ht="15">
      <c r="A21" s="26"/>
      <c r="B21" s="326"/>
      <c r="C21" s="23"/>
      <c r="D21" s="315"/>
      <c r="E21" s="326"/>
      <c r="F21" s="23"/>
      <c r="G21" s="315"/>
      <c r="H21" s="326"/>
      <c r="I21" s="23"/>
      <c r="J21" s="315"/>
      <c r="K21" s="23"/>
      <c r="L21" s="23"/>
      <c r="M21" s="326"/>
      <c r="N21" s="23"/>
      <c r="O21" s="23"/>
      <c r="P21" s="315"/>
      <c r="Q21" s="1">
        <f>Q12+Q20</f>
        <v>25083.818583701133</v>
      </c>
      <c r="R21" s="247">
        <f>R12+R20</f>
        <v>25083818</v>
      </c>
      <c r="S21" s="247">
        <f>S12+S20</f>
        <v>193982</v>
      </c>
      <c r="T21" s="247">
        <f>T12+T20</f>
        <v>25277800</v>
      </c>
      <c r="U21" s="19"/>
      <c r="V21" s="19"/>
      <c r="W21" s="265"/>
      <c r="X21" s="2"/>
      <c r="Y21" s="125"/>
      <c r="Z21" s="127"/>
      <c r="AA21" s="33">
        <f>AA12+AA20</f>
        <v>12330784.634798266</v>
      </c>
      <c r="AB21" s="33">
        <f>AB12+AB20</f>
        <v>12753034.564902868</v>
      </c>
      <c r="AC21" s="33">
        <f>AC12+AC20</f>
        <v>0</v>
      </c>
      <c r="AD21" s="33">
        <f>AD12+AD20</f>
        <v>25083819.199701134</v>
      </c>
      <c r="AE21" s="19"/>
      <c r="AF21" s="19"/>
      <c r="AG21" s="19"/>
      <c r="AH21" s="19"/>
      <c r="AI21" s="19"/>
      <c r="AJ21" s="19"/>
      <c r="AK21" s="19"/>
      <c r="AL21" s="19"/>
      <c r="AM21" s="386" t="e">
        <f>AM12+AM20</f>
        <v>#REF!</v>
      </c>
      <c r="AN21" s="386" t="e">
        <f t="shared" ref="AN21:AP21" si="32">AN12+AN20</f>
        <v>#REF!</v>
      </c>
      <c r="AO21" s="386" t="e">
        <f t="shared" si="32"/>
        <v>#REF!</v>
      </c>
      <c r="AP21" s="386" t="e">
        <f t="shared" si="32"/>
        <v>#REF!</v>
      </c>
    </row>
    <row r="22" spans="1:42">
      <c r="A22" s="192" t="s">
        <v>171</v>
      </c>
      <c r="B22" s="34" t="e">
        <f t="shared" ref="B22:D22" si="33">B12+B20</f>
        <v>#REF!</v>
      </c>
      <c r="C22" s="332">
        <f t="shared" si="33"/>
        <v>0.16319470734125502</v>
      </c>
      <c r="D22" s="333">
        <f t="shared" si="33"/>
        <v>0.11424608116299201</v>
      </c>
      <c r="E22" s="34" t="e">
        <f>E12+E20</f>
        <v>#REF!</v>
      </c>
      <c r="F22" s="332">
        <f t="shared" ref="F22" si="34">F12+F20</f>
        <v>0.45809389170667603</v>
      </c>
      <c r="G22" s="334">
        <f>G12+G20</f>
        <v>0.28748254016760622</v>
      </c>
      <c r="H22" s="34">
        <f>H12+H20</f>
        <v>0</v>
      </c>
      <c r="I22" s="332">
        <f t="shared" ref="I22" si="35">I12+I20</f>
        <v>0.82900767399108322</v>
      </c>
      <c r="J22" s="334">
        <f>J12+J20</f>
        <v>0.54575023231046338</v>
      </c>
      <c r="K22" s="18"/>
      <c r="L22" s="18"/>
      <c r="M22" s="34" t="e">
        <f>M12+M20</f>
        <v>#REF!</v>
      </c>
      <c r="N22" s="332" t="e">
        <f t="shared" ref="N22:P22" si="36">N12+N20</f>
        <v>#REF!</v>
      </c>
      <c r="O22" s="332" t="e">
        <f t="shared" si="36"/>
        <v>#REF!</v>
      </c>
      <c r="P22" s="334" t="e">
        <f t="shared" si="36"/>
        <v>#REF!</v>
      </c>
      <c r="Q22" s="1" t="e">
        <f>Q6+Q21</f>
        <v>#REF!</v>
      </c>
      <c r="R22" s="37"/>
      <c r="S22" s="37"/>
      <c r="T22" s="37"/>
      <c r="U22" s="19"/>
      <c r="V22" s="19"/>
      <c r="W22" s="265"/>
      <c r="X22" s="36"/>
      <c r="Y22" s="1026" t="s">
        <v>31</v>
      </c>
      <c r="Z22" s="1026"/>
      <c r="AA22" s="38">
        <f>ROUND(AA21/AA24,5)</f>
        <v>7.6119999999999993E-2</v>
      </c>
      <c r="AB22" s="38">
        <f>ROUND(AB21/AB24,5)</f>
        <v>0.16350000000000001</v>
      </c>
      <c r="AC22" s="38">
        <f>IF(AC24&lt;&gt;0,ROUND(AC21/AC24,5),0)</f>
        <v>0</v>
      </c>
      <c r="AD22" s="38">
        <f>ROUND(AD21/AD24,5)</f>
        <v>0.10452</v>
      </c>
      <c r="AE22" s="19"/>
      <c r="AF22" s="19"/>
      <c r="AG22" s="19"/>
      <c r="AH22" s="19"/>
      <c r="AI22" s="19"/>
      <c r="AJ22" s="19"/>
      <c r="AK22" s="19"/>
      <c r="AL22" s="19"/>
    </row>
    <row r="23" spans="1:42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17"/>
      <c r="L23" s="17"/>
      <c r="M23" s="48"/>
      <c r="N23" s="26"/>
      <c r="O23" s="26"/>
      <c r="P23" s="318"/>
      <c r="R23" s="37"/>
      <c r="S23" s="37"/>
      <c r="T23" s="37"/>
      <c r="U23" s="19"/>
      <c r="V23" s="19"/>
      <c r="W23" s="265"/>
      <c r="X23" s="36"/>
      <c r="Y23" s="1026" t="s">
        <v>32</v>
      </c>
      <c r="Z23" s="1026"/>
      <c r="AA23" s="38" t="e">
        <f>ROUND(AA22+B6,5)</f>
        <v>#REF!</v>
      </c>
      <c r="AB23" s="38" t="e">
        <f>ROUND(AB22+E6,5)</f>
        <v>#REF!</v>
      </c>
      <c r="AC23" s="38">
        <f>IF(AC24&lt;&gt;0,ROUND(AC22+H6,5),0)</f>
        <v>0</v>
      </c>
      <c r="AD23" s="38" t="e">
        <f>ROUND(AD22+(B6*B24+E6*E24+H6*H24)/B25,5)</f>
        <v>#REF!</v>
      </c>
      <c r="AE23" s="19"/>
      <c r="AF23" s="19"/>
      <c r="AG23" s="19"/>
      <c r="AH23" s="19"/>
      <c r="AI23" s="19"/>
      <c r="AJ23" s="19"/>
      <c r="AK23" s="19"/>
      <c r="AL23" s="19"/>
    </row>
    <row r="24" spans="1:42">
      <c r="A24" s="192" t="s">
        <v>264</v>
      </c>
      <c r="B24" s="331">
        <f>$B$30+$B$31</f>
        <v>162000</v>
      </c>
      <c r="C24" s="26">
        <v>46860.38</v>
      </c>
      <c r="D24" s="77">
        <v>158900</v>
      </c>
      <c r="E24" s="331">
        <f>$B$32</f>
        <v>78000</v>
      </c>
      <c r="F24" s="26">
        <v>21908.955000000002</v>
      </c>
      <c r="G24" s="77">
        <v>58500</v>
      </c>
      <c r="H24" s="331">
        <f>$B$33</f>
        <v>0</v>
      </c>
      <c r="I24" s="26">
        <v>8127.9740000000002</v>
      </c>
      <c r="J24" s="77">
        <v>0</v>
      </c>
      <c r="K24" s="26"/>
      <c r="L24" s="26"/>
      <c r="M24" s="331">
        <f>B25</f>
        <v>240000</v>
      </c>
      <c r="N24" s="26"/>
      <c r="O24" s="26"/>
      <c r="P24" s="77"/>
      <c r="R24" s="41"/>
      <c r="S24" s="41"/>
      <c r="T24" s="41"/>
      <c r="U24" s="19"/>
      <c r="V24" s="19"/>
      <c r="W24" s="265"/>
      <c r="X24" s="5"/>
      <c r="Y24" s="1026" t="s">
        <v>33</v>
      </c>
      <c r="Z24" s="1026"/>
      <c r="AA24" s="41">
        <f>ROUND(B24*1000,0)</f>
        <v>162000000</v>
      </c>
      <c r="AB24" s="41">
        <f>ROUND(E24*1000,0)</f>
        <v>78000000</v>
      </c>
      <c r="AC24" s="41">
        <f>ROUND(H24*1000,0)</f>
        <v>0</v>
      </c>
      <c r="AD24" s="41">
        <f>SUM(AA24:AC24)</f>
        <v>240000000</v>
      </c>
      <c r="AE24" s="19"/>
      <c r="AF24" s="19"/>
      <c r="AG24" s="19"/>
      <c r="AH24" s="19"/>
      <c r="AI24" s="19"/>
      <c r="AJ24" s="19"/>
      <c r="AK24" s="19"/>
      <c r="AL24" s="19"/>
    </row>
    <row r="25" spans="1:42">
      <c r="A25" s="192" t="s">
        <v>265</v>
      </c>
      <c r="B25" s="337">
        <f>$B$24+$E$24+$H$24</f>
        <v>240000</v>
      </c>
      <c r="C25" s="113">
        <f>$C$24+$F$24+$I$24</f>
        <v>76897.308999999994</v>
      </c>
      <c r="D25" s="338">
        <f>D24+G24+J24</f>
        <v>217400</v>
      </c>
      <c r="E25" s="99"/>
      <c r="F25" s="72"/>
      <c r="G25" s="75"/>
      <c r="H25" s="99"/>
      <c r="I25" s="72"/>
      <c r="J25" s="75"/>
      <c r="M25" s="99"/>
      <c r="N25" s="72"/>
      <c r="O25" s="72"/>
      <c r="P25" s="75"/>
    </row>
    <row r="27" spans="1:42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M27" s="17"/>
      <c r="N27" s="199" t="s">
        <v>107</v>
      </c>
      <c r="O27" s="199" t="s">
        <v>310</v>
      </c>
      <c r="P27" s="199" t="s">
        <v>311</v>
      </c>
    </row>
    <row r="28" spans="1:42">
      <c r="A28" s="44"/>
      <c r="H28" s="45"/>
      <c r="M28" s="371" t="s">
        <v>318</v>
      </c>
      <c r="N28" s="1027" t="s">
        <v>312</v>
      </c>
      <c r="O28" s="1027"/>
      <c r="P28" s="1027"/>
    </row>
    <row r="29" spans="1:42">
      <c r="A29" s="190" t="s">
        <v>176</v>
      </c>
      <c r="B29" s="46" t="s">
        <v>168</v>
      </c>
      <c r="C29" s="46" t="s">
        <v>36</v>
      </c>
      <c r="D29" s="47"/>
      <c r="F29" s="47"/>
      <c r="H29" s="45"/>
      <c r="M29" s="17" t="s">
        <v>315</v>
      </c>
      <c r="N29" s="366" t="e">
        <f>SUM(O29:P29)</f>
        <v>#REF!</v>
      </c>
      <c r="O29" s="366" t="e">
        <f>O12*$M$24</f>
        <v>#REF!</v>
      </c>
      <c r="P29" s="366" t="e">
        <f>O20*$M$24</f>
        <v>#REF!</v>
      </c>
    </row>
    <row r="30" spans="1:42" ht="15">
      <c r="A30" s="48" t="s">
        <v>188</v>
      </c>
      <c r="B30" s="342">
        <f>'17 Std'!B6*12</f>
        <v>162000</v>
      </c>
      <c r="C30" s="183">
        <f>+B30/$B$34</f>
        <v>0.67500000000000004</v>
      </c>
      <c r="D30" s="50"/>
      <c r="F30" s="51"/>
      <c r="H30" s="45"/>
      <c r="M30" s="17" t="s">
        <v>316</v>
      </c>
      <c r="N30" s="367" t="e">
        <f>SUM(O30:P30)</f>
        <v>#REF!</v>
      </c>
      <c r="O30" s="367" t="e">
        <f>P12*M24</f>
        <v>#REF!</v>
      </c>
      <c r="P30" s="367" t="e">
        <f>P20*M24</f>
        <v>#REF!</v>
      </c>
      <c r="AL30" s="39"/>
    </row>
    <row r="31" spans="1:42" ht="16.5">
      <c r="A31" s="48" t="s">
        <v>187</v>
      </c>
      <c r="B31" s="342">
        <v>0</v>
      </c>
      <c r="C31" s="183">
        <f>+B31/$B$34</f>
        <v>0</v>
      </c>
      <c r="D31" s="50"/>
      <c r="F31" s="51"/>
      <c r="H31" s="45"/>
      <c r="M31" s="17" t="s">
        <v>314</v>
      </c>
      <c r="N31" s="213">
        <f>SUM(O31:P31)</f>
        <v>0</v>
      </c>
      <c r="O31" s="213">
        <f>IF(C95&lt;&gt;0,0,(((((D94/1.06564)-0.33)*0.974)-D95)*(480000-C94))/1000)</f>
        <v>0</v>
      </c>
      <c r="P31" s="213">
        <v>0</v>
      </c>
      <c r="AL31" s="39"/>
    </row>
    <row r="32" spans="1:42" ht="15">
      <c r="A32" s="48" t="s">
        <v>280</v>
      </c>
      <c r="B32" s="342">
        <f>'17 Std'!B5*12</f>
        <v>78000</v>
      </c>
      <c r="C32" s="183">
        <f>+B32/$B$34</f>
        <v>0.32500000000000001</v>
      </c>
      <c r="D32" s="50"/>
      <c r="F32" s="51"/>
      <c r="H32" s="45"/>
      <c r="M32" s="192" t="s">
        <v>3</v>
      </c>
      <c r="N32" s="368" t="e">
        <f>SUM(N29:N31)</f>
        <v>#REF!</v>
      </c>
      <c r="O32" s="368" t="e">
        <f>SUM(O29:O31)</f>
        <v>#REF!</v>
      </c>
      <c r="P32" s="368" t="e">
        <f>SUM(P29:P31)</f>
        <v>#REF!</v>
      </c>
      <c r="AL32" s="39"/>
    </row>
    <row r="33" spans="1:42" ht="16.5">
      <c r="A33" s="48" t="s">
        <v>281</v>
      </c>
      <c r="B33" s="342">
        <v>0</v>
      </c>
      <c r="C33" s="184">
        <f>+B33/$B$34</f>
        <v>0</v>
      </c>
      <c r="D33" s="50"/>
      <c r="F33" s="51"/>
      <c r="H33" s="45"/>
      <c r="M33" s="192" t="s">
        <v>317</v>
      </c>
      <c r="N33" s="369">
        <f>SUM(O33:P33)</f>
        <v>-4800</v>
      </c>
      <c r="O33" s="369">
        <v>0</v>
      </c>
      <c r="P33" s="369">
        <f>-M19*M24</f>
        <v>-4800</v>
      </c>
      <c r="AL33" s="39"/>
    </row>
    <row r="34" spans="1:42" ht="15">
      <c r="A34" s="141" t="s">
        <v>107</v>
      </c>
      <c r="B34" s="49">
        <f>SUM(B30:B33)</f>
        <v>240000</v>
      </c>
      <c r="C34" s="183">
        <f>SUM(C30:C33)</f>
        <v>1</v>
      </c>
      <c r="D34" s="50"/>
      <c r="F34" s="51"/>
      <c r="H34" s="45"/>
      <c r="M34" s="192" t="s">
        <v>313</v>
      </c>
      <c r="N34" s="370" t="e">
        <f>SUM(N32:N33)</f>
        <v>#REF!</v>
      </c>
      <c r="O34" s="370" t="e">
        <f>SUM(O32:O33)</f>
        <v>#REF!</v>
      </c>
      <c r="P34" s="370" t="e">
        <f>SUM(P32:P33)</f>
        <v>#REF!</v>
      </c>
      <c r="AL34" s="39"/>
    </row>
    <row r="35" spans="1:42">
      <c r="A35" s="141"/>
      <c r="B35" s="49"/>
      <c r="C35" s="183"/>
      <c r="D35" s="50"/>
      <c r="F35" s="51"/>
      <c r="H35" s="45"/>
      <c r="AL35" s="39"/>
    </row>
    <row r="36" spans="1:42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M36" s="371" t="s">
        <v>319</v>
      </c>
      <c r="AL36" s="39"/>
    </row>
    <row r="37" spans="1:42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M37" s="17" t="s">
        <v>315</v>
      </c>
      <c r="N37" s="366" t="e">
        <f>SUM(O37:P37)</f>
        <v>#REF!</v>
      </c>
      <c r="O37" s="366" t="e">
        <f>O29/12</f>
        <v>#REF!</v>
      </c>
      <c r="P37" s="366" t="e">
        <f>P29/12</f>
        <v>#REF!</v>
      </c>
      <c r="W37" s="13"/>
      <c r="X37" s="46"/>
      <c r="AJ37" s="11"/>
    </row>
    <row r="38" spans="1:42" ht="15">
      <c r="A38" s="176" t="s">
        <v>173</v>
      </c>
      <c r="B38" s="347" t="e">
        <f>#REF!-3.57</f>
        <v>#REF!</v>
      </c>
      <c r="C38" s="343">
        <v>0.5</v>
      </c>
      <c r="D38" s="134"/>
      <c r="E38" s="343">
        <v>0.5</v>
      </c>
      <c r="F38" s="134"/>
      <c r="G38" s="343">
        <v>0</v>
      </c>
      <c r="H38" s="186"/>
      <c r="M38" s="17" t="s">
        <v>316</v>
      </c>
      <c r="N38" s="367" t="e">
        <f>SUM(O38:P38)</f>
        <v>#REF!</v>
      </c>
      <c r="O38" s="367" t="e">
        <f t="shared" ref="O38:P39" si="37">O30/12</f>
        <v>#REF!</v>
      </c>
      <c r="P38" s="367" t="e">
        <f t="shared" si="37"/>
        <v>#REF!</v>
      </c>
      <c r="W38" s="13"/>
      <c r="X38" s="250"/>
      <c r="AJ38" s="251"/>
      <c r="AK38" s="251"/>
    </row>
    <row r="39" spans="1:42" ht="16.5">
      <c r="A39" s="176" t="s">
        <v>178</v>
      </c>
      <c r="B39" s="355" t="e">
        <f>#REF!-3.09</f>
        <v>#REF!</v>
      </c>
      <c r="C39" s="343">
        <v>0.5</v>
      </c>
      <c r="D39" s="134"/>
      <c r="E39" s="343">
        <v>0.5</v>
      </c>
      <c r="F39" s="134"/>
      <c r="G39" s="343">
        <v>0</v>
      </c>
      <c r="H39" s="186"/>
      <c r="M39" s="17" t="s">
        <v>314</v>
      </c>
      <c r="N39" s="213">
        <f>SUM(O39:P39)</f>
        <v>0</v>
      </c>
      <c r="O39" s="213">
        <f t="shared" si="37"/>
        <v>0</v>
      </c>
      <c r="P39" s="213">
        <f t="shared" si="37"/>
        <v>0</v>
      </c>
      <c r="W39" s="13"/>
      <c r="X39" s="250"/>
      <c r="AJ39" s="252"/>
      <c r="AK39" s="252"/>
    </row>
    <row r="40" spans="1:42">
      <c r="A40" s="141" t="s">
        <v>174</v>
      </c>
      <c r="B40" s="157" t="e">
        <f>+B38*C38+B39*C39</f>
        <v>#REF!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M40" s="192" t="s">
        <v>3</v>
      </c>
      <c r="N40" s="368" t="e">
        <f>SUM(N37:N39)</f>
        <v>#REF!</v>
      </c>
      <c r="O40" s="368" t="e">
        <f>SUM(O37:O39)</f>
        <v>#REF!</v>
      </c>
      <c r="P40" s="368" t="e">
        <f>SUM(P37:P39)</f>
        <v>#REF!</v>
      </c>
      <c r="W40" s="13"/>
      <c r="X40" s="250"/>
      <c r="AJ40" s="251"/>
      <c r="AK40" s="251"/>
    </row>
    <row r="41" spans="1:42" ht="15">
      <c r="A41" s="43"/>
      <c r="B41" s="50"/>
      <c r="C41" s="60"/>
      <c r="D41" s="59"/>
      <c r="E41" s="60"/>
      <c r="F41" s="59"/>
      <c r="G41" s="60"/>
      <c r="H41" s="187"/>
      <c r="M41" s="192" t="s">
        <v>317</v>
      </c>
      <c r="N41" s="369">
        <f>SUM(O41:P41)</f>
        <v>-400</v>
      </c>
      <c r="O41" s="369">
        <f>O33/12</f>
        <v>0</v>
      </c>
      <c r="P41" s="369">
        <f>P33/12</f>
        <v>-400</v>
      </c>
      <c r="U41" s="39"/>
      <c r="V41" s="39"/>
      <c r="W41" s="13"/>
      <c r="X41" s="62"/>
    </row>
    <row r="42" spans="1:42" ht="18" customHeight="1">
      <c r="A42" s="198" t="s">
        <v>39</v>
      </c>
      <c r="B42" s="61" t="s">
        <v>40</v>
      </c>
      <c r="C42" s="185" t="s">
        <v>299</v>
      </c>
      <c r="D42" s="61" t="s">
        <v>179</v>
      </c>
      <c r="E42" s="185" t="s">
        <v>299</v>
      </c>
      <c r="F42" s="61" t="s">
        <v>179</v>
      </c>
      <c r="G42" s="185" t="s">
        <v>299</v>
      </c>
      <c r="H42" s="188" t="s">
        <v>179</v>
      </c>
      <c r="J42" s="62"/>
      <c r="K42" s="62"/>
      <c r="L42" s="62"/>
      <c r="M42" s="192" t="s">
        <v>313</v>
      </c>
      <c r="N42" s="370" t="e">
        <f>SUM(N40:N41)</f>
        <v>#REF!</v>
      </c>
      <c r="O42" s="370" t="e">
        <f>SUM(O40:O41)</f>
        <v>#REF!</v>
      </c>
      <c r="P42" s="370" t="e">
        <f>SUM(P40:P41)</f>
        <v>#REF!</v>
      </c>
      <c r="W42" s="13"/>
      <c r="X42" s="46"/>
      <c r="AJ42" s="11"/>
      <c r="AK42" s="11"/>
      <c r="AL42" s="11"/>
      <c r="AM42" s="52" t="s">
        <v>291</v>
      </c>
      <c r="AN42" s="52" t="s">
        <v>294</v>
      </c>
      <c r="AO42" s="52" t="s">
        <v>295</v>
      </c>
      <c r="AP42" s="52" t="s">
        <v>296</v>
      </c>
    </row>
    <row r="43" spans="1:42" ht="15">
      <c r="A43" s="176" t="s">
        <v>404</v>
      </c>
      <c r="B43" s="64" t="e">
        <f>$B$40/2000</f>
        <v>#REF!</v>
      </c>
      <c r="C43" s="345">
        <v>1.81</v>
      </c>
      <c r="D43" s="307" t="e">
        <f t="shared" ref="D43:D49" si="38">B43*C43</f>
        <v>#REF!</v>
      </c>
      <c r="E43" s="345">
        <v>3</v>
      </c>
      <c r="F43" s="307" t="e">
        <f t="shared" ref="F43:F49" si="39">B43*E43</f>
        <v>#REF!</v>
      </c>
      <c r="G43" s="345">
        <v>0</v>
      </c>
      <c r="H43" s="311" t="e">
        <f>B43*G43</f>
        <v>#REF!</v>
      </c>
      <c r="J43" s="65"/>
      <c r="K43" s="65"/>
      <c r="L43" s="65"/>
      <c r="M43" s="65"/>
      <c r="N43" s="65"/>
      <c r="O43" s="65"/>
      <c r="P43" s="65"/>
      <c r="V43" s="312" t="e">
        <f>B43*1000</f>
        <v>#REF!</v>
      </c>
      <c r="W43" s="256" t="s">
        <v>12</v>
      </c>
      <c r="X43" s="255" t="s">
        <v>154</v>
      </c>
      <c r="AJ43" s="56" t="e">
        <f t="shared" ref="AJ43:AJ49" si="40">IF(B43&lt;&gt;0,D43/B43*1000,0)</f>
        <v>#REF!</v>
      </c>
      <c r="AK43" s="56" t="e">
        <f t="shared" ref="AK43:AK49" si="41">IF(B43&lt;&gt;0,F43/B43*1000,0)</f>
        <v>#REF!</v>
      </c>
      <c r="AL43" s="56" t="e">
        <f>IF(B43&lt;&gt;0,H43/B43*1000,0)</f>
        <v>#REF!</v>
      </c>
      <c r="AM43" s="26" t="e">
        <f t="shared" ref="AM43:AM49" si="42">AJ43*$B$24+AK43*$E$24+AL43*$H$24</f>
        <v>#REF!</v>
      </c>
      <c r="AN43" s="26">
        <v>202343432</v>
      </c>
      <c r="AO43" s="183" t="e">
        <f t="shared" ref="AO43:AO49" si="43">AN43/AM43</f>
        <v>#REF!</v>
      </c>
      <c r="AP43" s="341">
        <f>343597.02/24291676.299</f>
        <v>1.414464015454317E-2</v>
      </c>
    </row>
    <row r="44" spans="1:42" ht="15">
      <c r="A44" s="176" t="s">
        <v>403</v>
      </c>
      <c r="B44" s="344">
        <v>0.1525</v>
      </c>
      <c r="C44" s="345">
        <v>0</v>
      </c>
      <c r="D44" s="307">
        <f t="shared" si="38"/>
        <v>0</v>
      </c>
      <c r="E44" s="345">
        <v>0</v>
      </c>
      <c r="F44" s="307">
        <f t="shared" si="39"/>
        <v>0</v>
      </c>
      <c r="G44" s="345">
        <v>2.8</v>
      </c>
      <c r="H44" s="311">
        <f t="shared" ref="H44:H49" si="44">B44*G44</f>
        <v>0.42699999999999999</v>
      </c>
      <c r="J44" s="65"/>
      <c r="K44" s="65"/>
      <c r="L44" s="65"/>
      <c r="M44" s="65"/>
      <c r="N44" s="65"/>
      <c r="O44" s="65"/>
      <c r="P44" s="65"/>
      <c r="V44" s="312">
        <f t="shared" ref="V44:V49" si="45">B44*1000</f>
        <v>152.5</v>
      </c>
      <c r="W44" s="256" t="s">
        <v>12</v>
      </c>
      <c r="X44" s="256" t="s">
        <v>298</v>
      </c>
      <c r="AJ44" s="56">
        <f t="shared" si="40"/>
        <v>0</v>
      </c>
      <c r="AK44" s="56">
        <f t="shared" si="41"/>
        <v>0</v>
      </c>
      <c r="AL44" s="56">
        <f t="shared" ref="AL44:AL49" si="46">IF(B44&lt;&gt;0,H44/B44*1000,0)</f>
        <v>2800</v>
      </c>
      <c r="AM44" s="26">
        <f t="shared" si="42"/>
        <v>0</v>
      </c>
      <c r="AN44" s="26">
        <v>0</v>
      </c>
      <c r="AO44" s="183" t="e">
        <f t="shared" si="43"/>
        <v>#DIV/0!</v>
      </c>
      <c r="AP44" s="341">
        <v>6.2740000000000004E-2</v>
      </c>
    </row>
    <row r="45" spans="1:42" ht="15">
      <c r="A45" s="176" t="s">
        <v>405</v>
      </c>
      <c r="B45" s="344">
        <v>1.4107000000000001</v>
      </c>
      <c r="C45" s="345">
        <v>1.0999999999999999E-2</v>
      </c>
      <c r="D45" s="307">
        <f t="shared" si="38"/>
        <v>1.5517700000000001E-2</v>
      </c>
      <c r="E45" s="345">
        <v>0</v>
      </c>
      <c r="F45" s="307">
        <f t="shared" si="39"/>
        <v>0</v>
      </c>
      <c r="G45" s="345">
        <v>0</v>
      </c>
      <c r="H45" s="311">
        <f t="shared" si="44"/>
        <v>0</v>
      </c>
      <c r="J45" s="65"/>
      <c r="K45" s="65"/>
      <c r="L45" s="65"/>
      <c r="M45" s="65"/>
      <c r="N45" s="65"/>
      <c r="O45" s="65"/>
      <c r="P45" s="65"/>
      <c r="V45" s="312">
        <f t="shared" si="45"/>
        <v>1410.7</v>
      </c>
      <c r="W45" s="256" t="s">
        <v>12</v>
      </c>
      <c r="X45" s="255" t="s">
        <v>155</v>
      </c>
      <c r="AJ45" s="56">
        <f t="shared" si="40"/>
        <v>11</v>
      </c>
      <c r="AK45" s="56">
        <f t="shared" si="41"/>
        <v>0</v>
      </c>
      <c r="AL45" s="56">
        <f t="shared" si="46"/>
        <v>0</v>
      </c>
      <c r="AM45" s="26">
        <f t="shared" si="42"/>
        <v>1782000</v>
      </c>
      <c r="AN45" s="26">
        <v>101933</v>
      </c>
      <c r="AO45" s="183">
        <f t="shared" si="43"/>
        <v>5.7201459034792367E-2</v>
      </c>
      <c r="AP45" s="341">
        <f>143105.19/AN45</f>
        <v>1.4039142377836422</v>
      </c>
    </row>
    <row r="46" spans="1:42" ht="15">
      <c r="A46" s="176" t="s">
        <v>406</v>
      </c>
      <c r="B46" s="344">
        <v>0.46</v>
      </c>
      <c r="C46" s="345">
        <v>5.0000000000000001E-3</v>
      </c>
      <c r="D46" s="307">
        <f t="shared" si="38"/>
        <v>2.3E-3</v>
      </c>
      <c r="E46" s="345">
        <v>1.2999999999999999E-2</v>
      </c>
      <c r="F46" s="307">
        <f t="shared" si="39"/>
        <v>5.9800000000000001E-3</v>
      </c>
      <c r="G46" s="345">
        <v>0.02</v>
      </c>
      <c r="H46" s="311">
        <f t="shared" si="44"/>
        <v>9.1999999999999998E-3</v>
      </c>
      <c r="I46" s="62"/>
      <c r="J46" s="65"/>
      <c r="K46" s="65"/>
      <c r="L46" s="65"/>
      <c r="M46" s="65"/>
      <c r="N46" s="65"/>
      <c r="O46" s="65"/>
      <c r="P46" s="65"/>
      <c r="V46" s="312">
        <f t="shared" si="45"/>
        <v>460</v>
      </c>
      <c r="W46" s="256" t="s">
        <v>12</v>
      </c>
      <c r="X46" s="255" t="s">
        <v>156</v>
      </c>
      <c r="AJ46" s="56">
        <f t="shared" si="40"/>
        <v>5</v>
      </c>
      <c r="AK46" s="56">
        <f t="shared" si="41"/>
        <v>13</v>
      </c>
      <c r="AL46" s="56">
        <f t="shared" si="46"/>
        <v>20</v>
      </c>
      <c r="AM46" s="26">
        <f t="shared" si="42"/>
        <v>1824000</v>
      </c>
      <c r="AN46" s="26">
        <v>84108</v>
      </c>
      <c r="AO46" s="183">
        <f t="shared" si="43"/>
        <v>4.6111842105263159E-2</v>
      </c>
      <c r="AP46" s="341">
        <f>38613.79/AN46</f>
        <v>0.45909770770913588</v>
      </c>
    </row>
    <row r="47" spans="1:42" ht="15">
      <c r="A47" s="176" t="s">
        <v>407</v>
      </c>
      <c r="B47" s="344">
        <v>5.7000000000000002E-2</v>
      </c>
      <c r="C47" s="345">
        <v>1.2E-2</v>
      </c>
      <c r="D47" s="307">
        <f t="shared" si="38"/>
        <v>6.8400000000000004E-4</v>
      </c>
      <c r="E47" s="345">
        <v>8.9999999999999993E-3</v>
      </c>
      <c r="F47" s="307">
        <f t="shared" si="39"/>
        <v>5.13E-4</v>
      </c>
      <c r="G47" s="345">
        <v>4.0000000000000001E-3</v>
      </c>
      <c r="H47" s="311">
        <f t="shared" si="44"/>
        <v>2.2800000000000001E-4</v>
      </c>
      <c r="I47" s="62"/>
      <c r="J47" s="65"/>
      <c r="K47" s="65"/>
      <c r="L47" s="65"/>
      <c r="M47" s="65"/>
      <c r="N47" s="65"/>
      <c r="O47" s="65"/>
      <c r="P47" s="65"/>
      <c r="V47" s="312">
        <f t="shared" si="45"/>
        <v>57</v>
      </c>
      <c r="W47" s="256" t="s">
        <v>12</v>
      </c>
      <c r="X47" s="255" t="s">
        <v>157</v>
      </c>
      <c r="AJ47" s="56">
        <f t="shared" si="40"/>
        <v>12</v>
      </c>
      <c r="AK47" s="56">
        <f t="shared" si="41"/>
        <v>9</v>
      </c>
      <c r="AL47" s="56">
        <f t="shared" si="46"/>
        <v>4</v>
      </c>
      <c r="AM47" s="26">
        <f t="shared" si="42"/>
        <v>2646000</v>
      </c>
      <c r="AN47" s="26">
        <v>47388</v>
      </c>
      <c r="AO47" s="183">
        <f t="shared" si="43"/>
        <v>1.7909297052154195E-2</v>
      </c>
      <c r="AP47" s="341">
        <f>2705.86/AN47</f>
        <v>5.710010973242171E-2</v>
      </c>
    </row>
    <row r="48" spans="1:42" ht="15">
      <c r="A48" s="176" t="s">
        <v>408</v>
      </c>
      <c r="B48" s="344">
        <v>8.7499999999999994E-2</v>
      </c>
      <c r="C48" s="345">
        <v>0</v>
      </c>
      <c r="D48" s="307">
        <f t="shared" si="38"/>
        <v>0</v>
      </c>
      <c r="E48" s="345">
        <v>0.27800000000000002</v>
      </c>
      <c r="F48" s="307">
        <f t="shared" si="39"/>
        <v>2.4324999999999999E-2</v>
      </c>
      <c r="G48" s="345">
        <v>0.215</v>
      </c>
      <c r="H48" s="311">
        <f t="shared" si="44"/>
        <v>1.8812499999999999E-2</v>
      </c>
      <c r="I48" s="62"/>
      <c r="J48" s="65"/>
      <c r="K48" s="65"/>
      <c r="L48" s="65"/>
      <c r="M48" s="65"/>
      <c r="N48" s="65"/>
      <c r="O48" s="65"/>
      <c r="P48" s="65"/>
      <c r="V48" s="312">
        <f t="shared" si="45"/>
        <v>87.5</v>
      </c>
      <c r="W48" s="256" t="s">
        <v>12</v>
      </c>
      <c r="X48" s="255" t="s">
        <v>231</v>
      </c>
      <c r="AJ48" s="56">
        <f t="shared" si="40"/>
        <v>0</v>
      </c>
      <c r="AK48" s="56">
        <f t="shared" si="41"/>
        <v>278</v>
      </c>
      <c r="AL48" s="56">
        <f t="shared" si="46"/>
        <v>215</v>
      </c>
      <c r="AM48" s="26">
        <f t="shared" si="42"/>
        <v>21684000</v>
      </c>
      <c r="AN48" s="26">
        <v>560786</v>
      </c>
      <c r="AO48" s="183">
        <f t="shared" si="43"/>
        <v>2.5861741376129864E-2</v>
      </c>
      <c r="AP48" s="341">
        <f>49077.4/AN48</f>
        <v>8.7515380198507103E-2</v>
      </c>
    </row>
    <row r="49" spans="1:42" ht="15">
      <c r="A49" s="176" t="s">
        <v>409</v>
      </c>
      <c r="B49" s="344">
        <v>6.0780000000000003</v>
      </c>
      <c r="C49" s="345">
        <v>0</v>
      </c>
      <c r="D49" s="307">
        <f t="shared" si="38"/>
        <v>0</v>
      </c>
      <c r="E49" s="345">
        <v>1.0999999999999999E-2</v>
      </c>
      <c r="F49" s="307">
        <f t="shared" si="39"/>
        <v>6.6858000000000001E-2</v>
      </c>
      <c r="G49" s="345">
        <v>1.2E-2</v>
      </c>
      <c r="H49" s="311">
        <f t="shared" si="44"/>
        <v>7.2936000000000001E-2</v>
      </c>
      <c r="I49" s="62"/>
      <c r="J49" s="65"/>
      <c r="K49" s="65"/>
      <c r="L49" s="65"/>
      <c r="M49" s="65"/>
      <c r="N49" s="65"/>
      <c r="O49" s="65"/>
      <c r="P49" s="65"/>
      <c r="V49" s="312">
        <f t="shared" si="45"/>
        <v>6078</v>
      </c>
      <c r="W49" s="256" t="s">
        <v>12</v>
      </c>
      <c r="X49" s="255" t="s">
        <v>232</v>
      </c>
      <c r="AJ49" s="56">
        <f t="shared" si="40"/>
        <v>0</v>
      </c>
      <c r="AK49" s="56">
        <f t="shared" si="41"/>
        <v>11</v>
      </c>
      <c r="AL49" s="56">
        <f t="shared" si="46"/>
        <v>12</v>
      </c>
      <c r="AM49" s="26">
        <f t="shared" si="42"/>
        <v>858000</v>
      </c>
      <c r="AN49" s="26">
        <v>208883</v>
      </c>
      <c r="AO49" s="183">
        <f t="shared" si="43"/>
        <v>0.24345337995337996</v>
      </c>
      <c r="AP49" s="341">
        <f>1269211.15/AN49</f>
        <v>6.0761821210917111</v>
      </c>
    </row>
    <row r="50" spans="1:42">
      <c r="A50" s="63"/>
      <c r="B50" s="67"/>
      <c r="C50" s="51"/>
      <c r="D50" s="68"/>
      <c r="E50" s="51"/>
      <c r="F50" s="68"/>
      <c r="G50" s="51"/>
      <c r="H50" s="98"/>
      <c r="I50" s="62"/>
      <c r="J50" s="65"/>
      <c r="K50" s="65"/>
      <c r="L50" s="65"/>
      <c r="M50" s="65"/>
      <c r="N50" s="65"/>
      <c r="O50" s="65"/>
      <c r="P50" s="65"/>
      <c r="X50" s="156"/>
      <c r="AL50" s="157"/>
    </row>
    <row r="51" spans="1:42" ht="15">
      <c r="A51" s="63" t="s">
        <v>42</v>
      </c>
      <c r="C51" s="69"/>
      <c r="D51" s="199" t="s">
        <v>43</v>
      </c>
      <c r="F51" s="199" t="s">
        <v>43</v>
      </c>
      <c r="H51" s="283" t="s">
        <v>43</v>
      </c>
    </row>
    <row r="52" spans="1:42">
      <c r="A52" s="63" t="s">
        <v>284</v>
      </c>
      <c r="C52" s="69"/>
      <c r="D52" s="64" t="e">
        <f>D43+D44</f>
        <v>#REF!</v>
      </c>
      <c r="F52" s="64" t="e">
        <f>F43+F44</f>
        <v>#REF!</v>
      </c>
      <c r="H52" s="189" t="e">
        <f>H43+H44</f>
        <v>#REF!</v>
      </c>
    </row>
    <row r="53" spans="1:42" ht="15">
      <c r="A53" s="63" t="s">
        <v>44</v>
      </c>
      <c r="C53" s="69"/>
      <c r="D53" s="70">
        <f>SUM(D45:D49)</f>
        <v>1.8501699999999999E-2</v>
      </c>
      <c r="F53" s="70">
        <f>SUM(F45:F49)</f>
        <v>9.7675999999999999E-2</v>
      </c>
      <c r="H53" s="310">
        <f>SUM(H45:H49)</f>
        <v>0.1011765</v>
      </c>
    </row>
    <row r="54" spans="1:42" ht="15">
      <c r="A54" s="63" t="s">
        <v>45</v>
      </c>
      <c r="C54" s="51"/>
      <c r="D54" s="339" t="e">
        <f>SUM(D52:D53)</f>
        <v>#REF!</v>
      </c>
      <c r="F54" s="339" t="e">
        <f>SUM(F52:F53)</f>
        <v>#REF!</v>
      </c>
      <c r="H54" s="340" t="e">
        <f>SUM(H52:H53)</f>
        <v>#REF!</v>
      </c>
    </row>
    <row r="55" spans="1:42">
      <c r="A55" s="71"/>
      <c r="B55" s="72"/>
      <c r="C55" s="72"/>
      <c r="D55" s="72"/>
      <c r="E55" s="73"/>
      <c r="F55" s="74"/>
      <c r="G55" s="72"/>
      <c r="H55" s="75"/>
      <c r="W55" s="69"/>
    </row>
    <row r="56" spans="1:42">
      <c r="A56" s="39"/>
      <c r="E56" s="51"/>
      <c r="F56" s="76"/>
      <c r="W56" s="69"/>
    </row>
    <row r="57" spans="1:42" ht="13.5" thickBot="1">
      <c r="F57" s="39"/>
      <c r="G57" s="39"/>
    </row>
    <row r="58" spans="1:42" ht="14.65" customHeight="1">
      <c r="A58" s="82" t="s">
        <v>269</v>
      </c>
      <c r="B58" s="1020" t="s">
        <v>18</v>
      </c>
      <c r="C58" s="1020"/>
      <c r="D58" s="1020"/>
      <c r="E58" s="93"/>
      <c r="F58" s="1020" t="s">
        <v>46</v>
      </c>
      <c r="G58" s="1020"/>
      <c r="H58" s="1021"/>
      <c r="AA58" s="1014" t="s">
        <v>253</v>
      </c>
      <c r="AB58" s="1015"/>
      <c r="AC58" s="1015"/>
      <c r="AD58" s="1015"/>
      <c r="AE58" s="1015"/>
      <c r="AF58" s="1015"/>
      <c r="AG58" s="1015"/>
      <c r="AH58" s="1015"/>
      <c r="AI58" s="1015"/>
      <c r="AJ58" s="1015"/>
      <c r="AK58" s="1016"/>
    </row>
    <row r="59" spans="1:42" ht="14.65" customHeight="1">
      <c r="A59" s="43"/>
      <c r="B59" s="199" t="s">
        <v>159</v>
      </c>
      <c r="C59" s="199" t="s">
        <v>109</v>
      </c>
      <c r="D59" s="199" t="s">
        <v>107</v>
      </c>
      <c r="E59" s="26"/>
      <c r="F59" s="199" t="s">
        <v>159</v>
      </c>
      <c r="G59" s="199" t="s">
        <v>109</v>
      </c>
      <c r="H59" s="283" t="s">
        <v>107</v>
      </c>
      <c r="R59" s="240"/>
      <c r="S59" s="240"/>
      <c r="T59" s="261">
        <f>$T$14*$Z59</f>
        <v>3406628.3</v>
      </c>
      <c r="U59" s="250"/>
      <c r="V59" s="250"/>
      <c r="W59" s="256"/>
      <c r="X59" s="20" t="s">
        <v>79</v>
      </c>
      <c r="Y59" s="128" t="s">
        <v>80</v>
      </c>
      <c r="Z59" s="206">
        <f>100%-D62</f>
        <v>0.85</v>
      </c>
      <c r="AA59" s="274"/>
      <c r="AB59" s="261"/>
      <c r="AC59" s="261"/>
      <c r="AD59" s="261" t="s">
        <v>159</v>
      </c>
      <c r="AE59" s="278">
        <f>($B$66+$B$68+$B$70+$B$73-$B$75)/$B$25*$B$24</f>
        <v>47501.640000000007</v>
      </c>
      <c r="AF59" s="278">
        <f>($B$66+$B$68+$B$70+$B$73-$B$75)/$B$25*($E$24+$H$24)</f>
        <v>22871.160000000003</v>
      </c>
      <c r="AG59" s="278"/>
      <c r="AH59" s="278">
        <f>SUM(AE59:AF59)</f>
        <v>70372.800000000017</v>
      </c>
      <c r="AI59" s="25"/>
      <c r="AJ59" s="24"/>
      <c r="AK59" s="270"/>
      <c r="AL59" s="131"/>
    </row>
    <row r="60" spans="1:42" ht="14.65" customHeight="1">
      <c r="A60" s="48" t="s">
        <v>191</v>
      </c>
      <c r="B60" s="346">
        <f>'17 Std'!O5</f>
        <v>33</v>
      </c>
      <c r="C60" s="346">
        <f>'17 Std'!P5</f>
        <v>20</v>
      </c>
      <c r="D60" s="78">
        <f>SUM(B60:C60)</f>
        <v>53</v>
      </c>
      <c r="F60" s="346">
        <f>'17 Std'!Q5</f>
        <v>12</v>
      </c>
      <c r="G60" s="346">
        <f>'17 Std'!R5</f>
        <v>4</v>
      </c>
      <c r="H60" s="79">
        <f>SUM(F60:G60)</f>
        <v>16</v>
      </c>
      <c r="R60" s="269"/>
      <c r="S60" s="269"/>
      <c r="T60" s="262">
        <f>$T$14*$Z60</f>
        <v>601169.69999999995</v>
      </c>
      <c r="U60" s="250"/>
      <c r="V60" s="250"/>
      <c r="W60" s="256"/>
      <c r="X60" s="20" t="s">
        <v>81</v>
      </c>
      <c r="Y60" s="128" t="s">
        <v>82</v>
      </c>
      <c r="Z60" s="138">
        <f>D62</f>
        <v>0.15</v>
      </c>
      <c r="AA60" s="274"/>
      <c r="AB60" s="261"/>
      <c r="AC60" s="261"/>
      <c r="AD60" s="261" t="s">
        <v>109</v>
      </c>
      <c r="AE60" s="279">
        <v>0</v>
      </c>
      <c r="AF60" s="279">
        <f>($B$67+$B$69+$B$71)/$E$24*($E$24+$H$24)</f>
        <v>50232</v>
      </c>
      <c r="AG60" s="279"/>
      <c r="AH60" s="279">
        <f>SUM(AE60:AF60)</f>
        <v>50232</v>
      </c>
      <c r="AI60" s="25"/>
      <c r="AJ60" s="24"/>
      <c r="AK60" s="270"/>
      <c r="AL60" s="131"/>
    </row>
    <row r="61" spans="1:42" ht="14.65" customHeight="1" thickBot="1">
      <c r="A61" s="48" t="s">
        <v>192</v>
      </c>
      <c r="B61" s="347">
        <f>28.16*(1+$F$148)</f>
        <v>28.723200000000002</v>
      </c>
      <c r="C61" s="347">
        <f>30.44*(1+$F$148)</f>
        <v>31.048800000000004</v>
      </c>
      <c r="D61" s="80">
        <f>($B$60*B61+$C$60*C61)/$D$60</f>
        <v>29.60078490566038</v>
      </c>
      <c r="E61" s="26"/>
      <c r="F61" s="347">
        <f>32.42*(1+$F$148)</f>
        <v>33.068400000000004</v>
      </c>
      <c r="G61" s="347">
        <f>32.42*(1+$F$148)</f>
        <v>33.068400000000004</v>
      </c>
      <c r="H61" s="81">
        <f>($F$60*F61+$G$60*G61)/$H$60</f>
        <v>33.068400000000004</v>
      </c>
      <c r="R61" s="235"/>
      <c r="S61" s="235"/>
      <c r="T61" s="24">
        <f>SUM(T59:T60)</f>
        <v>4007798</v>
      </c>
      <c r="U61" s="268"/>
      <c r="V61" s="268"/>
      <c r="W61" s="256" t="s">
        <v>19</v>
      </c>
      <c r="X61" s="130" t="s">
        <v>20</v>
      </c>
      <c r="Y61" s="257" t="s">
        <v>107</v>
      </c>
      <c r="Z61" s="138"/>
      <c r="AA61" s="271">
        <f>$AI$61*AJ61*$B$24</f>
        <v>1530917.8195226155</v>
      </c>
      <c r="AB61" s="272">
        <f>$AI$61*AK61*($E$24+$H$24)</f>
        <v>2356022.4511703784</v>
      </c>
      <c r="AC61" s="272"/>
      <c r="AD61" s="273">
        <f>SUM(AA61:AB61)</f>
        <v>3886940.2706929939</v>
      </c>
      <c r="AE61" s="280">
        <f>SUM(AE59:AE60)</f>
        <v>47501.640000000007</v>
      </c>
      <c r="AF61" s="280">
        <f>SUM(AF59:AF60)</f>
        <v>73103.16</v>
      </c>
      <c r="AG61" s="280"/>
      <c r="AH61" s="280">
        <f>SUM(AH59:AH60)</f>
        <v>120604.80000000002</v>
      </c>
      <c r="AI61" s="277">
        <f>$AI$14</f>
        <v>32.228736092535236</v>
      </c>
      <c r="AJ61" s="275">
        <f>AE61/$B$24</f>
        <v>0.29322000000000004</v>
      </c>
      <c r="AK61" s="276">
        <f>AF61/($E$24+$H$24)</f>
        <v>0.93722000000000005</v>
      </c>
      <c r="AL61" s="131"/>
    </row>
    <row r="62" spans="1:42" ht="14.65" customHeight="1">
      <c r="A62" s="48" t="s">
        <v>193</v>
      </c>
      <c r="B62" s="343">
        <v>0.15</v>
      </c>
      <c r="C62" s="343">
        <v>0.15</v>
      </c>
      <c r="D62" s="203">
        <f>($B$60*B62+$C$60*C62)/$D$60</f>
        <v>0.15</v>
      </c>
      <c r="E62" s="26"/>
      <c r="F62" s="343">
        <v>0.12</v>
      </c>
      <c r="G62" s="343">
        <v>0.16</v>
      </c>
      <c r="H62" s="211">
        <f>($F$60*F62+$G$60*G62)/$H$60</f>
        <v>0.13</v>
      </c>
      <c r="AA62" s="1014" t="s">
        <v>254</v>
      </c>
      <c r="AB62" s="1015"/>
      <c r="AC62" s="1015"/>
      <c r="AD62" s="1015"/>
      <c r="AE62" s="1015"/>
      <c r="AF62" s="1015"/>
      <c r="AG62" s="1015"/>
      <c r="AH62" s="1015"/>
      <c r="AI62" s="1015"/>
      <c r="AJ62" s="1015"/>
      <c r="AK62" s="1016"/>
    </row>
    <row r="63" spans="1:42" ht="14.65" customHeight="1">
      <c r="A63" s="43"/>
      <c r="H63" s="45"/>
      <c r="R63" s="240"/>
      <c r="S63" s="240"/>
      <c r="T63" s="261">
        <f>$T$15*$Z63</f>
        <v>1201359.51</v>
      </c>
      <c r="U63" s="250"/>
      <c r="V63" s="250"/>
      <c r="W63" s="256"/>
      <c r="X63" s="20" t="s">
        <v>83</v>
      </c>
      <c r="Y63" s="128" t="s">
        <v>84</v>
      </c>
      <c r="Z63" s="138">
        <f>100%-H62</f>
        <v>0.87</v>
      </c>
      <c r="AA63" s="274"/>
      <c r="AB63" s="261"/>
      <c r="AC63" s="261"/>
      <c r="AD63" s="261" t="s">
        <v>159</v>
      </c>
      <c r="AE63" s="278">
        <f>($F$66+$F$68+$F$70+$F$73-$F$75)/$B$25*$B$24</f>
        <v>19813.248</v>
      </c>
      <c r="AF63" s="278">
        <f>($F$66+$F$68+$F$70+$F$73-$F$75)/$B$25*($E$24+$H$24)</f>
        <v>9539.7119999999995</v>
      </c>
      <c r="AG63" s="278"/>
      <c r="AH63" s="278">
        <f>SUM(AE63:AF63)</f>
        <v>29352.959999999999</v>
      </c>
      <c r="AI63" s="25"/>
      <c r="AJ63" s="24"/>
      <c r="AK63" s="270"/>
      <c r="AL63" s="131"/>
    </row>
    <row r="64" spans="1:42" ht="14.65" customHeight="1">
      <c r="A64" s="48"/>
      <c r="B64" s="1017" t="s">
        <v>18</v>
      </c>
      <c r="C64" s="1017"/>
      <c r="D64" s="1017"/>
      <c r="F64" s="1017" t="s">
        <v>47</v>
      </c>
      <c r="G64" s="1017"/>
      <c r="H64" s="1018"/>
      <c r="R64" s="269"/>
      <c r="S64" s="269"/>
      <c r="T64" s="262">
        <f>$T$15*$Z64</f>
        <v>179513.49000000002</v>
      </c>
      <c r="U64" s="250"/>
      <c r="V64" s="250"/>
      <c r="W64" s="256"/>
      <c r="X64" s="20" t="s">
        <v>85</v>
      </c>
      <c r="Y64" s="128" t="s">
        <v>86</v>
      </c>
      <c r="Z64" s="138">
        <f>H62</f>
        <v>0.13</v>
      </c>
      <c r="AA64" s="274"/>
      <c r="AB64" s="261"/>
      <c r="AC64" s="261"/>
      <c r="AD64" s="261" t="s">
        <v>109</v>
      </c>
      <c r="AE64" s="279">
        <v>0</v>
      </c>
      <c r="AF64" s="279">
        <f>($F$67+$F$69+$F$71)/$E$24*($E$24+$H$24)</f>
        <v>10133.76</v>
      </c>
      <c r="AG64" s="279"/>
      <c r="AH64" s="279">
        <f>SUM(AE64:AF64)</f>
        <v>10133.76</v>
      </c>
      <c r="AI64" s="25"/>
      <c r="AJ64" s="24"/>
      <c r="AK64" s="270"/>
      <c r="AL64" s="131"/>
    </row>
    <row r="65" spans="1:37" ht="14.65" customHeight="1" thickBot="1">
      <c r="A65" s="48"/>
      <c r="B65" s="83" t="s">
        <v>48</v>
      </c>
      <c r="C65" s="83" t="s">
        <v>49</v>
      </c>
      <c r="D65" s="84" t="s">
        <v>50</v>
      </c>
      <c r="E65" s="52"/>
      <c r="F65" s="83" t="s">
        <v>48</v>
      </c>
      <c r="G65" s="83" t="s">
        <v>49</v>
      </c>
      <c r="H65" s="85" t="s">
        <v>50</v>
      </c>
      <c r="I65" s="52"/>
      <c r="R65" s="235"/>
      <c r="S65" s="235"/>
      <c r="T65" s="24">
        <f>SUM(T63:T64)</f>
        <v>1380873</v>
      </c>
      <c r="U65" s="268"/>
      <c r="V65" s="268"/>
      <c r="W65" s="256" t="s">
        <v>19</v>
      </c>
      <c r="X65" s="130" t="s">
        <v>22</v>
      </c>
      <c r="Y65" s="257" t="s">
        <v>107</v>
      </c>
      <c r="Z65" s="138"/>
      <c r="AA65" s="271">
        <f>$AI$65*AJ65*$B$24</f>
        <v>692880.46915488853</v>
      </c>
      <c r="AB65" s="272">
        <f>$AI$65*AK65*($E$24+$H$24)</f>
        <v>687992.42351711157</v>
      </c>
      <c r="AC65" s="272"/>
      <c r="AD65" s="273">
        <f>SUM(AA65:AB65)</f>
        <v>1380872.892672</v>
      </c>
      <c r="AE65" s="280">
        <f>SUM(AE63:AE64)</f>
        <v>19813.248</v>
      </c>
      <c r="AF65" s="280">
        <f>SUM(AF63:AF64)</f>
        <v>19673.472000000002</v>
      </c>
      <c r="AG65" s="280"/>
      <c r="AH65" s="280">
        <f>SUM(AH63:AH64)</f>
        <v>39486.720000000001</v>
      </c>
      <c r="AI65" s="277">
        <f>$AI$15</f>
        <v>34.970564601769915</v>
      </c>
      <c r="AJ65" s="275">
        <f>AE65/$B$24</f>
        <v>0.122304</v>
      </c>
      <c r="AK65" s="276">
        <f>AF65/($E$24+$H$24)</f>
        <v>0.252224</v>
      </c>
    </row>
    <row r="66" spans="1:37" ht="14.65" customHeight="1">
      <c r="A66" s="48" t="s">
        <v>195</v>
      </c>
      <c r="B66" s="49">
        <f>$D$148*$D$149*B$60</f>
        <v>72072</v>
      </c>
      <c r="C66" s="86">
        <f>B$61</f>
        <v>28.723200000000002</v>
      </c>
      <c r="D66" s="87">
        <f>B66*C66</f>
        <v>2070138.4704000002</v>
      </c>
      <c r="F66" s="49">
        <f>$D$148*$D$149*F$60</f>
        <v>26208</v>
      </c>
      <c r="G66" s="86">
        <f>F$61</f>
        <v>33.068400000000004</v>
      </c>
      <c r="H66" s="88">
        <f>F66*G66</f>
        <v>866656.6272000001</v>
      </c>
      <c r="I66" s="26"/>
      <c r="R66"/>
      <c r="S66"/>
      <c r="T66"/>
      <c r="U66" s="131"/>
      <c r="V66" s="131"/>
      <c r="W66" s="146"/>
      <c r="X66" s="131"/>
      <c r="Y66" s="132"/>
      <c r="Z66"/>
      <c r="AA66" s="260" t="s">
        <v>398</v>
      </c>
      <c r="AB66" s="131"/>
      <c r="AC66" s="131"/>
      <c r="AD66" s="131"/>
      <c r="AE66" s="162"/>
    </row>
    <row r="67" spans="1:37" ht="14.65" customHeight="1">
      <c r="A67" s="48" t="s">
        <v>196</v>
      </c>
      <c r="B67" s="49">
        <f>$D$148*$D$149*C$60</f>
        <v>43680</v>
      </c>
      <c r="C67" s="205">
        <f>C$61</f>
        <v>31.048800000000004</v>
      </c>
      <c r="D67" s="78">
        <f>B67*C67</f>
        <v>1356211.5840000003</v>
      </c>
      <c r="F67" s="49">
        <f>$D$148*$D$149*G$60</f>
        <v>8736</v>
      </c>
      <c r="G67" s="205">
        <f>G$61</f>
        <v>33.068400000000004</v>
      </c>
      <c r="H67" s="79">
        <f>F67*G67</f>
        <v>288885.54240000003</v>
      </c>
      <c r="I67" s="26"/>
      <c r="R67" s="240"/>
      <c r="S67" s="240"/>
      <c r="T67" s="261">
        <f t="shared" ref="T67:T72" si="47">$T$16*$Z67</f>
        <v>215080.1622804965</v>
      </c>
      <c r="U67" s="250"/>
      <c r="V67" s="250"/>
      <c r="W67" s="159"/>
      <c r="X67" s="20" t="s">
        <v>87</v>
      </c>
      <c r="Y67" s="128" t="s">
        <v>88</v>
      </c>
      <c r="Z67" s="138">
        <f t="shared" ref="Z67:Z72" si="48">AA67/$AA$73</f>
        <v>8.8696471435533455E-2</v>
      </c>
      <c r="AA67" s="143">
        <v>113854.1</v>
      </c>
      <c r="AB67" s="133"/>
      <c r="AC67" s="133"/>
      <c r="AD67" s="133"/>
      <c r="AE67" s="143"/>
      <c r="AI67" s="240"/>
      <c r="AJ67" s="240"/>
    </row>
    <row r="68" spans="1:37" ht="14.65" customHeight="1">
      <c r="A68" s="48" t="s">
        <v>197</v>
      </c>
      <c r="B68" s="49">
        <f>B66*B62</f>
        <v>10810.8</v>
      </c>
      <c r="C68" s="89">
        <f>B61*D150</f>
        <v>43.084800000000001</v>
      </c>
      <c r="D68" s="78">
        <f>B68*C68</f>
        <v>465781.15583999996</v>
      </c>
      <c r="F68" s="49">
        <f>F66*F62</f>
        <v>3144.96</v>
      </c>
      <c r="G68" s="89">
        <f>F61*D150</f>
        <v>49.60260000000001</v>
      </c>
      <c r="H68" s="79">
        <f>F68*G68</f>
        <v>155998.19289600002</v>
      </c>
      <c r="I68" s="26"/>
      <c r="R68" s="240"/>
      <c r="S68" s="240"/>
      <c r="T68" s="261">
        <f t="shared" si="47"/>
        <v>201675.90848654127</v>
      </c>
      <c r="U68" s="250"/>
      <c r="V68" s="250"/>
      <c r="W68" s="159"/>
      <c r="X68" s="20" t="s">
        <v>89</v>
      </c>
      <c r="Y68" s="128" t="s">
        <v>90</v>
      </c>
      <c r="Z68" s="138">
        <f t="shared" si="48"/>
        <v>8.3168718428728125E-2</v>
      </c>
      <c r="AA68" s="143">
        <v>106758.47</v>
      </c>
      <c r="AB68" s="133"/>
      <c r="AC68" s="133"/>
      <c r="AD68" s="133"/>
      <c r="AE68" s="143"/>
      <c r="AI68" s="240"/>
      <c r="AJ68" s="240"/>
    </row>
    <row r="69" spans="1:37" ht="14.65" customHeight="1">
      <c r="A69" s="48" t="s">
        <v>198</v>
      </c>
      <c r="B69" s="49">
        <f>B67*C62</f>
        <v>6552</v>
      </c>
      <c r="C69" s="89">
        <f>C61*D150</f>
        <v>46.573200000000007</v>
      </c>
      <c r="D69" s="78">
        <f>B69*C69</f>
        <v>305147.60640000005</v>
      </c>
      <c r="F69" s="49">
        <f>F67*G62</f>
        <v>1397.76</v>
      </c>
      <c r="G69" s="89">
        <f>G61*D150</f>
        <v>49.60260000000001</v>
      </c>
      <c r="H69" s="79">
        <f>F69*G69</f>
        <v>69332.530176000015</v>
      </c>
      <c r="I69" s="26"/>
      <c r="R69" s="240"/>
      <c r="S69" s="240"/>
      <c r="T69" s="261">
        <f t="shared" si="47"/>
        <v>200153.55092210587</v>
      </c>
      <c r="U69" s="250"/>
      <c r="V69" s="250"/>
      <c r="W69" s="159"/>
      <c r="X69" s="20" t="s">
        <v>91</v>
      </c>
      <c r="Y69" s="128" t="s">
        <v>92</v>
      </c>
      <c r="Z69" s="138">
        <f t="shared" si="48"/>
        <v>8.2540916483644436E-2</v>
      </c>
      <c r="AA69" s="143">
        <v>105952.6</v>
      </c>
      <c r="AB69" s="133"/>
      <c r="AC69" s="133"/>
      <c r="AD69" s="133"/>
      <c r="AE69" s="143"/>
      <c r="AI69" s="240"/>
      <c r="AJ69" s="240"/>
    </row>
    <row r="70" spans="1:37" ht="14.65" customHeight="1">
      <c r="A70" s="48" t="s">
        <v>199</v>
      </c>
      <c r="B70" s="49">
        <v>0</v>
      </c>
      <c r="C70" s="90"/>
      <c r="D70" s="78">
        <f>96*(34.91*1.03)*12*1.5</f>
        <v>62134.21439999999</v>
      </c>
      <c r="F70" s="49">
        <v>0</v>
      </c>
      <c r="G70" s="89"/>
      <c r="H70" s="79">
        <v>0</v>
      </c>
      <c r="I70" s="26"/>
      <c r="R70" s="240"/>
      <c r="S70" s="240"/>
      <c r="T70" s="261">
        <f t="shared" si="47"/>
        <v>1209891.0060013526</v>
      </c>
      <c r="U70" s="250"/>
      <c r="V70" s="250"/>
      <c r="W70" s="159"/>
      <c r="X70" s="20" t="s">
        <v>93</v>
      </c>
      <c r="Y70" s="128" t="s">
        <v>94</v>
      </c>
      <c r="Z70" s="138">
        <f t="shared" si="48"/>
        <v>0.49894449546655822</v>
      </c>
      <c r="AA70" s="143">
        <v>640463.77</v>
      </c>
      <c r="AB70" s="133"/>
      <c r="AC70" s="133"/>
      <c r="AD70" s="133"/>
      <c r="AE70" s="143"/>
      <c r="AI70" s="240"/>
      <c r="AJ70" s="240"/>
    </row>
    <row r="71" spans="1:37" ht="14.65" customHeight="1">
      <c r="A71" s="48" t="s">
        <v>200</v>
      </c>
      <c r="B71" s="170">
        <v>0</v>
      </c>
      <c r="C71" s="177"/>
      <c r="D71" s="178">
        <v>0</v>
      </c>
      <c r="E71" s="163"/>
      <c r="F71" s="170">
        <v>0</v>
      </c>
      <c r="G71" s="177"/>
      <c r="H71" s="194">
        <v>0</v>
      </c>
      <c r="I71" s="26"/>
      <c r="R71" s="240"/>
      <c r="S71" s="240"/>
      <c r="T71" s="261">
        <f t="shared" si="47"/>
        <v>553380.12000010337</v>
      </c>
      <c r="U71" s="250"/>
      <c r="V71" s="250"/>
      <c r="W71" s="159"/>
      <c r="X71" s="20" t="s">
        <v>95</v>
      </c>
      <c r="Y71" s="128" t="s">
        <v>96</v>
      </c>
      <c r="Z71" s="138">
        <f t="shared" si="48"/>
        <v>0.22820730413328355</v>
      </c>
      <c r="AA71" s="143">
        <v>292935.40999999997</v>
      </c>
      <c r="AB71" s="133"/>
      <c r="AC71" s="133"/>
      <c r="AD71" s="133"/>
      <c r="AE71" s="143"/>
      <c r="AI71" s="240"/>
      <c r="AJ71" s="240"/>
    </row>
    <row r="72" spans="1:37" ht="14.65" customHeight="1">
      <c r="A72" s="176" t="s">
        <v>161</v>
      </c>
      <c r="B72" s="49">
        <f>SUM(B66:B71)</f>
        <v>133114.79999999999</v>
      </c>
      <c r="C72" s="80">
        <f>D72/B72</f>
        <v>31.998042524497659</v>
      </c>
      <c r="D72" s="167">
        <f>SUM(D66:D71)</f>
        <v>4259413.0310400007</v>
      </c>
      <c r="E72" s="163"/>
      <c r="F72" s="49">
        <f>SUM(F66:F71)</f>
        <v>39486.720000000001</v>
      </c>
      <c r="G72" s="80">
        <f>H72/F72</f>
        <v>34.970564601769915</v>
      </c>
      <c r="H72" s="91">
        <f>SUM(H66:H71)</f>
        <v>1380872.8926720002</v>
      </c>
      <c r="I72" s="26"/>
      <c r="R72" s="269"/>
      <c r="S72" s="269"/>
      <c r="T72" s="262">
        <f t="shared" si="47"/>
        <v>44720.252309400385</v>
      </c>
      <c r="U72" s="250"/>
      <c r="V72" s="250"/>
      <c r="W72" s="159"/>
      <c r="X72" s="20" t="s">
        <v>97</v>
      </c>
      <c r="Y72" s="128" t="s">
        <v>98</v>
      </c>
      <c r="Z72" s="258">
        <f t="shared" si="48"/>
        <v>1.8442094052252188E-2</v>
      </c>
      <c r="AA72" s="161">
        <v>23672.959999999999</v>
      </c>
      <c r="AB72" s="133"/>
      <c r="AC72" s="133"/>
      <c r="AD72" s="133"/>
      <c r="AE72" s="161"/>
      <c r="AI72" s="240"/>
      <c r="AJ72" s="240"/>
    </row>
    <row r="73" spans="1:37" ht="14.65" customHeight="1">
      <c r="A73" s="176" t="s">
        <v>217</v>
      </c>
      <c r="B73" s="170">
        <f>-H82</f>
        <v>-8760</v>
      </c>
      <c r="C73" s="209">
        <f>D73/B73</f>
        <v>28.723173515981735</v>
      </c>
      <c r="D73" s="179">
        <f>ROUND(B73*B61,0)</f>
        <v>-251615</v>
      </c>
      <c r="E73" s="163"/>
      <c r="F73" s="170">
        <v>0</v>
      </c>
      <c r="G73" s="210"/>
      <c r="H73" s="195">
        <v>0</v>
      </c>
      <c r="I73" s="163"/>
      <c r="R73" s="235"/>
      <c r="S73" s="235"/>
      <c r="T73" s="24">
        <f>SUM(T67:T72)</f>
        <v>2424901.0000000005</v>
      </c>
      <c r="U73" s="268"/>
      <c r="V73" s="268"/>
      <c r="W73" s="256" t="s">
        <v>19</v>
      </c>
      <c r="X73" s="130" t="s">
        <v>24</v>
      </c>
      <c r="Y73" s="257" t="s">
        <v>107</v>
      </c>
      <c r="Z73" s="138">
        <f>SUM(Z67:Z72)</f>
        <v>0.99999999999999989</v>
      </c>
      <c r="AA73" s="259">
        <f>SUM(AA67:AA72)</f>
        <v>1283637.31</v>
      </c>
      <c r="AB73"/>
      <c r="AC73"/>
      <c r="AD73"/>
      <c r="AE73" s="160"/>
      <c r="AI73" s="241"/>
      <c r="AJ73" s="241"/>
    </row>
    <row r="74" spans="1:37" ht="14.65" customHeight="1">
      <c r="A74" s="176" t="s">
        <v>162</v>
      </c>
      <c r="B74" s="165">
        <f>SUM(B72:B73)</f>
        <v>124354.79999999999</v>
      </c>
      <c r="C74" s="166">
        <f>D74/B74</f>
        <v>32.228736092535236</v>
      </c>
      <c r="D74" s="169">
        <f>SUM(D72:D73)</f>
        <v>4007798.0310400007</v>
      </c>
      <c r="E74" s="163"/>
      <c r="F74" s="165">
        <f>SUM(F72:F73)</f>
        <v>39486.720000000001</v>
      </c>
      <c r="G74" s="196">
        <f>H74/F74</f>
        <v>34.970564601769915</v>
      </c>
      <c r="H74" s="164">
        <f>SUM(H72:H73)</f>
        <v>1380872.8926720002</v>
      </c>
    </row>
    <row r="75" spans="1:37" ht="14.65" customHeight="1">
      <c r="A75" s="141" t="s">
        <v>163</v>
      </c>
      <c r="B75" s="165">
        <f>H83</f>
        <v>3750</v>
      </c>
      <c r="C75" s="166"/>
      <c r="D75" s="169">
        <f>B75*C74</f>
        <v>120857.76034700713</v>
      </c>
      <c r="E75" s="163"/>
      <c r="F75" s="165">
        <v>0</v>
      </c>
      <c r="G75" s="40"/>
      <c r="H75" s="164">
        <f>F75*G74</f>
        <v>0</v>
      </c>
    </row>
    <row r="76" spans="1:37" ht="14.65" customHeight="1">
      <c r="A76" s="141" t="s">
        <v>164</v>
      </c>
      <c r="B76" s="165">
        <f>B74-B75</f>
        <v>120604.79999999999</v>
      </c>
      <c r="C76" s="166"/>
      <c r="D76" s="169">
        <f>B76*C74</f>
        <v>3886940.2706929934</v>
      </c>
      <c r="E76" s="163"/>
      <c r="F76" s="165">
        <f>F74-F75</f>
        <v>39486.720000000001</v>
      </c>
      <c r="G76" s="196"/>
      <c r="H76" s="197">
        <f>F76*G74</f>
        <v>1380872.8926720002</v>
      </c>
    </row>
    <row r="77" spans="1:37" ht="14.65" customHeight="1" thickBot="1">
      <c r="A77" s="48"/>
      <c r="B77" s="59"/>
      <c r="H77" s="45"/>
    </row>
    <row r="78" spans="1:37" ht="14.65" customHeight="1">
      <c r="A78" s="48" t="str">
        <f>CONCATENATE("Indirect Payroll Cost (IPC) at ",$D$151*100,"% (NIRO)")</f>
        <v>Indirect Payroll Cost (IPC) at 45% (NIRO)</v>
      </c>
      <c r="B78" s="49">
        <f>B66+B68+B70</f>
        <v>82882.8</v>
      </c>
      <c r="C78" s="80">
        <f>D78/B78</f>
        <v>19.658106354167572</v>
      </c>
      <c r="D78" s="204">
        <f>((D66+D68+D70)*$D$151)+((H66+H68+H70)*$D$151)</f>
        <v>1629318.8973312001</v>
      </c>
      <c r="E78" s="1019" t="s">
        <v>300</v>
      </c>
      <c r="F78" s="1019"/>
      <c r="G78" s="1019"/>
      <c r="H78" s="357">
        <f>B61*(1+D151)*H81</f>
        <v>521024.48639999999</v>
      </c>
      <c r="AA78" s="1014" t="s">
        <v>255</v>
      </c>
      <c r="AB78" s="1015"/>
      <c r="AC78" s="1015"/>
      <c r="AD78" s="1015"/>
      <c r="AE78" s="1015"/>
      <c r="AF78" s="1015"/>
      <c r="AG78" s="1015"/>
      <c r="AH78" s="1015"/>
      <c r="AI78" s="1015"/>
      <c r="AJ78" s="1015"/>
      <c r="AK78" s="1016"/>
    </row>
    <row r="79" spans="1:37" ht="14.65" customHeight="1">
      <c r="A79" s="48" t="str">
        <f>CONCATENATE("Indirect Payroll Cost (IPC) at ",$D$151*100,"% (KS)")</f>
        <v>Indirect Payroll Cost (IPC) at 45% (KS)</v>
      </c>
      <c r="B79" s="170">
        <f>B67+B69+B71</f>
        <v>50232</v>
      </c>
      <c r="C79" s="209">
        <f>D79/B79</f>
        <v>18.092247339130434</v>
      </c>
      <c r="D79" s="179">
        <f>((D67+D69+D71)*$D$151)+((H67+H69+H71)*$D$151)</f>
        <v>908809.76833920006</v>
      </c>
      <c r="E79" s="1019" t="s">
        <v>301</v>
      </c>
      <c r="F79" s="1022"/>
      <c r="G79" s="356">
        <v>0.2</v>
      </c>
      <c r="H79" s="292">
        <f>B25*G79*1000</f>
        <v>48000000</v>
      </c>
      <c r="AA79" s="274"/>
      <c r="AB79" s="261"/>
      <c r="AC79" s="261"/>
      <c r="AD79" s="261" t="s">
        <v>159</v>
      </c>
      <c r="AE79" s="278">
        <f>($B$66+$B$68+$B$70+$B$73-$B$75)/$B$25*$B$24</f>
        <v>47501.640000000007</v>
      </c>
      <c r="AF79" s="278">
        <f>($B$66+$B$68+$B$70+$B$73-$B$75)/$B$25*($E$24+$H$24)</f>
        <v>22871.160000000003</v>
      </c>
      <c r="AG79" s="278"/>
      <c r="AH79" s="278">
        <f>SUM(AE79:AF79)</f>
        <v>70372.800000000017</v>
      </c>
      <c r="AI79" s="25"/>
      <c r="AJ79" s="24"/>
      <c r="AK79" s="270"/>
    </row>
    <row r="80" spans="1:37" ht="14.65" customHeight="1">
      <c r="A80" s="176" t="str">
        <f>CONCATENATE("Total IPC at ",$D$151*100,"% (KS)")</f>
        <v>Total IPC at 45% (KS)</v>
      </c>
      <c r="B80" s="49">
        <f>SUM(B78:B79)</f>
        <v>133114.79999999999</v>
      </c>
      <c r="C80" s="80">
        <f>D80/B80</f>
        <v>19.067216159813938</v>
      </c>
      <c r="D80" s="207">
        <f>SUM(D78:D79)</f>
        <v>2538128.6656704</v>
      </c>
      <c r="E80" s="293" t="s">
        <v>158</v>
      </c>
      <c r="F80" s="294" t="s">
        <v>50</v>
      </c>
      <c r="G80" s="294" t="s">
        <v>52</v>
      </c>
      <c r="H80" s="295" t="s">
        <v>53</v>
      </c>
      <c r="AA80" s="274"/>
      <c r="AB80" s="261"/>
      <c r="AC80" s="261"/>
      <c r="AD80" s="261" t="s">
        <v>109</v>
      </c>
      <c r="AE80" s="279">
        <v>0</v>
      </c>
      <c r="AF80" s="279">
        <f>($B$67+$B$69+$B$71)/($E$24+$H$24)*($E$24+$H$24)</f>
        <v>50232</v>
      </c>
      <c r="AG80" s="279"/>
      <c r="AH80" s="279">
        <f>SUM(AE80:AF80)</f>
        <v>50232</v>
      </c>
      <c r="AI80" s="25"/>
      <c r="AJ80" s="24"/>
      <c r="AK80" s="270"/>
    </row>
    <row r="81" spans="1:37" ht="14.65" customHeight="1" thickBot="1">
      <c r="A81" s="176" t="s">
        <v>201</v>
      </c>
      <c r="B81" s="147">
        <f>B73</f>
        <v>-8760</v>
      </c>
      <c r="C81" s="208">
        <f>D81/B81</f>
        <v>12.925456621004566</v>
      </c>
      <c r="D81" s="168">
        <f>ROUND(B81*$B$61*D151,0)</f>
        <v>-113227</v>
      </c>
      <c r="E81" s="298" t="s">
        <v>151</v>
      </c>
      <c r="F81" s="296">
        <f>SUM(F82:F83)</f>
        <v>359327.23200000002</v>
      </c>
      <c r="G81" s="296">
        <f>SUM(G82:G83)</f>
        <v>161697.25440000003</v>
      </c>
      <c r="H81" s="297">
        <f>SUM(H82:H83)</f>
        <v>12510</v>
      </c>
      <c r="AA81" s="271">
        <f>$AI$81*AJ81*$B$24</f>
        <v>926275.51134395867</v>
      </c>
      <c r="AB81" s="272">
        <f>$AI$81*AK81*($E$24+$H$24)</f>
        <v>1425501.6649921818</v>
      </c>
      <c r="AC81" s="272"/>
      <c r="AD81" s="273">
        <f>SUM(AA81:AB81)</f>
        <v>2351777.1763361404</v>
      </c>
      <c r="AE81" s="280">
        <f>SUM(AE79:AE80)</f>
        <v>47501.640000000007</v>
      </c>
      <c r="AF81" s="280">
        <f>SUM(AF79:AF80)</f>
        <v>73103.16</v>
      </c>
      <c r="AG81" s="280"/>
      <c r="AH81" s="280">
        <f>SUM(AH79:AH80)</f>
        <v>120604.80000000002</v>
      </c>
      <c r="AI81" s="277">
        <f>$AI$16</f>
        <v>19.499863822469258</v>
      </c>
      <c r="AJ81" s="275">
        <f>AE81/$B$24</f>
        <v>0.29322000000000004</v>
      </c>
      <c r="AK81" s="276">
        <f>AF81/($E$24+$H$24)</f>
        <v>0.93722000000000005</v>
      </c>
    </row>
    <row r="82" spans="1:37" ht="14.65" customHeight="1">
      <c r="A82" s="176" t="s">
        <v>165</v>
      </c>
      <c r="B82" s="165">
        <f>SUM(B80:B81)</f>
        <v>124354.79999999999</v>
      </c>
      <c r="C82" s="166">
        <f>D82/B82</f>
        <v>19.499863822469258</v>
      </c>
      <c r="D82" s="169">
        <f>SUM(D80:D81)</f>
        <v>2424901.6656704</v>
      </c>
      <c r="E82" s="298" t="s">
        <v>54</v>
      </c>
      <c r="F82" s="296">
        <f>$H82*$B$61</f>
        <v>251615.23200000002</v>
      </c>
      <c r="G82" s="296">
        <f>$H82*$B$61*$D$151</f>
        <v>113226.85440000001</v>
      </c>
      <c r="H82" s="297">
        <f>1*365*24</f>
        <v>8760</v>
      </c>
    </row>
    <row r="83" spans="1:37" ht="14.65" customHeight="1">
      <c r="A83" s="141" t="s">
        <v>166</v>
      </c>
      <c r="B83" s="165">
        <f>H83</f>
        <v>3750</v>
      </c>
      <c r="C83" s="166"/>
      <c r="D83" s="169">
        <f>B83*C82</f>
        <v>73124.489334259721</v>
      </c>
      <c r="E83" s="298" t="s">
        <v>55</v>
      </c>
      <c r="F83" s="296">
        <f>$H83*$B$61</f>
        <v>107712.00000000001</v>
      </c>
      <c r="G83" s="296">
        <f>$H83*$B$61*$D$151</f>
        <v>48470.400000000009</v>
      </c>
      <c r="H83" s="297">
        <f>H79/12800</f>
        <v>3750</v>
      </c>
    </row>
    <row r="84" spans="1:37" ht="14.65" customHeight="1">
      <c r="A84" s="141" t="s">
        <v>167</v>
      </c>
      <c r="B84" s="165">
        <f>B82-B83</f>
        <v>120604.79999999999</v>
      </c>
      <c r="C84" s="196"/>
      <c r="D84" s="169">
        <f>B84*C82</f>
        <v>2351777.1763361404</v>
      </c>
      <c r="E84" s="26"/>
      <c r="F84" s="26"/>
      <c r="G84" s="26"/>
      <c r="H84" s="77"/>
    </row>
    <row r="85" spans="1:37" ht="14.65" customHeight="1">
      <c r="A85" s="48"/>
      <c r="B85" s="26"/>
      <c r="C85" s="26"/>
      <c r="D85" s="299"/>
      <c r="E85" s="1009" t="s">
        <v>186</v>
      </c>
      <c r="F85" s="1009"/>
      <c r="G85" s="1009" t="s">
        <v>259</v>
      </c>
      <c r="H85" s="1010"/>
    </row>
    <row r="86" spans="1:37" ht="14.65" customHeight="1">
      <c r="A86" s="48"/>
      <c r="B86" s="26"/>
      <c r="C86" s="26"/>
      <c r="D86" s="299"/>
      <c r="E86" s="199" t="s">
        <v>53</v>
      </c>
      <c r="F86" s="199" t="s">
        <v>273</v>
      </c>
      <c r="G86" s="199" t="s">
        <v>53</v>
      </c>
      <c r="H86" s="305" t="s">
        <v>273</v>
      </c>
    </row>
    <row r="87" spans="1:37" ht="14.65" customHeight="1">
      <c r="A87" s="48" t="s">
        <v>274</v>
      </c>
      <c r="B87" s="26"/>
      <c r="C87" s="26"/>
      <c r="D87" s="299"/>
      <c r="E87" s="49">
        <f>IF(AND($B$130&lt;&gt;0,$C$130&lt;&gt;0),$B$76/$D$130*$B$130,IF(AND($B$130&lt;&gt;0,$C$130=0),$B$76,0))</f>
        <v>81408.239999999991</v>
      </c>
      <c r="F87" s="102">
        <f>E87*$C$74</f>
        <v>2623684.6827177703</v>
      </c>
      <c r="G87" s="49">
        <f>IF(AND($B$130&lt;&gt;0,$C$130&lt;&gt;0),$B$76/$D$130*$C$130,IF(AND($B$130=0,$C$130&lt;&gt;0),$B$76,0))</f>
        <v>39196.559999999998</v>
      </c>
      <c r="H87" s="303">
        <f>G87*$C$74</f>
        <v>1263255.5879752229</v>
      </c>
    </row>
    <row r="88" spans="1:37" ht="14.65" customHeight="1">
      <c r="A88" s="48" t="s">
        <v>275</v>
      </c>
      <c r="B88" s="26"/>
      <c r="C88" s="26"/>
      <c r="D88" s="299"/>
      <c r="E88" s="49">
        <f>IF(AND($B$130&lt;&gt;0,$C$130&lt;&gt;0),$F$76/$D$130*$B$130,IF(AND($B$130&lt;&gt;0,$C$130=0),$F$76,0))</f>
        <v>26653.536</v>
      </c>
      <c r="F88" s="102">
        <f>E88*$G$74</f>
        <v>932089.20255360007</v>
      </c>
      <c r="G88" s="49">
        <f>IF(AND($B$130&lt;&gt;0,$C$130&lt;&gt;0),$F$76/$D$130*$C$130,IF(AND($B$130=0,$C$130&lt;&gt;0),$F$76,0))</f>
        <v>12833.184000000001</v>
      </c>
      <c r="H88" s="303">
        <f>G88*$G$74</f>
        <v>448783.69011840009</v>
      </c>
    </row>
    <row r="89" spans="1:37" ht="14.65" customHeight="1">
      <c r="A89" s="112" t="s">
        <v>276</v>
      </c>
      <c r="B89" s="113"/>
      <c r="C89" s="113"/>
      <c r="D89" s="300"/>
      <c r="E89" s="170">
        <f>(E87+E88)/($B$76+$F$76)*$B$84</f>
        <v>81408.239999999991</v>
      </c>
      <c r="F89" s="302">
        <f>E89*$C$82</f>
        <v>1587449.5940268945</v>
      </c>
      <c r="G89" s="170">
        <f>(G87+G88)/($B$76+$F$76)*$B$84</f>
        <v>39196.559999999998</v>
      </c>
      <c r="H89" s="304">
        <f>G89*$C$82</f>
        <v>764327.5823092456</v>
      </c>
    </row>
    <row r="90" spans="1:37" ht="14.65" customHeight="1">
      <c r="D90" s="92"/>
      <c r="H90" s="92"/>
    </row>
    <row r="91" spans="1:37" ht="14.65" customHeight="1"/>
    <row r="92" spans="1:37" ht="14.65" customHeight="1">
      <c r="A92" s="82" t="s">
        <v>56</v>
      </c>
      <c r="B92" s="93"/>
      <c r="C92" s="93"/>
      <c r="D92" s="94"/>
      <c r="E92" s="94"/>
      <c r="F92" s="93"/>
      <c r="G92" s="93"/>
      <c r="H92" s="95"/>
    </row>
    <row r="93" spans="1:37" ht="15">
      <c r="A93" s="48"/>
      <c r="B93" s="147" t="s">
        <v>8</v>
      </c>
      <c r="C93" s="213" t="s">
        <v>207</v>
      </c>
      <c r="D93" s="213" t="s">
        <v>213</v>
      </c>
      <c r="F93" s="147" t="s">
        <v>5</v>
      </c>
      <c r="G93" s="213" t="s">
        <v>6</v>
      </c>
      <c r="H93" s="214" t="s">
        <v>214</v>
      </c>
    </row>
    <row r="94" spans="1:37" ht="15">
      <c r="A94" s="48"/>
      <c r="B94" s="49" t="s">
        <v>202</v>
      </c>
      <c r="C94" s="49">
        <f>IF(($B$107*$B$24+$F$107*$E$24+$F$107*$H$24)*1000&lt;=480000,($B$107*$B$24+$F$107*$E$24+$F$107*$H$24)*1000,480000)</f>
        <v>480000</v>
      </c>
      <c r="D94" s="347">
        <v>5.1124999999999998</v>
      </c>
      <c r="F94" s="49" t="s">
        <v>159</v>
      </c>
      <c r="G94" s="49">
        <f>(B100*$B$24+F100*$E$24+F100*$H$24)*1000</f>
        <v>15360000</v>
      </c>
      <c r="H94" s="349">
        <v>0.1</v>
      </c>
    </row>
    <row r="95" spans="1:37" ht="16.5">
      <c r="A95" s="48"/>
      <c r="B95" s="49" t="s">
        <v>203</v>
      </c>
      <c r="C95" s="147">
        <f>IF(C94&gt;=480000,(((B104+B105+B106)*$B$24*1000)+((F104+F105+F106)*($E$24+$H$24)*1000))-480000,0)</f>
        <v>419880.00000000012</v>
      </c>
      <c r="D95" s="347">
        <v>3.0468000000000002</v>
      </c>
      <c r="F95" s="49" t="s">
        <v>109</v>
      </c>
      <c r="G95" s="147">
        <f>(B101*$B$24+F101*$E$24+F101*$H$24)*1000</f>
        <v>53695200.000000007</v>
      </c>
      <c r="H95" s="349">
        <v>6.5000000000000002E-2</v>
      </c>
    </row>
    <row r="96" spans="1:37">
      <c r="A96" s="48"/>
      <c r="B96" s="49"/>
      <c r="C96" s="49">
        <f>SUM(C94:C95)</f>
        <v>899880.00000000012</v>
      </c>
      <c r="D96" s="80">
        <f>(C94*D94+C95*D95)/C96</f>
        <v>4.1486535804773972</v>
      </c>
      <c r="F96" s="49"/>
      <c r="G96" s="49">
        <f>SUM(G94:G95)</f>
        <v>69055200</v>
      </c>
      <c r="H96" s="173">
        <f>(G94*H94+G95*H95)/G96</f>
        <v>7.2785076286796646E-2</v>
      </c>
    </row>
    <row r="97" spans="1:36">
      <c r="A97" s="43"/>
      <c r="C97" s="359"/>
      <c r="G97" s="359"/>
      <c r="H97" s="96"/>
    </row>
    <row r="98" spans="1:36">
      <c r="A98" s="48"/>
      <c r="B98" s="1023" t="s">
        <v>194</v>
      </c>
      <c r="C98" s="1023"/>
      <c r="D98" s="1023"/>
      <c r="F98" s="1023" t="s">
        <v>285</v>
      </c>
      <c r="G98" s="1023"/>
      <c r="H98" s="1024"/>
    </row>
    <row r="99" spans="1:36" ht="26.25">
      <c r="A99" s="48"/>
      <c r="B99" s="97" t="s">
        <v>152</v>
      </c>
      <c r="C99" s="13" t="s">
        <v>215</v>
      </c>
      <c r="D99" s="97" t="s">
        <v>153</v>
      </c>
      <c r="F99" s="97" t="s">
        <v>152</v>
      </c>
      <c r="G99" s="13" t="s">
        <v>215</v>
      </c>
      <c r="H99" s="101" t="s">
        <v>153</v>
      </c>
      <c r="Y99"/>
      <c r="Z99"/>
      <c r="AA99"/>
      <c r="AB99"/>
      <c r="AC99"/>
      <c r="AD99"/>
      <c r="AE99" s="136"/>
    </row>
    <row r="100" spans="1:36" ht="15">
      <c r="A100" s="48" t="s">
        <v>204</v>
      </c>
      <c r="B100" s="350">
        <f>0.064</f>
        <v>6.4000000000000001E-2</v>
      </c>
      <c r="C100" s="172">
        <f>$H$96</f>
        <v>7.2785076286796646E-2</v>
      </c>
      <c r="D100" s="174">
        <f>B100*C100</f>
        <v>4.6582448823549857E-3</v>
      </c>
      <c r="F100" s="350">
        <f>0.064</f>
        <v>6.4000000000000001E-2</v>
      </c>
      <c r="G100" s="172">
        <f>$H$96</f>
        <v>7.2785076286796646E-2</v>
      </c>
      <c r="H100" s="175">
        <f>F100*G100</f>
        <v>4.6582448823549857E-3</v>
      </c>
      <c r="W100" s="97"/>
      <c r="Y100"/>
      <c r="Z100"/>
      <c r="AA100"/>
      <c r="AB100"/>
      <c r="AC100"/>
      <c r="AD100"/>
      <c r="AE100" s="136"/>
    </row>
    <row r="101" spans="1:36" ht="15">
      <c r="A101" s="48" t="s">
        <v>205</v>
      </c>
      <c r="B101" s="350">
        <v>0</v>
      </c>
      <c r="C101" s="172">
        <f>$H$96</f>
        <v>7.2785076286796646E-2</v>
      </c>
      <c r="D101" s="174">
        <f>B101*C101</f>
        <v>0</v>
      </c>
      <c r="F101" s="350">
        <f>0.6884</f>
        <v>0.68840000000000001</v>
      </c>
      <c r="G101" s="172">
        <f>$H$96</f>
        <v>7.2785076286796646E-2</v>
      </c>
      <c r="H101" s="175">
        <f>F101*G101</f>
        <v>5.0105246515830815E-2</v>
      </c>
      <c r="W101" s="266"/>
      <c r="Y101"/>
      <c r="Z101"/>
      <c r="AA101"/>
      <c r="AB101"/>
      <c r="AC101"/>
      <c r="AD101"/>
      <c r="AE101" s="136"/>
      <c r="AJ101" s="158"/>
    </row>
    <row r="102" spans="1:36" ht="15">
      <c r="A102" s="176" t="s">
        <v>210</v>
      </c>
      <c r="B102" s="222">
        <f>SUM(B100:B101)</f>
        <v>6.4000000000000001E-2</v>
      </c>
      <c r="C102" s="223">
        <f>D102/B102</f>
        <v>7.2785076286796646E-2</v>
      </c>
      <c r="D102" s="224">
        <f>SUM(D100:D101)</f>
        <v>4.6582448823549857E-3</v>
      </c>
      <c r="F102" s="222">
        <f>SUM(F100:F101)</f>
        <v>0.75239999999999996</v>
      </c>
      <c r="G102" s="223">
        <f>H102/F102</f>
        <v>7.278507628679666E-2</v>
      </c>
      <c r="H102" s="225">
        <f>SUM(H100:H101)</f>
        <v>5.4763491398185801E-2</v>
      </c>
      <c r="W102" s="266"/>
      <c r="Y102"/>
      <c r="Z102"/>
      <c r="AA102"/>
      <c r="AB102"/>
      <c r="AC102"/>
      <c r="AD102"/>
      <c r="AE102" s="136"/>
      <c r="AJ102" s="158"/>
    </row>
    <row r="103" spans="1:36" ht="15">
      <c r="A103" s="176"/>
      <c r="B103" s="217"/>
      <c r="C103" s="221"/>
      <c r="D103" s="174"/>
      <c r="F103" s="217"/>
      <c r="G103" s="221"/>
      <c r="H103" s="175"/>
      <c r="W103" s="266"/>
      <c r="Y103"/>
      <c r="Z103"/>
      <c r="AA103"/>
      <c r="AB103"/>
      <c r="AC103"/>
      <c r="AD103"/>
      <c r="AE103" s="136"/>
    </row>
    <row r="104" spans="1:36" ht="15">
      <c r="A104" s="48" t="s">
        <v>208</v>
      </c>
      <c r="B104" s="350">
        <v>2.1900000000000001E-3</v>
      </c>
      <c r="C104" s="212">
        <f>$D$96</f>
        <v>4.1486535804773972</v>
      </c>
      <c r="D104" s="174">
        <f>B104*C104</f>
        <v>9.0855513412454996E-3</v>
      </c>
      <c r="F104" s="350">
        <v>2.1900000000000001E-3</v>
      </c>
      <c r="G104" s="212">
        <f>$D$96</f>
        <v>4.1486535804773972</v>
      </c>
      <c r="H104" s="175">
        <f>F104*G104</f>
        <v>9.0855513412454996E-3</v>
      </c>
      <c r="W104" s="266"/>
      <c r="Y104"/>
      <c r="Z104"/>
      <c r="AA104"/>
      <c r="AB104"/>
      <c r="AC104"/>
      <c r="AD104"/>
      <c r="AE104" s="136"/>
    </row>
    <row r="105" spans="1:36" ht="15">
      <c r="A105" s="48" t="s">
        <v>206</v>
      </c>
      <c r="B105" s="350">
        <v>2.1900000000000001E-3</v>
      </c>
      <c r="C105" s="212">
        <f>$D$96</f>
        <v>4.1486535804773972</v>
      </c>
      <c r="D105" s="174">
        <f>B105*C105</f>
        <v>9.0855513412454996E-3</v>
      </c>
      <c r="F105" s="350">
        <v>0</v>
      </c>
      <c r="G105" s="212">
        <f>$D$96</f>
        <v>4.1486535804773972</v>
      </c>
      <c r="H105" s="175">
        <f>F105*G105</f>
        <v>0</v>
      </c>
      <c r="Y105"/>
      <c r="Z105"/>
      <c r="AA105"/>
      <c r="AB105"/>
      <c r="AC105"/>
      <c r="AD105"/>
      <c r="AE105" s="136"/>
    </row>
    <row r="106" spans="1:36" ht="15">
      <c r="A106" s="48" t="s">
        <v>209</v>
      </c>
      <c r="B106" s="350">
        <v>0</v>
      </c>
      <c r="C106" s="212">
        <f>$D$96</f>
        <v>4.1486535804773972</v>
      </c>
      <c r="D106" s="219">
        <f>B106*C106</f>
        <v>0</v>
      </c>
      <c r="F106" s="350">
        <v>2.5000000000000001E-4</v>
      </c>
      <c r="G106" s="212">
        <f>$D$96</f>
        <v>4.1486535804773972</v>
      </c>
      <c r="H106" s="220">
        <f>F106*G106</f>
        <v>1.0371633951193494E-3</v>
      </c>
      <c r="Y106"/>
      <c r="Z106"/>
      <c r="AA106"/>
      <c r="AB106"/>
      <c r="AC106"/>
      <c r="AD106"/>
      <c r="AE106" s="136"/>
    </row>
    <row r="107" spans="1:36" ht="15">
      <c r="A107" s="176" t="s">
        <v>211</v>
      </c>
      <c r="B107" s="228">
        <f>SUM(B104:B106)</f>
        <v>4.3800000000000002E-3</v>
      </c>
      <c r="C107" s="229">
        <f>D107/B107</f>
        <v>4.1486535804773972</v>
      </c>
      <c r="D107" s="226">
        <f>SUM(D104:D106)</f>
        <v>1.8171102682490999E-2</v>
      </c>
      <c r="F107" s="222">
        <f>SUM(F104:F106)</f>
        <v>2.4400000000000003E-3</v>
      </c>
      <c r="G107" s="229">
        <f>H107/F107</f>
        <v>4.1486535804773963</v>
      </c>
      <c r="H107" s="227">
        <f>SUM(H104:H106)</f>
        <v>1.0122714736364849E-2</v>
      </c>
      <c r="Y107"/>
      <c r="Z107"/>
      <c r="AA107"/>
      <c r="AB107"/>
      <c r="AC107"/>
      <c r="AD107"/>
      <c r="AE107" s="136"/>
    </row>
    <row r="108" spans="1:36" ht="15">
      <c r="A108" s="176"/>
      <c r="B108" s="124"/>
      <c r="C108" s="212"/>
      <c r="D108" s="230"/>
      <c r="F108" s="217"/>
      <c r="G108" s="212"/>
      <c r="H108" s="231"/>
      <c r="Y108"/>
      <c r="Z108"/>
      <c r="AA108"/>
      <c r="AB108"/>
      <c r="AC108"/>
      <c r="AD108"/>
      <c r="AE108" s="136"/>
    </row>
    <row r="109" spans="1:36" ht="15.75" thickBot="1">
      <c r="A109" s="141" t="s">
        <v>212</v>
      </c>
      <c r="B109" s="218"/>
      <c r="C109" s="13"/>
      <c r="D109" s="232">
        <f>D102+D107</f>
        <v>2.2829347564845986E-2</v>
      </c>
      <c r="F109" s="218"/>
      <c r="G109" s="13"/>
      <c r="H109" s="233">
        <f>H102+H107</f>
        <v>6.488620613455065E-2</v>
      </c>
      <c r="Y109"/>
      <c r="Z109"/>
      <c r="AA109"/>
      <c r="AB109"/>
      <c r="AC109"/>
      <c r="AD109"/>
      <c r="AE109" s="136"/>
    </row>
    <row r="110" spans="1:36" ht="15">
      <c r="A110" s="99"/>
      <c r="B110" s="72"/>
      <c r="C110" s="72"/>
      <c r="D110" s="72"/>
      <c r="E110" s="72"/>
      <c r="F110" s="72"/>
      <c r="G110" s="72"/>
      <c r="H110" s="75"/>
      <c r="Y110"/>
      <c r="Z110"/>
      <c r="AA110"/>
      <c r="AB110"/>
      <c r="AC110"/>
      <c r="AD110"/>
      <c r="AE110" s="136"/>
    </row>
    <row r="111" spans="1:36" ht="15">
      <c r="Y111"/>
      <c r="Z111"/>
      <c r="AA111"/>
      <c r="AB111"/>
      <c r="AC111"/>
      <c r="AD111"/>
      <c r="AE111" s="136"/>
    </row>
    <row r="112" spans="1:36" ht="15">
      <c r="G112" s="100"/>
      <c r="Y112"/>
      <c r="Z112"/>
      <c r="AA112"/>
      <c r="AB112"/>
      <c r="AC112"/>
      <c r="AD112"/>
      <c r="AE112" s="136"/>
    </row>
    <row r="113" spans="1:36" ht="15">
      <c r="A113" s="82" t="s">
        <v>218</v>
      </c>
      <c r="B113" s="93"/>
      <c r="C113" s="93"/>
      <c r="D113" s="93"/>
      <c r="E113" s="93"/>
      <c r="F113" s="93"/>
      <c r="G113" s="93"/>
      <c r="H113" s="148"/>
      <c r="Y113"/>
      <c r="Z113"/>
      <c r="AA113"/>
      <c r="AB113"/>
      <c r="AC113"/>
      <c r="AD113"/>
      <c r="AE113" s="136"/>
    </row>
    <row r="114" spans="1:36" ht="16.5">
      <c r="A114" s="48"/>
      <c r="B114" s="147" t="s">
        <v>107</v>
      </c>
      <c r="C114" s="147" t="s">
        <v>220</v>
      </c>
      <c r="D114" s="147" t="s">
        <v>219</v>
      </c>
      <c r="E114" s="26"/>
      <c r="F114" s="26"/>
      <c r="G114" s="26"/>
      <c r="H114" s="77"/>
      <c r="Y114"/>
      <c r="Z114"/>
      <c r="AA114"/>
      <c r="AB114"/>
      <c r="AC114"/>
      <c r="AD114"/>
      <c r="AE114" s="136"/>
    </row>
    <row r="115" spans="1:36" ht="30">
      <c r="A115" s="48" t="s">
        <v>57</v>
      </c>
      <c r="B115" s="87">
        <f>SUM(C115:D115)</f>
        <v>104400000</v>
      </c>
      <c r="C115" s="87">
        <f>37300000+20000000</f>
        <v>57300000</v>
      </c>
      <c r="D115" s="87">
        <f>47100000</f>
        <v>47100000</v>
      </c>
      <c r="E115" s="1009" t="s">
        <v>277</v>
      </c>
      <c r="F115" s="1009"/>
      <c r="G115" s="199" t="s">
        <v>3</v>
      </c>
      <c r="H115" s="308" t="s">
        <v>69</v>
      </c>
      <c r="Y115"/>
      <c r="Z115"/>
      <c r="AA115"/>
      <c r="AB115"/>
      <c r="AC115"/>
      <c r="AD115"/>
      <c r="AE115" s="136"/>
    </row>
    <row r="116" spans="1:36" ht="16.5">
      <c r="A116" s="48" t="s">
        <v>58</v>
      </c>
      <c r="B116" s="343">
        <v>2.2030649999999999E-2</v>
      </c>
      <c r="E116" s="306" t="s">
        <v>186</v>
      </c>
      <c r="F116" s="306" t="s">
        <v>259</v>
      </c>
      <c r="H116" s="45"/>
      <c r="Y116"/>
      <c r="Z116"/>
      <c r="AA116" s="260" t="s">
        <v>398</v>
      </c>
      <c r="AD116"/>
      <c r="AE116" s="234"/>
    </row>
    <row r="117" spans="1:36" ht="16.5">
      <c r="A117" s="48" t="s">
        <v>59</v>
      </c>
      <c r="B117" s="26"/>
      <c r="C117" s="26"/>
      <c r="D117" s="26"/>
      <c r="E117" s="102">
        <f>($C$115/$B$25*$B$24)*$B$116</f>
        <v>852090.46537499991</v>
      </c>
      <c r="F117" s="102">
        <f>($C$115/$B$25*($E$24+$H$24)+D115)*$B$116</f>
        <v>1447909.394625</v>
      </c>
      <c r="G117" s="358">
        <f>SUM(E117:F117)</f>
        <v>2299999.86</v>
      </c>
      <c r="H117" s="103">
        <f>G117/(B$25*1000)</f>
        <v>9.5833327499999996E-3</v>
      </c>
      <c r="R117" s="240"/>
      <c r="S117" s="240"/>
      <c r="T117" s="261">
        <f t="shared" ref="T117:T125" si="49">ROUND($T$11*$Z117,0)</f>
        <v>21549</v>
      </c>
      <c r="W117" s="265"/>
      <c r="X117" s="20" t="s">
        <v>235</v>
      </c>
      <c r="Y117" s="128">
        <v>631040</v>
      </c>
      <c r="Z117" s="138">
        <f t="shared" ref="Z117:Z125" si="50">AA117/$AA$126</f>
        <v>2.8732014048368993E-2</v>
      </c>
      <c r="AA117" s="143">
        <v>30387.07</v>
      </c>
      <c r="AB117" s="136"/>
      <c r="AC117" s="136"/>
      <c r="AI117" s="236"/>
      <c r="AJ117" s="236"/>
    </row>
    <row r="118" spans="1:36" ht="15">
      <c r="A118" s="48"/>
      <c r="B118" s="26"/>
      <c r="C118" s="26"/>
      <c r="D118" s="26"/>
      <c r="E118" s="307">
        <f>E117/B24/1000</f>
        <v>5.2598176874999987E-3</v>
      </c>
      <c r="F118" s="307">
        <f>F117/($E$24+$H$24)/1000</f>
        <v>1.8562940956730771E-2</v>
      </c>
      <c r="G118" s="11"/>
      <c r="H118" s="77"/>
      <c r="R118" s="240"/>
      <c r="S118" s="240"/>
      <c r="T118" s="261">
        <f t="shared" si="49"/>
        <v>23088</v>
      </c>
      <c r="W118" s="265"/>
      <c r="X118" s="20" t="s">
        <v>236</v>
      </c>
      <c r="Y118" s="128">
        <v>631060</v>
      </c>
      <c r="Z118" s="138">
        <f t="shared" si="50"/>
        <v>3.0784541877331692E-2</v>
      </c>
      <c r="AA118" s="143">
        <v>32557.83</v>
      </c>
      <c r="AB118" s="136"/>
      <c r="AC118" s="136"/>
      <c r="AI118" s="235"/>
      <c r="AJ118" s="235"/>
    </row>
    <row r="119" spans="1:36" ht="15">
      <c r="A119" s="48" t="s">
        <v>172</v>
      </c>
      <c r="B119" s="26"/>
      <c r="C119" s="26"/>
      <c r="D119" s="26"/>
      <c r="E119" s="26"/>
      <c r="F119" s="104"/>
      <c r="G119" s="26"/>
      <c r="H119" s="77"/>
      <c r="R119" s="240"/>
      <c r="S119" s="240"/>
      <c r="T119" s="261">
        <f t="shared" si="49"/>
        <v>0</v>
      </c>
      <c r="W119" s="265"/>
      <c r="X119" s="20" t="s">
        <v>237</v>
      </c>
      <c r="Y119" s="128">
        <v>631900</v>
      </c>
      <c r="Z119" s="138">
        <f t="shared" si="50"/>
        <v>0</v>
      </c>
      <c r="AA119" s="143">
        <v>0</v>
      </c>
      <c r="AB119" s="136"/>
      <c r="AC119" s="136"/>
      <c r="AI119" s="235"/>
      <c r="AJ119" s="235"/>
    </row>
    <row r="120" spans="1:36" ht="15">
      <c r="A120" s="48" t="s">
        <v>60</v>
      </c>
      <c r="B120" s="26"/>
      <c r="C120" s="26"/>
      <c r="D120" s="26"/>
      <c r="E120" s="26"/>
      <c r="F120" s="26"/>
      <c r="G120" s="26"/>
      <c r="H120" s="77"/>
      <c r="R120" s="240"/>
      <c r="S120" s="240"/>
      <c r="T120" s="261">
        <f t="shared" si="49"/>
        <v>68702</v>
      </c>
      <c r="W120" s="265"/>
      <c r="X120" s="20" t="s">
        <v>238</v>
      </c>
      <c r="Y120" s="128">
        <v>630020</v>
      </c>
      <c r="Z120" s="138">
        <f t="shared" si="50"/>
        <v>9.1602521626258315E-2</v>
      </c>
      <c r="AA120" s="143">
        <v>96879.12</v>
      </c>
      <c r="AB120" s="136"/>
      <c r="AC120" s="136"/>
      <c r="AI120" s="235"/>
      <c r="AJ120" s="235"/>
    </row>
    <row r="121" spans="1:36" ht="16.5">
      <c r="A121" s="48" t="s">
        <v>61</v>
      </c>
      <c r="B121" s="26"/>
      <c r="C121" s="26"/>
      <c r="D121" s="26"/>
      <c r="E121" s="26"/>
      <c r="F121" s="26"/>
      <c r="G121" s="348">
        <v>200000</v>
      </c>
      <c r="H121" s="103">
        <f>G121/(B$25*1000)</f>
        <v>8.3333333333333339E-4</v>
      </c>
      <c r="R121" s="240"/>
      <c r="S121" s="240"/>
      <c r="T121" s="261">
        <f t="shared" si="49"/>
        <v>0</v>
      </c>
      <c r="W121" s="265"/>
      <c r="X121" s="20" t="s">
        <v>239</v>
      </c>
      <c r="Y121" s="128">
        <v>630030</v>
      </c>
      <c r="Z121" s="138">
        <f t="shared" si="50"/>
        <v>0</v>
      </c>
      <c r="AA121" s="143">
        <v>0</v>
      </c>
      <c r="AB121" s="136"/>
      <c r="AC121" s="136"/>
      <c r="AI121" s="235"/>
      <c r="AJ121" s="235"/>
    </row>
    <row r="122" spans="1:36" ht="15">
      <c r="A122" s="48"/>
      <c r="B122" s="26"/>
      <c r="C122" s="26"/>
      <c r="D122" s="26"/>
      <c r="E122" s="26"/>
      <c r="F122" s="26"/>
      <c r="G122" s="26"/>
      <c r="H122" s="77"/>
      <c r="R122" s="240"/>
      <c r="S122" s="240"/>
      <c r="T122" s="261">
        <f t="shared" si="49"/>
        <v>93843</v>
      </c>
      <c r="W122" s="265"/>
      <c r="X122" s="20" t="s">
        <v>240</v>
      </c>
      <c r="Y122" s="128">
        <v>630070</v>
      </c>
      <c r="Z122" s="138">
        <f t="shared" si="50"/>
        <v>0.12512342057966541</v>
      </c>
      <c r="AA122" s="143">
        <v>132330.93</v>
      </c>
      <c r="AB122" s="136"/>
      <c r="AC122" s="136"/>
      <c r="AI122" s="235"/>
      <c r="AJ122" s="235"/>
    </row>
    <row r="123" spans="1:36" ht="15">
      <c r="A123" s="48" t="s">
        <v>62</v>
      </c>
      <c r="B123" s="26"/>
      <c r="C123" s="26"/>
      <c r="D123" s="26"/>
      <c r="E123" s="26"/>
      <c r="F123" s="26"/>
      <c r="G123" s="26"/>
      <c r="H123" s="77"/>
      <c r="R123" s="240"/>
      <c r="S123" s="240"/>
      <c r="T123" s="261">
        <f t="shared" si="49"/>
        <v>459068</v>
      </c>
      <c r="W123" s="265"/>
      <c r="X123" s="20" t="s">
        <v>241</v>
      </c>
      <c r="Y123" s="128">
        <v>630080</v>
      </c>
      <c r="Z123" s="138">
        <f t="shared" si="50"/>
        <v>0.61209054586824252</v>
      </c>
      <c r="AA123" s="143">
        <v>647348.92000000004</v>
      </c>
      <c r="AB123" s="136"/>
      <c r="AC123" s="136"/>
      <c r="AI123" s="235"/>
      <c r="AJ123" s="235"/>
    </row>
    <row r="124" spans="1:36" ht="16.5">
      <c r="A124" s="48" t="s">
        <v>63</v>
      </c>
      <c r="B124" s="26"/>
      <c r="C124" s="26"/>
      <c r="D124" s="26"/>
      <c r="E124" s="26"/>
      <c r="F124" s="26"/>
      <c r="G124" s="348">
        <v>750000</v>
      </c>
      <c r="H124" s="103">
        <f>G124/(B$25*1000)</f>
        <v>3.1250000000000002E-3</v>
      </c>
      <c r="R124" s="240"/>
      <c r="S124" s="240"/>
      <c r="T124" s="261">
        <f t="shared" si="49"/>
        <v>83750</v>
      </c>
      <c r="W124" s="265"/>
      <c r="X124" s="20" t="s">
        <v>242</v>
      </c>
      <c r="Y124" s="128">
        <v>633000</v>
      </c>
      <c r="Z124" s="138">
        <f t="shared" si="50"/>
        <v>0.11166695600013314</v>
      </c>
      <c r="AA124" s="143">
        <v>118099.33</v>
      </c>
      <c r="AB124" s="136"/>
      <c r="AC124" s="136"/>
      <c r="AI124" s="235"/>
      <c r="AJ124" s="235"/>
    </row>
    <row r="125" spans="1:36" ht="17.25">
      <c r="A125" s="99"/>
      <c r="B125" s="72"/>
      <c r="C125" s="105"/>
      <c r="D125" s="72"/>
      <c r="E125" s="72"/>
      <c r="F125" s="72"/>
      <c r="G125" s="72"/>
      <c r="H125" s="75"/>
      <c r="R125" s="240"/>
      <c r="S125" s="240"/>
      <c r="T125" s="262">
        <f t="shared" si="49"/>
        <v>0</v>
      </c>
      <c r="W125" s="265"/>
      <c r="X125" s="20" t="s">
        <v>243</v>
      </c>
      <c r="Y125" s="128">
        <v>660000</v>
      </c>
      <c r="Z125" s="258">
        <f t="shared" si="50"/>
        <v>0</v>
      </c>
      <c r="AA125" s="161">
        <v>0</v>
      </c>
      <c r="AB125" s="136"/>
      <c r="AC125" s="136"/>
      <c r="AI125" s="235"/>
      <c r="AJ125" s="235"/>
    </row>
    <row r="126" spans="1:36" ht="15">
      <c r="R126" s="160"/>
      <c r="S126" s="160"/>
      <c r="T126" s="264">
        <f>SUM(T117:T125)</f>
        <v>750000</v>
      </c>
      <c r="W126" s="256" t="s">
        <v>12</v>
      </c>
      <c r="X126" s="130" t="s">
        <v>17</v>
      </c>
      <c r="Y126" s="257" t="s">
        <v>107</v>
      </c>
      <c r="Z126" s="138">
        <f>SUM(Z117:Z125)</f>
        <v>1</v>
      </c>
      <c r="AA126" s="259">
        <f>SUM(AA117:AA125)</f>
        <v>1057603.2</v>
      </c>
      <c r="AE126" s="137"/>
    </row>
    <row r="128" spans="1:36">
      <c r="A128" s="82" t="s">
        <v>64</v>
      </c>
      <c r="B128" s="1012" t="s">
        <v>65</v>
      </c>
      <c r="C128" s="1012"/>
      <c r="D128" s="1012"/>
      <c r="E128" s="1012"/>
      <c r="F128" s="1012"/>
      <c r="G128" s="1012"/>
      <c r="H128" s="1013"/>
    </row>
    <row r="129" spans="1:36" ht="14.65" customHeight="1">
      <c r="A129" s="48"/>
      <c r="B129" s="199" t="s">
        <v>159</v>
      </c>
      <c r="C129" s="199" t="s">
        <v>109</v>
      </c>
      <c r="D129" s="199" t="s">
        <v>107</v>
      </c>
      <c r="E129" s="26"/>
      <c r="F129" s="26"/>
      <c r="G129" s="26"/>
      <c r="H129" s="77"/>
      <c r="AA129" s="1007" t="s">
        <v>398</v>
      </c>
      <c r="AB129" s="1007"/>
    </row>
    <row r="130" spans="1:36" ht="14.65" customHeight="1">
      <c r="A130" s="48" t="s">
        <v>262</v>
      </c>
      <c r="B130" s="207">
        <f>B30+B31</f>
        <v>162000</v>
      </c>
      <c r="C130" s="207">
        <f>B32+B33</f>
        <v>78000</v>
      </c>
      <c r="D130" s="207">
        <f>SUM(B130:C130)</f>
        <v>240000</v>
      </c>
      <c r="E130" s="26"/>
      <c r="F130" s="1008" t="s">
        <v>66</v>
      </c>
      <c r="G130" s="1008"/>
      <c r="H130" s="106">
        <f>D130/D131</f>
        <v>0.92307692307692313</v>
      </c>
      <c r="R130" s="240"/>
      <c r="S130" s="240"/>
      <c r="T130" s="261">
        <f>$T$18*$Z130</f>
        <v>142500</v>
      </c>
      <c r="W130" s="265"/>
      <c r="X130" s="20" t="s">
        <v>244</v>
      </c>
      <c r="Y130" s="128" t="s">
        <v>100</v>
      </c>
      <c r="Z130" s="138">
        <v>0.5</v>
      </c>
      <c r="AA130" s="143">
        <v>120244.49</v>
      </c>
      <c r="AB130" s="144">
        <f>AA130/$AA$132</f>
        <v>0.50750815162970342</v>
      </c>
      <c r="AC130" s="136"/>
      <c r="AD130"/>
    </row>
    <row r="131" spans="1:36" ht="14.65" customHeight="1">
      <c r="A131" s="48" t="s">
        <v>263</v>
      </c>
      <c r="B131" s="207"/>
      <c r="C131" s="207"/>
      <c r="D131" s="207">
        <v>260000</v>
      </c>
      <c r="E131" s="26"/>
      <c r="F131" s="26"/>
      <c r="G131" s="26"/>
      <c r="H131" s="107"/>
      <c r="R131" s="240"/>
      <c r="S131" s="240"/>
      <c r="T131" s="262">
        <f>$T$18*$Z131</f>
        <v>142500</v>
      </c>
      <c r="W131" s="265"/>
      <c r="X131" s="20" t="s">
        <v>245</v>
      </c>
      <c r="Y131" s="128">
        <v>630040</v>
      </c>
      <c r="Z131" s="138">
        <v>0.5</v>
      </c>
      <c r="AA131" s="161">
        <v>116686.66</v>
      </c>
      <c r="AB131" s="378">
        <f>AA131/$AA$132</f>
        <v>0.49249184837029658</v>
      </c>
      <c r="AC131" s="136"/>
      <c r="AD131"/>
    </row>
    <row r="132" spans="1:36" ht="14.65" customHeight="1">
      <c r="A132" s="43"/>
      <c r="D132" s="108"/>
      <c r="F132" s="1009" t="s">
        <v>290</v>
      </c>
      <c r="G132" s="1009"/>
      <c r="H132" s="1010"/>
      <c r="R132" s="160"/>
      <c r="S132" s="160"/>
      <c r="T132" s="264">
        <f>SUM(T130:T131)</f>
        <v>285000</v>
      </c>
      <c r="W132" s="256" t="s">
        <v>12</v>
      </c>
      <c r="X132" s="130" t="s">
        <v>28</v>
      </c>
      <c r="Y132" s="257" t="s">
        <v>107</v>
      </c>
      <c r="Z132" s="138">
        <f>SUM(Z130:Z131)</f>
        <v>1</v>
      </c>
      <c r="AA132" s="259">
        <f>SUM(AA130:AA131)</f>
        <v>236931.15000000002</v>
      </c>
      <c r="AB132" s="144">
        <f>SUM(AB130:AB131)</f>
        <v>1</v>
      </c>
    </row>
    <row r="133" spans="1:36" ht="28.15" customHeight="1">
      <c r="A133" s="48"/>
      <c r="B133" s="97" t="s">
        <v>67</v>
      </c>
      <c r="C133" s="97" t="s">
        <v>68</v>
      </c>
      <c r="D133" s="97" t="s">
        <v>257</v>
      </c>
      <c r="E133" s="97" t="s">
        <v>258</v>
      </c>
      <c r="F133" s="49"/>
      <c r="G133" s="286" t="s">
        <v>260</v>
      </c>
      <c r="H133" s="287" t="s">
        <v>261</v>
      </c>
    </row>
    <row r="134" spans="1:36" ht="15">
      <c r="A134" s="48" t="s">
        <v>25</v>
      </c>
      <c r="B134" s="104">
        <f>C134/12</f>
        <v>30812.5</v>
      </c>
      <c r="C134" s="351">
        <f>90625*'17 Std'!S5*(1+$F$148)</f>
        <v>369750</v>
      </c>
      <c r="D134" s="64">
        <f>$C134/$D$130/1000</f>
        <v>1.5406249999999999E-3</v>
      </c>
      <c r="E134" s="64">
        <f>$C134/$D$130/1000</f>
        <v>1.5406249999999999E-3</v>
      </c>
      <c r="F134" s="156" t="s">
        <v>270</v>
      </c>
      <c r="G134" s="348">
        <v>1220000</v>
      </c>
      <c r="H134" s="238">
        <f>G134/$D$130/1000</f>
        <v>5.0833333333333329E-3</v>
      </c>
      <c r="I134" s="253"/>
      <c r="X134" s="139"/>
      <c r="Y134"/>
      <c r="Z134"/>
      <c r="AA134" s="260" t="s">
        <v>398</v>
      </c>
      <c r="AB134"/>
      <c r="AC134"/>
      <c r="AD134"/>
    </row>
    <row r="135" spans="1:36" ht="14.65" customHeight="1">
      <c r="A135" s="48" t="s">
        <v>27</v>
      </c>
      <c r="B135" s="26">
        <f>C135/12</f>
        <v>23750</v>
      </c>
      <c r="C135" s="346">
        <f>285000</f>
        <v>285000</v>
      </c>
      <c r="D135" s="109">
        <f>$C135/$D$130/1000</f>
        <v>1.1875E-3</v>
      </c>
      <c r="E135" s="109">
        <f>$C135/$D$130/1000</f>
        <v>1.1875E-3</v>
      </c>
      <c r="F135" s="156" t="s">
        <v>271</v>
      </c>
      <c r="G135" s="348">
        <f>30000</f>
        <v>30000</v>
      </c>
      <c r="H135" s="238">
        <f>IF($B$130&lt;&gt;0,G135/$B$130/1000,G135/D130/1000)</f>
        <v>1.8518518518518518E-4</v>
      </c>
      <c r="I135" s="253"/>
      <c r="R135" s="240"/>
      <c r="S135" s="240"/>
      <c r="T135" s="261">
        <f t="shared" ref="T135:T142" si="51">ROUND($T$19*$Z135,0)</f>
        <v>148897</v>
      </c>
      <c r="W135" s="265"/>
      <c r="X135" s="20" t="s">
        <v>399</v>
      </c>
      <c r="Y135" s="128" t="s">
        <v>400</v>
      </c>
      <c r="Z135" s="138">
        <f t="shared" ref="Z135:Z142" si="52">AA135/$AA$143</f>
        <v>3.1020278092671626E-2</v>
      </c>
      <c r="AA135" s="143">
        <v>140030.43</v>
      </c>
      <c r="AB135" s="136"/>
      <c r="AC135" s="136"/>
      <c r="AD135"/>
    </row>
    <row r="136" spans="1:36" ht="14.65" customHeight="1">
      <c r="A136" s="48" t="s">
        <v>29</v>
      </c>
      <c r="B136" s="26">
        <f>C136/12</f>
        <v>400000</v>
      </c>
      <c r="C136" s="78">
        <f>G137</f>
        <v>4800000</v>
      </c>
      <c r="D136" s="110">
        <f>H140</f>
        <v>5.2685185185185179E-3</v>
      </c>
      <c r="E136" s="110">
        <f>H141</f>
        <v>5.0596153846153846E-2</v>
      </c>
      <c r="F136" s="156" t="s">
        <v>272</v>
      </c>
      <c r="G136" s="352">
        <f>3550000</f>
        <v>3550000</v>
      </c>
      <c r="H136" s="238">
        <f>IF(C130&lt;&gt;0,G136/$C$130/1000,G136/D130/1000)</f>
        <v>4.5512820512820511E-2</v>
      </c>
      <c r="I136" s="253"/>
      <c r="J136" s="281"/>
      <c r="K136" s="281"/>
      <c r="L136" s="281"/>
      <c r="M136" s="281"/>
      <c r="N136" s="281"/>
      <c r="O136" s="281"/>
      <c r="P136" s="281"/>
      <c r="R136" s="240"/>
      <c r="S136" s="240"/>
      <c r="T136" s="261">
        <f t="shared" si="51"/>
        <v>7396</v>
      </c>
      <c r="W136" s="265"/>
      <c r="X136" s="20" t="s">
        <v>246</v>
      </c>
      <c r="Y136" s="128" t="s">
        <v>101</v>
      </c>
      <c r="Z136" s="138">
        <f t="shared" si="52"/>
        <v>1.5409319575424053E-3</v>
      </c>
      <c r="AA136" s="143">
        <v>6956.01</v>
      </c>
      <c r="AB136" s="136"/>
      <c r="AC136" s="136"/>
      <c r="AD136"/>
      <c r="AI136" s="235"/>
      <c r="AJ136" s="235"/>
    </row>
    <row r="137" spans="1:36" ht="14.65" customHeight="1">
      <c r="A137" s="48" t="s">
        <v>70</v>
      </c>
      <c r="D137" s="64">
        <f>SUM(D134:D136)</f>
        <v>7.9966435185185175E-3</v>
      </c>
      <c r="E137" s="64">
        <f>SUM(E134:E136)</f>
        <v>5.3324278846153844E-2</v>
      </c>
      <c r="F137" s="301" t="s">
        <v>268</v>
      </c>
      <c r="G137" s="285">
        <f>SUM(G134:G136)</f>
        <v>4800000</v>
      </c>
      <c r="H137" s="238">
        <f>G137/D130/1000</f>
        <v>0.02</v>
      </c>
      <c r="J137" s="282"/>
      <c r="K137" s="282"/>
      <c r="L137" s="282"/>
      <c r="M137" s="282"/>
      <c r="N137" s="282"/>
      <c r="O137" s="282"/>
      <c r="P137" s="282"/>
      <c r="R137" s="240"/>
      <c r="S137" s="240"/>
      <c r="T137" s="261">
        <f t="shared" si="51"/>
        <v>379435</v>
      </c>
      <c r="W137" s="265"/>
      <c r="X137" s="20" t="s">
        <v>247</v>
      </c>
      <c r="Y137" s="128">
        <v>640010</v>
      </c>
      <c r="Z137" s="138">
        <f t="shared" si="52"/>
        <v>7.9049062217207061E-2</v>
      </c>
      <c r="AA137" s="143">
        <v>356839.94</v>
      </c>
      <c r="AB137" s="136"/>
      <c r="AC137" s="136"/>
      <c r="AD137"/>
      <c r="AI137" s="235"/>
      <c r="AJ137" s="235"/>
    </row>
    <row r="138" spans="1:36" ht="14.65" customHeight="1">
      <c r="A138" s="48"/>
      <c r="B138" s="26"/>
      <c r="C138" s="26"/>
      <c r="D138" s="64"/>
      <c r="E138" s="64"/>
      <c r="F138" s="26"/>
      <c r="G138" s="204"/>
      <c r="H138" s="238"/>
      <c r="R138" s="240"/>
      <c r="S138" s="240"/>
      <c r="T138" s="261">
        <f t="shared" si="51"/>
        <v>3980171</v>
      </c>
      <c r="W138" s="265"/>
      <c r="X138" s="20" t="s">
        <v>248</v>
      </c>
      <c r="Y138" s="128">
        <v>640020</v>
      </c>
      <c r="Z138" s="138">
        <f t="shared" si="52"/>
        <v>0.82920233056363746</v>
      </c>
      <c r="AA138" s="143">
        <v>3743150.16</v>
      </c>
      <c r="AB138" s="136"/>
      <c r="AC138" s="136"/>
      <c r="AD138"/>
    </row>
    <row r="139" spans="1:36" ht="14.65" customHeight="1">
      <c r="A139" s="48"/>
      <c r="B139" s="26"/>
      <c r="C139" s="26"/>
      <c r="D139" s="288" t="s">
        <v>266</v>
      </c>
      <c r="E139" s="288" t="s">
        <v>267</v>
      </c>
      <c r="F139" s="26"/>
      <c r="G139" s="204"/>
      <c r="H139" s="238"/>
      <c r="R139" s="240"/>
      <c r="S139" s="240"/>
      <c r="T139" s="261">
        <f t="shared" si="51"/>
        <v>263981</v>
      </c>
      <c r="W139" s="265"/>
      <c r="X139" s="20" t="s">
        <v>401</v>
      </c>
      <c r="Y139" s="128" t="s">
        <v>402</v>
      </c>
      <c r="Z139" s="138">
        <f t="shared" si="52"/>
        <v>5.4995959722533301E-2</v>
      </c>
      <c r="AA139" s="143">
        <v>248260.44</v>
      </c>
      <c r="AB139" s="136"/>
      <c r="AC139" s="136"/>
      <c r="AD139"/>
      <c r="AI139" s="235"/>
      <c r="AJ139" s="235"/>
    </row>
    <row r="140" spans="1:36" ht="14.65" customHeight="1">
      <c r="A140" s="48"/>
      <c r="B140" s="26"/>
      <c r="C140" s="26"/>
      <c r="D140" s="290">
        <f>G140/$G$142</f>
        <v>0.17781249999999998</v>
      </c>
      <c r="E140" s="207">
        <f>ROUND(G140/$H$137,0)</f>
        <v>42675000</v>
      </c>
      <c r="F140" s="156" t="s">
        <v>186</v>
      </c>
      <c r="G140" s="204">
        <f>$H140*$B$130*1000</f>
        <v>853499.99999999988</v>
      </c>
      <c r="H140" s="238">
        <f>IF(AND($B$130&lt;&gt;0,$C$130&lt;&gt;0),H134+H135,$H$137)</f>
        <v>5.2685185185185179E-3</v>
      </c>
      <c r="R140" s="240"/>
      <c r="S140" s="240"/>
      <c r="T140" s="261">
        <f t="shared" si="51"/>
        <v>7264</v>
      </c>
      <c r="W140" s="265"/>
      <c r="X140" s="20" t="s">
        <v>249</v>
      </c>
      <c r="Y140" s="128">
        <v>640040</v>
      </c>
      <c r="Z140" s="138">
        <f t="shared" si="52"/>
        <v>1.5133299095422179E-3</v>
      </c>
      <c r="AA140" s="143">
        <v>6831.41</v>
      </c>
      <c r="AB140" s="136"/>
      <c r="AC140" s="136"/>
      <c r="AD140"/>
      <c r="AI140" s="235"/>
      <c r="AJ140" s="235"/>
    </row>
    <row r="141" spans="1:36" ht="14.65" customHeight="1">
      <c r="A141" s="48"/>
      <c r="B141" s="26"/>
      <c r="C141" s="26"/>
      <c r="D141" s="290">
        <f>G141/$G$142</f>
        <v>0.82218749999999996</v>
      </c>
      <c r="E141" s="168">
        <f>ROUND(G141/$H$137,0)</f>
        <v>197325000</v>
      </c>
      <c r="F141" s="156" t="s">
        <v>286</v>
      </c>
      <c r="G141" s="239">
        <f>$H141*$C$130*1000</f>
        <v>3946500</v>
      </c>
      <c r="H141" s="238">
        <f>IF(AND($B$130&lt;&gt;0,$C$130&lt;&gt;0),H134+H136,$H$137)</f>
        <v>5.0596153846153846E-2</v>
      </c>
      <c r="R141" s="160"/>
      <c r="S141" s="160"/>
      <c r="T141" s="261">
        <f t="shared" si="51"/>
        <v>1111</v>
      </c>
      <c r="W141" s="265"/>
      <c r="X141" s="20" t="s">
        <v>250</v>
      </c>
      <c r="Y141" s="128">
        <v>640070</v>
      </c>
      <c r="Z141" s="138">
        <f t="shared" si="52"/>
        <v>2.3147396449338557E-4</v>
      </c>
      <c r="AA141" s="143">
        <v>1044.9100000000001</v>
      </c>
      <c r="AB141"/>
      <c r="AC141"/>
      <c r="AD141"/>
      <c r="AI141" s="235"/>
      <c r="AJ141" s="235"/>
    </row>
    <row r="142" spans="1:36" ht="14.65" customHeight="1">
      <c r="A142" s="48"/>
      <c r="B142" s="26"/>
      <c r="C142" s="26"/>
      <c r="D142" s="290">
        <f>G142/$G$142</f>
        <v>1</v>
      </c>
      <c r="E142" s="289">
        <f>SUM(E140:E141)</f>
        <v>240000000</v>
      </c>
      <c r="F142" s="156" t="s">
        <v>107</v>
      </c>
      <c r="G142" s="285">
        <f>SUM(G140:G141)</f>
        <v>4800000</v>
      </c>
      <c r="H142" s="238"/>
      <c r="T142" s="262">
        <f t="shared" si="51"/>
        <v>11744</v>
      </c>
      <c r="W142" s="265"/>
      <c r="X142" s="20" t="s">
        <v>251</v>
      </c>
      <c r="Y142" s="128">
        <v>640080</v>
      </c>
      <c r="Z142" s="138">
        <f t="shared" si="52"/>
        <v>2.4466335723723111E-3</v>
      </c>
      <c r="AA142" s="161">
        <v>11044.49</v>
      </c>
      <c r="AI142" s="235"/>
      <c r="AJ142" s="235"/>
    </row>
    <row r="143" spans="1:36" ht="14.65" customHeight="1">
      <c r="A143" s="112"/>
      <c r="B143" s="113"/>
      <c r="C143" s="113"/>
      <c r="D143" s="113"/>
      <c r="E143" s="113"/>
      <c r="F143" s="113"/>
      <c r="G143" s="113"/>
      <c r="H143" s="284"/>
      <c r="T143" s="264">
        <f>SUM(T135:T142)</f>
        <v>4799999</v>
      </c>
      <c r="W143" s="256" t="s">
        <v>12</v>
      </c>
      <c r="X143" s="130" t="s">
        <v>30</v>
      </c>
      <c r="Y143" s="257" t="s">
        <v>107</v>
      </c>
      <c r="Z143" s="138">
        <f>SUM(Z135:Z142)</f>
        <v>0.99999999999999989</v>
      </c>
      <c r="AA143" s="259">
        <f>SUM(AA135:AA142)</f>
        <v>4514157.790000001</v>
      </c>
      <c r="AI143" s="235"/>
      <c r="AJ143" s="235"/>
    </row>
    <row r="144" spans="1:36">
      <c r="AI144" s="235"/>
      <c r="AJ144" s="235"/>
    </row>
    <row r="145" spans="1:8">
      <c r="A145" s="72"/>
      <c r="B145" s="72"/>
      <c r="C145" s="72"/>
      <c r="D145" s="72"/>
      <c r="E145" s="72"/>
      <c r="F145" s="72"/>
      <c r="G145" s="72"/>
      <c r="H145" s="72"/>
    </row>
    <row r="146" spans="1:8">
      <c r="A146" s="82" t="s">
        <v>71</v>
      </c>
      <c r="B146" s="93"/>
      <c r="C146" s="93"/>
      <c r="D146" s="93"/>
      <c r="E146" s="93"/>
      <c r="F146" s="93"/>
      <c r="G146" s="93"/>
      <c r="H146" s="148"/>
    </row>
    <row r="147" spans="1:8" ht="15">
      <c r="A147" s="82"/>
      <c r="B147" s="1011" t="s">
        <v>189</v>
      </c>
      <c r="C147" s="1011"/>
      <c r="D147" s="1011"/>
      <c r="E147" s="202"/>
      <c r="F147" s="93"/>
      <c r="G147" s="93"/>
      <c r="H147" s="148"/>
    </row>
    <row r="148" spans="1:8" ht="15">
      <c r="A148" s="48"/>
      <c r="B148" s="1004" t="s">
        <v>72</v>
      </c>
      <c r="C148" s="1004"/>
      <c r="D148" s="342">
        <v>52</v>
      </c>
      <c r="E148" s="49" t="s">
        <v>354</v>
      </c>
      <c r="F148" s="456">
        <f>'17 Std'!T5</f>
        <v>0.02</v>
      </c>
      <c r="G148" s="26"/>
      <c r="H148" s="77"/>
    </row>
    <row r="149" spans="1:8" ht="15">
      <c r="A149" s="48"/>
      <c r="B149" s="1004" t="s">
        <v>73</v>
      </c>
      <c r="C149" s="1004"/>
      <c r="D149" s="353">
        <v>42</v>
      </c>
      <c r="E149" s="200"/>
      <c r="F149" s="26"/>
      <c r="G149" s="26"/>
      <c r="H149" s="77"/>
    </row>
    <row r="150" spans="1:8" ht="15">
      <c r="A150" s="48"/>
      <c r="B150" s="1004" t="s">
        <v>74</v>
      </c>
      <c r="C150" s="1004"/>
      <c r="D150" s="353">
        <v>1.5</v>
      </c>
      <c r="E150" s="201"/>
      <c r="F150" s="26"/>
      <c r="G150" s="26"/>
      <c r="H150" s="111"/>
    </row>
    <row r="151" spans="1:8" ht="15">
      <c r="A151" s="112"/>
      <c r="B151" s="1005" t="s">
        <v>160</v>
      </c>
      <c r="C151" s="1005"/>
      <c r="D151" s="354">
        <v>0.45</v>
      </c>
      <c r="E151" s="180"/>
      <c r="F151" s="113"/>
      <c r="G151" s="113"/>
      <c r="H151" s="181"/>
    </row>
    <row r="152" spans="1:8">
      <c r="A152" s="82"/>
      <c r="B152" s="93"/>
      <c r="C152" s="93"/>
      <c r="D152" s="182"/>
      <c r="E152" s="93"/>
      <c r="F152" s="93"/>
      <c r="G152" s="93"/>
      <c r="H152" s="191"/>
    </row>
    <row r="154" spans="1:8">
      <c r="B154" s="1006"/>
      <c r="C154" s="1006"/>
      <c r="D154" s="1006"/>
      <c r="F154" s="1006"/>
      <c r="G154" s="1006"/>
      <c r="H154" s="1006"/>
    </row>
    <row r="155" spans="1:8">
      <c r="B155" s="114"/>
      <c r="C155" s="114"/>
      <c r="D155" s="115"/>
      <c r="E155" s="6"/>
      <c r="F155" s="114"/>
      <c r="G155" s="114"/>
      <c r="H155" s="115"/>
    </row>
    <row r="156" spans="1:8">
      <c r="C156" s="116"/>
      <c r="D156" s="117"/>
      <c r="G156" s="116"/>
      <c r="H156" s="117"/>
    </row>
    <row r="157" spans="1:8">
      <c r="C157" s="116"/>
      <c r="D157" s="108"/>
      <c r="G157" s="116"/>
      <c r="H157" s="108"/>
    </row>
    <row r="158" spans="1:8">
      <c r="C158" s="118"/>
      <c r="D158" s="108"/>
      <c r="G158" s="118"/>
      <c r="H158" s="108"/>
    </row>
    <row r="159" spans="1:8">
      <c r="C159" s="119"/>
      <c r="D159" s="108"/>
      <c r="G159" s="119"/>
      <c r="H159" s="108"/>
    </row>
    <row r="160" spans="1:8">
      <c r="C160" s="120"/>
      <c r="D160" s="108"/>
      <c r="G160" s="120"/>
      <c r="H160" s="108"/>
    </row>
    <row r="161" spans="3:8">
      <c r="C161" s="118"/>
      <c r="D161" s="108"/>
      <c r="G161" s="118"/>
      <c r="H161" s="108"/>
    </row>
    <row r="162" spans="3:8" ht="15">
      <c r="C162" s="121"/>
      <c r="D162" s="122"/>
      <c r="G162" s="121"/>
      <c r="H162" s="122"/>
    </row>
    <row r="163" spans="3:8" ht="15">
      <c r="D163" s="123"/>
      <c r="H163" s="123"/>
    </row>
  </sheetData>
  <mergeCells count="42">
    <mergeCell ref="B151:C151"/>
    <mergeCell ref="B154:D154"/>
    <mergeCell ref="F154:H154"/>
    <mergeCell ref="F130:G130"/>
    <mergeCell ref="F132:H132"/>
    <mergeCell ref="B147:D147"/>
    <mergeCell ref="B148:C148"/>
    <mergeCell ref="B149:C149"/>
    <mergeCell ref="B150:C150"/>
    <mergeCell ref="B128:H128"/>
    <mergeCell ref="AA62:AK62"/>
    <mergeCell ref="B64:D64"/>
    <mergeCell ref="F64:H64"/>
    <mergeCell ref="E78:G78"/>
    <mergeCell ref="AA78:AK78"/>
    <mergeCell ref="E79:F79"/>
    <mergeCell ref="E85:F85"/>
    <mergeCell ref="G85:H85"/>
    <mergeCell ref="B98:D98"/>
    <mergeCell ref="F98:H98"/>
    <mergeCell ref="E115:F115"/>
    <mergeCell ref="C36:D36"/>
    <mergeCell ref="E36:F36"/>
    <mergeCell ref="G36:H36"/>
    <mergeCell ref="B58:D58"/>
    <mergeCell ref="F58:H58"/>
    <mergeCell ref="AA129:AB129"/>
    <mergeCell ref="B27:H27"/>
    <mergeCell ref="N28:P28"/>
    <mergeCell ref="A1:J1"/>
    <mergeCell ref="R1:V1"/>
    <mergeCell ref="AA1:AI1"/>
    <mergeCell ref="A2:J2"/>
    <mergeCell ref="B3:D3"/>
    <mergeCell ref="E3:G3"/>
    <mergeCell ref="H3:J3"/>
    <mergeCell ref="M3:P3"/>
    <mergeCell ref="AA58:AK58"/>
    <mergeCell ref="AJ3:AL3"/>
    <mergeCell ref="Y22:Z22"/>
    <mergeCell ref="Y23:Z23"/>
    <mergeCell ref="Y24:Z24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7" max="9" man="1"/>
    <brk id="89" max="9" man="1"/>
    <brk id="111" max="9" man="1"/>
    <brk id="126" max="9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0.59999389629810485"/>
    <pageSetUpPr fitToPage="1"/>
  </sheetPr>
  <dimension ref="A1:AP163"/>
  <sheetViews>
    <sheetView zoomScaleNormal="100" workbookViewId="0">
      <pane xSplit="1" ySplit="2" topLeftCell="B3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7109375" style="1" bestFit="1" customWidth="1"/>
    <col min="9" max="9" width="9.7109375" style="1" bestFit="1" customWidth="1"/>
    <col min="10" max="10" width="12.28515625" style="1" bestFit="1" customWidth="1"/>
    <col min="11" max="11" width="7.7109375" style="1" bestFit="1" customWidth="1"/>
    <col min="12" max="12" width="5.5703125" style="1" customWidth="1"/>
    <col min="13" max="13" width="15.28515625" style="1" bestFit="1" customWidth="1"/>
    <col min="14" max="14" width="13.5703125" style="1" bestFit="1" customWidth="1"/>
    <col min="15" max="15" width="11.28515625" style="1" bestFit="1" customWidth="1"/>
    <col min="16" max="16" width="13.42578125" style="1" bestFit="1" customWidth="1"/>
    <col min="17" max="17" width="7.28515625" style="1" bestFit="1" customWidth="1"/>
    <col min="18" max="18" width="12.42578125" style="1" customWidth="1" outlineLevel="1"/>
    <col min="19" max="19" width="9.7109375" style="1" customWidth="1" outlineLevel="1"/>
    <col min="20" max="20" width="12.42578125" style="1" customWidth="1" outlineLevel="1"/>
    <col min="21" max="21" width="11.5703125" style="1" customWidth="1" outlineLevel="1"/>
    <col min="22" max="22" width="11.7109375" style="1" customWidth="1" outlineLevel="1"/>
    <col min="23" max="23" width="5.28515625" style="62" customWidth="1" outlineLevel="1"/>
    <col min="24" max="24" width="16.5703125" style="1" customWidth="1" outlineLevel="1"/>
    <col min="25" max="26" width="9" style="1" customWidth="1" outlineLevel="1"/>
    <col min="27" max="27" width="12.42578125" style="1" customWidth="1" outlineLevel="1"/>
    <col min="28" max="28" width="12.42578125" style="1" bestFit="1" customWidth="1" outlineLevel="1"/>
    <col min="29" max="29" width="9" style="1" bestFit="1" customWidth="1" outlineLevel="1"/>
    <col min="30" max="30" width="12.42578125" style="1" customWidth="1" outlineLevel="1"/>
    <col min="31" max="31" width="11.5703125" style="135" customWidth="1" outlineLevel="1"/>
    <col min="32" max="32" width="11.5703125" style="1" customWidth="1" outlineLevel="1"/>
    <col min="33" max="33" width="9.7109375" style="1" bestFit="1" customWidth="1" outlineLevel="1"/>
    <col min="34" max="34" width="11.5703125" style="1" customWidth="1" outlineLevel="1"/>
    <col min="35" max="35" width="11.7109375" style="1" customWidth="1" outlineLevel="1"/>
    <col min="36" max="37" width="11.5703125" style="1" customWidth="1" outlineLevel="1"/>
    <col min="38" max="38" width="11.5703125" style="1" bestFit="1" customWidth="1" outlineLevel="1"/>
    <col min="39" max="40" width="11.5703125" style="1" bestFit="1" customWidth="1"/>
    <col min="41" max="42" width="10.28515625" style="1" bestFit="1" customWidth="1"/>
    <col min="43" max="237" width="8.5703125" style="1" customWidth="1"/>
    <col min="238" max="16384" width="10.5703125" style="1"/>
  </cols>
  <sheetData>
    <row r="1" spans="1:42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R1" s="1029" t="s">
        <v>216</v>
      </c>
      <c r="S1" s="1029"/>
      <c r="T1" s="1029"/>
      <c r="U1" s="1029"/>
      <c r="V1" s="1029"/>
      <c r="W1" s="245"/>
      <c r="X1" s="246"/>
      <c r="Y1" s="128"/>
      <c r="Z1" s="128"/>
      <c r="AA1" s="1029" t="s">
        <v>225</v>
      </c>
      <c r="AB1" s="1029"/>
      <c r="AC1" s="1029"/>
      <c r="AD1" s="1029"/>
      <c r="AE1" s="1029"/>
      <c r="AF1" s="1029"/>
      <c r="AG1" s="1029"/>
      <c r="AH1" s="1029"/>
      <c r="AI1" s="1029"/>
      <c r="AJ1" s="248" t="s">
        <v>194</v>
      </c>
      <c r="AK1" s="248" t="s">
        <v>177</v>
      </c>
      <c r="AL1" s="248" t="s">
        <v>282</v>
      </c>
      <c r="AM1" s="387" t="s">
        <v>107</v>
      </c>
      <c r="AN1" s="387" t="s">
        <v>194</v>
      </c>
      <c r="AO1" s="387" t="s">
        <v>177</v>
      </c>
      <c r="AP1" s="387" t="s">
        <v>282</v>
      </c>
    </row>
    <row r="2" spans="1:42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R2" s="10" t="s">
        <v>190</v>
      </c>
      <c r="S2" s="10" t="s">
        <v>55</v>
      </c>
      <c r="T2" s="10" t="s">
        <v>3</v>
      </c>
      <c r="U2" s="140" t="s">
        <v>1</v>
      </c>
      <c r="V2" s="140" t="s">
        <v>215</v>
      </c>
      <c r="W2" s="249" t="s">
        <v>2</v>
      </c>
      <c r="X2" s="9" t="s">
        <v>223</v>
      </c>
      <c r="Y2" s="129" t="s">
        <v>226</v>
      </c>
      <c r="Z2" s="129" t="s">
        <v>227</v>
      </c>
      <c r="AA2" s="10" t="s">
        <v>194</v>
      </c>
      <c r="AB2" s="10" t="s">
        <v>177</v>
      </c>
      <c r="AC2" s="10" t="s">
        <v>282</v>
      </c>
      <c r="AD2" s="10" t="s">
        <v>3</v>
      </c>
      <c r="AE2" s="140" t="s">
        <v>228</v>
      </c>
      <c r="AF2" s="140" t="s">
        <v>229</v>
      </c>
      <c r="AG2" s="140" t="s">
        <v>283</v>
      </c>
      <c r="AH2" s="140" t="s">
        <v>230</v>
      </c>
      <c r="AI2" s="140" t="s">
        <v>215</v>
      </c>
      <c r="AJ2" s="249" t="s">
        <v>222</v>
      </c>
      <c r="AK2" s="249" t="s">
        <v>222</v>
      </c>
      <c r="AL2" s="249" t="s">
        <v>222</v>
      </c>
      <c r="AM2" s="388" t="s">
        <v>327</v>
      </c>
      <c r="AN2" s="388" t="s">
        <v>327</v>
      </c>
      <c r="AO2" s="388" t="s">
        <v>327</v>
      </c>
      <c r="AP2" s="388" t="s">
        <v>327</v>
      </c>
    </row>
    <row r="3" spans="1:42" ht="17.25" customHeight="1">
      <c r="B3" s="1031" t="s">
        <v>297</v>
      </c>
      <c r="C3" s="1032"/>
      <c r="D3" s="1033"/>
      <c r="E3" s="1031" t="s">
        <v>302</v>
      </c>
      <c r="F3" s="1032"/>
      <c r="G3" s="1033"/>
      <c r="H3" s="1031" t="s">
        <v>282</v>
      </c>
      <c r="I3" s="1032"/>
      <c r="J3" s="1033"/>
      <c r="K3" s="363"/>
      <c r="L3" s="363"/>
      <c r="M3" s="1031" t="s">
        <v>309</v>
      </c>
      <c r="N3" s="1032"/>
      <c r="O3" s="1032"/>
      <c r="P3" s="1033"/>
      <c r="R3" s="4"/>
      <c r="S3" s="4"/>
      <c r="T3" s="4"/>
      <c r="U3" s="4"/>
      <c r="V3" s="5"/>
      <c r="W3" s="265"/>
      <c r="X3" s="3"/>
      <c r="Y3" s="125"/>
      <c r="Z3" s="126"/>
      <c r="AA3" s="242"/>
      <c r="AB3" s="242"/>
      <c r="AC3" s="242"/>
      <c r="AD3" s="4"/>
      <c r="AE3" s="242"/>
      <c r="AF3" s="242"/>
      <c r="AG3" s="242"/>
      <c r="AH3" s="242"/>
      <c r="AI3" s="5"/>
      <c r="AJ3" s="1025"/>
      <c r="AK3" s="1025"/>
      <c r="AL3" s="1025"/>
      <c r="AM3" s="389"/>
      <c r="AN3" s="389"/>
      <c r="AO3" s="389"/>
      <c r="AP3" s="389"/>
    </row>
    <row r="4" spans="1:42" s="6" customFormat="1" ht="16.5">
      <c r="B4" s="319" t="s">
        <v>289</v>
      </c>
      <c r="C4" s="8" t="s">
        <v>288</v>
      </c>
      <c r="D4" s="313" t="s">
        <v>108</v>
      </c>
      <c r="E4" s="319" t="s">
        <v>289</v>
      </c>
      <c r="F4" s="7" t="s">
        <v>288</v>
      </c>
      <c r="G4" s="320" t="s">
        <v>108</v>
      </c>
      <c r="H4" s="319" t="s">
        <v>289</v>
      </c>
      <c r="I4" s="7" t="s">
        <v>288</v>
      </c>
      <c r="J4" s="313" t="s">
        <v>108</v>
      </c>
      <c r="K4" s="8"/>
      <c r="L4" s="8"/>
      <c r="M4" s="319" t="s">
        <v>289</v>
      </c>
      <c r="N4" s="364" t="s">
        <v>306</v>
      </c>
      <c r="O4" s="364" t="s">
        <v>307</v>
      </c>
      <c r="P4" s="365" t="s">
        <v>308</v>
      </c>
      <c r="R4" s="10"/>
      <c r="S4" s="10"/>
      <c r="T4" s="10"/>
      <c r="U4" s="5"/>
      <c r="V4" s="5"/>
      <c r="W4" s="256"/>
      <c r="X4" s="9"/>
      <c r="Y4" s="125"/>
      <c r="Z4" s="126"/>
      <c r="AA4" s="243"/>
      <c r="AB4" s="243"/>
      <c r="AC4" s="243"/>
      <c r="AD4" s="10"/>
      <c r="AE4" s="244"/>
      <c r="AF4" s="244"/>
      <c r="AG4" s="244"/>
      <c r="AH4" s="244"/>
      <c r="AI4" s="5"/>
      <c r="AJ4" s="5"/>
      <c r="AK4" s="5"/>
      <c r="AL4" s="5"/>
      <c r="AM4" s="390"/>
      <c r="AN4" s="390"/>
      <c r="AO4" s="390"/>
      <c r="AP4" s="390"/>
    </row>
    <row r="5" spans="1:42" s="6" customFormat="1" ht="15">
      <c r="A5" s="11"/>
      <c r="B5" s="335"/>
      <c r="C5" s="11" t="s">
        <v>287</v>
      </c>
      <c r="D5" s="314"/>
      <c r="E5" s="321"/>
      <c r="F5" s="11" t="s">
        <v>287</v>
      </c>
      <c r="G5" s="322"/>
      <c r="H5" s="321"/>
      <c r="I5" s="11" t="s">
        <v>287</v>
      </c>
      <c r="J5" s="322"/>
      <c r="K5" s="309"/>
      <c r="L5" s="309"/>
      <c r="M5" s="321"/>
      <c r="N5" s="11"/>
      <c r="O5" s="11"/>
      <c r="P5" s="322"/>
      <c r="R5" s="15"/>
      <c r="S5" s="15"/>
      <c r="T5" s="15"/>
      <c r="U5" s="16"/>
      <c r="V5" s="16"/>
      <c r="W5" s="159"/>
      <c r="X5" s="14"/>
      <c r="Y5" s="125"/>
      <c r="Z5" s="126"/>
      <c r="AA5" s="15"/>
      <c r="AB5" s="15"/>
      <c r="AC5" s="15"/>
      <c r="AD5" s="15"/>
      <c r="AE5" s="16"/>
      <c r="AF5" s="16"/>
      <c r="AG5" s="16"/>
      <c r="AH5" s="16"/>
      <c r="AI5" s="16"/>
      <c r="AJ5" s="16"/>
      <c r="AK5" s="16"/>
      <c r="AL5" s="16"/>
      <c r="AM5" s="391"/>
      <c r="AN5" s="391"/>
      <c r="AO5" s="391"/>
      <c r="AP5" s="391"/>
    </row>
    <row r="6" spans="1:42" ht="15">
      <c r="A6" s="17" t="s">
        <v>4</v>
      </c>
      <c r="B6" s="449" t="e">
        <f>IF($B$24&lt;&gt;0,$D$54,0)</f>
        <v>#REF!</v>
      </c>
      <c r="C6" s="18">
        <v>5.1848256458867814E-2</v>
      </c>
      <c r="D6" s="238">
        <v>4.2711307857142861E-2</v>
      </c>
      <c r="E6" s="323" t="e">
        <f>$F$54</f>
        <v>#REF!</v>
      </c>
      <c r="F6" s="18">
        <v>0.13644871697440611</v>
      </c>
      <c r="G6" s="238">
        <v>8.7306307857142856E-2</v>
      </c>
      <c r="H6" s="323">
        <f>IF($H$24&lt;&gt;0,$H$54,0)</f>
        <v>0</v>
      </c>
      <c r="I6" s="18">
        <v>0.48991089907521851</v>
      </c>
      <c r="J6" s="238">
        <v>0.34557399999999999</v>
      </c>
      <c r="K6" s="18"/>
      <c r="L6" s="18"/>
      <c r="M6" s="323" t="e">
        <f>(B6*B$24+E6*E$24+H6*H$24)/M$24</f>
        <v>#REF!</v>
      </c>
      <c r="N6" s="18" t="e">
        <f>M6</f>
        <v>#REF!</v>
      </c>
      <c r="O6" s="18" t="e">
        <f>M6</f>
        <v>#REF!</v>
      </c>
      <c r="P6" s="238" t="e">
        <f>M6-O6</f>
        <v>#REF!</v>
      </c>
      <c r="Q6" s="1" t="e">
        <f>M6*$M$24</f>
        <v>#REF!</v>
      </c>
      <c r="R6" s="24"/>
      <c r="S6" s="21"/>
      <c r="T6" s="21"/>
      <c r="U6" s="2"/>
      <c r="V6" s="2"/>
      <c r="W6" s="159"/>
      <c r="X6" s="20"/>
      <c r="Y6" s="125"/>
      <c r="Z6" s="126"/>
      <c r="AA6" s="21"/>
      <c r="AB6" s="21"/>
      <c r="AC6" s="21"/>
      <c r="AD6" s="21"/>
      <c r="AE6" s="2"/>
      <c r="AF6" s="2"/>
      <c r="AG6" s="2"/>
      <c r="AH6" s="2"/>
      <c r="AI6" s="2"/>
      <c r="AJ6" s="2"/>
      <c r="AK6" s="2"/>
      <c r="AL6" s="2"/>
      <c r="AM6" s="253"/>
      <c r="AN6" s="253"/>
      <c r="AO6" s="253"/>
      <c r="AP6" s="253"/>
    </row>
    <row r="7" spans="1:42" ht="15">
      <c r="A7" s="17" t="s">
        <v>5</v>
      </c>
      <c r="B7" s="324">
        <f>IF($B$24&lt;&gt;0,$D$102,0)</f>
        <v>4.6393632152410781E-3</v>
      </c>
      <c r="C7" s="23">
        <v>7.4774681724732069E-3</v>
      </c>
      <c r="D7" s="315">
        <v>4.2586033477899779E-3</v>
      </c>
      <c r="E7" s="447">
        <f>$H$102</f>
        <v>4.4541513799177916E-2</v>
      </c>
      <c r="F7" s="23">
        <v>5.1789467822632336E-2</v>
      </c>
      <c r="G7" s="325">
        <v>5.0065205607455927E-2</v>
      </c>
      <c r="H7" s="324">
        <f>IF($H$24&lt;&gt;0,$H$102,0)</f>
        <v>0</v>
      </c>
      <c r="I7" s="23">
        <v>5.970646436615077E-2</v>
      </c>
      <c r="J7" s="315">
        <v>5.0065205607455927E-2</v>
      </c>
      <c r="K7" s="23"/>
      <c r="L7" s="23"/>
      <c r="M7" s="324">
        <f t="shared" ref="M7:M11" si="0">(B7*B$24+E7*E$24+H7*H$24)/M$24</f>
        <v>1.8264487804878046E-2</v>
      </c>
      <c r="N7" s="23">
        <v>6.5396806966618289E-3</v>
      </c>
      <c r="O7" s="23" t="e">
        <f>IF($M$22&lt;$N$22,M7,IF($M$12&lt;$N$12,M7,IF(AND($M$12&gt;$N$12,$M$20&lt;$N$20),(($N$7+$N$8+$N$9+$N$10+$N$11)+($N$20-$M$20))/($M$7+$M$8+$M$9+$M$10+$M$11)*M7,M7/($M$7+$M$8+$M$9+$M$10+$M$11)*($N$7+$N$8+$N$9+$N$10+$N$11))))</f>
        <v>#REF!</v>
      </c>
      <c r="P7" s="315" t="e">
        <f t="shared" ref="P7:P11" si="1">M7-O7</f>
        <v>#REF!</v>
      </c>
      <c r="Q7" s="1">
        <f t="shared" ref="Q7:Q11" si="2">M7*$M$24</f>
        <v>4493.0639999999994</v>
      </c>
      <c r="R7" s="24">
        <f>ROUND($G$96*$H$96,0)</f>
        <v>5333064</v>
      </c>
      <c r="S7" s="24">
        <v>0</v>
      </c>
      <c r="T7" s="24">
        <f>SUM(R7:S7)</f>
        <v>5333064</v>
      </c>
      <c r="U7" s="19">
        <f>G96</f>
        <v>73569600</v>
      </c>
      <c r="V7" s="25">
        <f>T7/U7</f>
        <v>7.249005023814184E-2</v>
      </c>
      <c r="W7" s="159" t="s">
        <v>6</v>
      </c>
      <c r="X7" s="20" t="s">
        <v>7</v>
      </c>
      <c r="Y7" s="125">
        <v>630010</v>
      </c>
      <c r="Z7" s="126">
        <v>1</v>
      </c>
      <c r="AA7" s="24">
        <f>ROUND($B$102*$C$102*$B$24*1000,0)</f>
        <v>751577</v>
      </c>
      <c r="AB7" s="24">
        <f>ROUND($F$102*$G$102*$E$24*1000,0)</f>
        <v>3741487</v>
      </c>
      <c r="AC7" s="24">
        <f>ROUND($F$102*$G$102*$H$24*1000,0)</f>
        <v>0</v>
      </c>
      <c r="AD7" s="24">
        <f>SUM(AA7:AC7)</f>
        <v>4493064</v>
      </c>
      <c r="AE7" s="19">
        <f>$B$102*$B$24*1000</f>
        <v>10368000</v>
      </c>
      <c r="AF7" s="19">
        <f>$F$102*$E$24*1000</f>
        <v>63201600</v>
      </c>
      <c r="AG7" s="19">
        <f>$F$102*$H$24*1000</f>
        <v>0</v>
      </c>
      <c r="AH7" s="19">
        <f>SUM(AE7:AG7)</f>
        <v>73569600</v>
      </c>
      <c r="AI7" s="25">
        <f>AD7/AH7</f>
        <v>6.1072290728779281E-2</v>
      </c>
      <c r="AJ7" s="56">
        <f>ROUND(AE7/$B$24,3)</f>
        <v>64</v>
      </c>
      <c r="AK7" s="56">
        <f>ROUND(AF7/$E$24,3)</f>
        <v>752.4</v>
      </c>
      <c r="AL7" s="56">
        <f>IF($H$24&lt;&gt;0,ROUND(AG7/$H$24,3),0)</f>
        <v>0</v>
      </c>
      <c r="AM7" s="241" t="e">
        <f>P7*$M$24</f>
        <v>#REF!</v>
      </c>
      <c r="AN7" s="241" t="e">
        <f>$AM7/$AH7*AE7</f>
        <v>#REF!</v>
      </c>
      <c r="AO7" s="241" t="e">
        <f t="shared" ref="AO7:AP11" si="3">$AM7/$AH7*AF7</f>
        <v>#REF!</v>
      </c>
      <c r="AP7" s="241" t="e">
        <f t="shared" si="3"/>
        <v>#REF!</v>
      </c>
    </row>
    <row r="8" spans="1:42" ht="15">
      <c r="A8" s="26" t="s">
        <v>8</v>
      </c>
      <c r="B8" s="326">
        <f>IF($B$24&lt;&gt;0,$D$107,0)</f>
        <v>1.8093844254559767E-2</v>
      </c>
      <c r="C8" s="23">
        <v>2.6943144720550712E-2</v>
      </c>
      <c r="D8" s="315">
        <v>2.1338942513967681E-2</v>
      </c>
      <c r="E8" s="326">
        <f>$H$107</f>
        <v>1.0079675794777587E-2</v>
      </c>
      <c r="F8" s="23">
        <v>2.268105439077309E-2</v>
      </c>
      <c r="G8" s="315">
        <v>1.1887447427872407E-2</v>
      </c>
      <c r="H8" s="326">
        <f>IF($H$24&lt;&gt;0,$H$107,0)</f>
        <v>0</v>
      </c>
      <c r="I8" s="23">
        <v>2.3336341873140834E-2</v>
      </c>
      <c r="J8" s="315">
        <v>1.1887447427872407E-2</v>
      </c>
      <c r="K8" s="23"/>
      <c r="L8" s="23"/>
      <c r="M8" s="326">
        <f t="shared" si="0"/>
        <v>1.5357298926829266E-2</v>
      </c>
      <c r="N8" s="23">
        <v>2.9646432510885341E-2</v>
      </c>
      <c r="O8" s="23" t="e">
        <f>IF($M$22&lt;$N$22,M8,IF($M$12&lt;$N$12,M8,IF(AND($M$12&gt;$N$12,$M$20&lt;$N$20),(($N$7+$N$8+$N$9+$N$10+$N$11)+($N$20-$M$20))/($M$7+$M$8+$M$9+$M$10+$M$11)*M8,M8/($M$7+$M$8+$M$9+$M$10+$M$11)*($N$7+$N$8+$N$9+$N$10+$N$11))))</f>
        <v>#REF!</v>
      </c>
      <c r="P8" s="315" t="e">
        <f t="shared" si="1"/>
        <v>#REF!</v>
      </c>
      <c r="Q8" s="1">
        <f t="shared" si="2"/>
        <v>3777.8955359999995</v>
      </c>
      <c r="R8" s="24">
        <f>ROUND($D$96*$C$96,0)</f>
        <v>3777896</v>
      </c>
      <c r="S8" s="24">
        <v>0</v>
      </c>
      <c r="T8" s="24">
        <f>SUM(R8:S8)</f>
        <v>3777896</v>
      </c>
      <c r="U8" s="19">
        <f>C96*1000</f>
        <v>914520000.00000012</v>
      </c>
      <c r="V8" s="25">
        <f>T8/U8</f>
        <v>4.1310151773608006E-3</v>
      </c>
      <c r="W8" s="159" t="s">
        <v>9</v>
      </c>
      <c r="X8" s="20" t="s">
        <v>10</v>
      </c>
      <c r="Y8" s="125" t="s">
        <v>75</v>
      </c>
      <c r="Z8" s="126">
        <v>1</v>
      </c>
      <c r="AA8" s="24">
        <f>ROUND($B$107*$C$107*$B$24*1000,0)</f>
        <v>2931203</v>
      </c>
      <c r="AB8" s="24">
        <f>ROUND($F$107*$G$107*$E$24*1000,0)</f>
        <v>846693</v>
      </c>
      <c r="AC8" s="24">
        <f>ROUND($F$107*$G$107*$H$24*1000,0)</f>
        <v>0</v>
      </c>
      <c r="AD8" s="24">
        <f t="shared" ref="AD8:AD11" si="4">SUM(AA8:AC8)</f>
        <v>3777896</v>
      </c>
      <c r="AE8" s="19">
        <f>$B$107*$B$24*1000*1000</f>
        <v>709560000.00000012</v>
      </c>
      <c r="AF8" s="19">
        <f>$F$107*$E$24*1000*1000</f>
        <v>204960000.00000003</v>
      </c>
      <c r="AG8" s="19">
        <f>$F$107*$H$24*1000*1000</f>
        <v>0</v>
      </c>
      <c r="AH8" s="19">
        <f t="shared" ref="AH8:AH11" si="5">SUM(AE8:AG8)</f>
        <v>914520000.00000012</v>
      </c>
      <c r="AI8" s="25">
        <f>AD8/AH8</f>
        <v>4.1310151773608006E-3</v>
      </c>
      <c r="AJ8" s="56">
        <f>ROUND(AE8/$B$24,3)</f>
        <v>4380</v>
      </c>
      <c r="AK8" s="56">
        <f>ROUND(AF8/$E$24,3)</f>
        <v>2440</v>
      </c>
      <c r="AL8" s="56">
        <f>IF($H$24&lt;&gt;0,ROUND(AG8/$H$24,3),0)</f>
        <v>0</v>
      </c>
      <c r="AM8" s="241" t="e">
        <f>P8*$M$24</f>
        <v>#REF!</v>
      </c>
      <c r="AN8" s="241" t="e">
        <f>$AM8/$AH8*AE8</f>
        <v>#REF!</v>
      </c>
      <c r="AO8" s="241" t="e">
        <f t="shared" si="3"/>
        <v>#REF!</v>
      </c>
      <c r="AP8" s="241" t="e">
        <f t="shared" si="3"/>
        <v>#REF!</v>
      </c>
    </row>
    <row r="9" spans="1:42" ht="15">
      <c r="A9" s="17" t="s">
        <v>11</v>
      </c>
      <c r="B9" s="326">
        <f>IF($B$24&lt;&gt;0,$H$117,0)</f>
        <v>9.3495929268292682E-3</v>
      </c>
      <c r="C9" s="23">
        <v>1.4341646397233654E-2</v>
      </c>
      <c r="D9" s="315">
        <v>1.2419503219871205E-2</v>
      </c>
      <c r="E9" s="326">
        <f>$H$117</f>
        <v>9.3495929268292682E-3</v>
      </c>
      <c r="F9" s="23">
        <v>1.8091919034933433E-2</v>
      </c>
      <c r="G9" s="315">
        <v>1.2419503219871205E-2</v>
      </c>
      <c r="H9" s="326">
        <f>IF($H$24&lt;&gt;0,$H$117,0)</f>
        <v>0</v>
      </c>
      <c r="I9" s="23">
        <v>2.9451034169154577E-2</v>
      </c>
      <c r="J9" s="315">
        <v>1.2419503219871205E-2</v>
      </c>
      <c r="K9" s="23"/>
      <c r="L9" s="23"/>
      <c r="M9" s="326">
        <f t="shared" si="0"/>
        <v>9.3495929268292682E-3</v>
      </c>
      <c r="N9" s="23">
        <v>1.4439611030478954E-2</v>
      </c>
      <c r="O9" s="23" t="e">
        <f>IF($M$22&lt;$N$22,M9,IF($M$12&lt;$N$12,M9,IF(AND($M$12&gt;$N$12,$M$20&lt;$N$20),(($N$7+$N$8+$N$9+$N$10+$N$11)+($N$20-$M$20))/($M$7+$M$8+$M$9+$M$10+$M$11)*M9,M9/($M$7+$M$8+$M$9+$M$10+$M$11)*($N$7+$N$8+$N$9+$N$10+$N$11))))</f>
        <v>#REF!</v>
      </c>
      <c r="P9" s="315" t="e">
        <f t="shared" si="1"/>
        <v>#REF!</v>
      </c>
      <c r="Q9" s="1">
        <f t="shared" si="2"/>
        <v>2299.9998599999999</v>
      </c>
      <c r="R9" s="24">
        <f>ROUND($G$117,0)</f>
        <v>2300000</v>
      </c>
      <c r="S9" s="24">
        <v>0</v>
      </c>
      <c r="T9" s="24">
        <f>SUM(R9:S9)</f>
        <v>2300000</v>
      </c>
      <c r="U9" s="19">
        <f>$B$25*1000</f>
        <v>246000000</v>
      </c>
      <c r="V9" s="25">
        <f>T9/U9</f>
        <v>9.3495934959349596E-3</v>
      </c>
      <c r="W9" s="159" t="s">
        <v>12</v>
      </c>
      <c r="X9" s="20" t="s">
        <v>13</v>
      </c>
      <c r="Y9" s="125" t="s">
        <v>76</v>
      </c>
      <c r="Z9" s="126">
        <v>1</v>
      </c>
      <c r="AA9" s="24">
        <f>$H$117*$B$24*1000</f>
        <v>1514634.0541463415</v>
      </c>
      <c r="AB9" s="24">
        <f>$H$117*$E$24*1000</f>
        <v>785365.80585365859</v>
      </c>
      <c r="AC9" s="24">
        <f>$H$117*$H$24*1000</f>
        <v>0</v>
      </c>
      <c r="AD9" s="24">
        <f t="shared" si="4"/>
        <v>2299999.8600000003</v>
      </c>
      <c r="AE9" s="19">
        <f>$B$24*1000</f>
        <v>162000000</v>
      </c>
      <c r="AF9" s="19">
        <f>$E$24*1000</f>
        <v>84000000</v>
      </c>
      <c r="AG9" s="19">
        <f>$H$24*1000</f>
        <v>0</v>
      </c>
      <c r="AH9" s="19">
        <f t="shared" si="5"/>
        <v>246000000</v>
      </c>
      <c r="AI9" s="25">
        <f>AD9/AH9</f>
        <v>9.3495929268292699E-3</v>
      </c>
      <c r="AJ9" s="56">
        <f>ROUND(AE9/$B$24,3)</f>
        <v>1000</v>
      </c>
      <c r="AK9" s="56">
        <f>ROUND(AF9/$E$24,3)</f>
        <v>1000</v>
      </c>
      <c r="AL9" s="56">
        <f>IF($H$24&lt;&gt;0,ROUND(AG9/$H$24,3),0)</f>
        <v>0</v>
      </c>
      <c r="AM9" s="241" t="e">
        <f>P9*$M$24</f>
        <v>#REF!</v>
      </c>
      <c r="AN9" s="241" t="e">
        <f t="shared" ref="AN9:AN11" si="6">$AM9/$AH9*AE9</f>
        <v>#REF!</v>
      </c>
      <c r="AO9" s="241" t="e">
        <f t="shared" si="3"/>
        <v>#REF!</v>
      </c>
      <c r="AP9" s="241" t="e">
        <f t="shared" si="3"/>
        <v>#REF!</v>
      </c>
    </row>
    <row r="10" spans="1:42" ht="15">
      <c r="A10" s="17" t="s">
        <v>14</v>
      </c>
      <c r="B10" s="326">
        <f>IF($B$24&lt;&gt;0,$H$121,0)</f>
        <v>8.1300813008130081E-4</v>
      </c>
      <c r="C10" s="23">
        <v>1.7571987252344094E-3</v>
      </c>
      <c r="D10" s="315">
        <v>6.8997240110395589E-4</v>
      </c>
      <c r="E10" s="326">
        <f>$H$121</f>
        <v>8.1300813008130081E-4</v>
      </c>
      <c r="F10" s="23">
        <v>7.0933264503030852E-3</v>
      </c>
      <c r="G10" s="315">
        <v>6.8997240110395589E-4</v>
      </c>
      <c r="H10" s="326">
        <f>IF($H$24&lt;&gt;0,$H$121,0)</f>
        <v>0</v>
      </c>
      <c r="I10" s="23">
        <v>1.1193950669625665E-2</v>
      </c>
      <c r="J10" s="315">
        <v>6.8997240110395589E-4</v>
      </c>
      <c r="K10" s="23"/>
      <c r="L10" s="23"/>
      <c r="M10" s="326">
        <f t="shared" si="0"/>
        <v>8.1300813008130081E-4</v>
      </c>
      <c r="N10" s="23">
        <v>1.1089114658925979E-3</v>
      </c>
      <c r="O10" s="23" t="e">
        <f>IF($M$22&lt;$N$22,M10,IF($M$12&lt;$N$12,M10,IF(AND($M$12&gt;$N$12,$M$20&lt;$N$20),(($N$7+$N$8+$N$9+$N$10+$N$11)+($N$20-$M$20))/($M$7+$M$8+$M$9+$M$10+$M$11)*M10,M10/($M$7+$M$8+$M$9+$M$10+$M$11)*($N$7+$N$8+$N$9+$N$10+$N$11))))</f>
        <v>#REF!</v>
      </c>
      <c r="P10" s="315" t="e">
        <f t="shared" si="1"/>
        <v>#REF!</v>
      </c>
      <c r="Q10" s="1">
        <f t="shared" si="2"/>
        <v>200</v>
      </c>
      <c r="R10" s="24">
        <f>ROUND($G$121,0)</f>
        <v>200000</v>
      </c>
      <c r="S10" s="24">
        <v>0</v>
      </c>
      <c r="T10" s="24">
        <f>SUM(R10:S10)</f>
        <v>200000</v>
      </c>
      <c r="U10" s="19">
        <f>$B$25*1000</f>
        <v>246000000</v>
      </c>
      <c r="V10" s="25">
        <f>T10/U10</f>
        <v>8.1300813008130081E-4</v>
      </c>
      <c r="W10" s="159" t="s">
        <v>12</v>
      </c>
      <c r="X10" s="20" t="s">
        <v>15</v>
      </c>
      <c r="Y10" s="125" t="s">
        <v>77</v>
      </c>
      <c r="Z10" s="126">
        <v>1</v>
      </c>
      <c r="AA10" s="24">
        <f>$H$121*$B$24*1000</f>
        <v>131707.31707317074</v>
      </c>
      <c r="AB10" s="24">
        <f>$H$121*$E$24*1000</f>
        <v>68292.682926829279</v>
      </c>
      <c r="AC10" s="24">
        <f>$H$121*$H$24*1000</f>
        <v>0</v>
      </c>
      <c r="AD10" s="24">
        <f t="shared" si="4"/>
        <v>200000</v>
      </c>
      <c r="AE10" s="19">
        <f>$B$24*1000</f>
        <v>162000000</v>
      </c>
      <c r="AF10" s="19">
        <f>$E$24*1000</f>
        <v>84000000</v>
      </c>
      <c r="AG10" s="19">
        <f>$H$24*1000</f>
        <v>0</v>
      </c>
      <c r="AH10" s="19">
        <f t="shared" si="5"/>
        <v>246000000</v>
      </c>
      <c r="AI10" s="25">
        <f>AD10/AH10</f>
        <v>8.1300813008130081E-4</v>
      </c>
      <c r="AJ10" s="56">
        <f>ROUND(AE10/$B$24,3)</f>
        <v>1000</v>
      </c>
      <c r="AK10" s="56">
        <f>ROUND(AF10/$E$24,3)</f>
        <v>1000</v>
      </c>
      <c r="AL10" s="56">
        <f>IF($H$24&lt;&gt;0,ROUND(AG10/$H$24,3),0)</f>
        <v>0</v>
      </c>
      <c r="AM10" s="241" t="e">
        <f>P10*$M$24</f>
        <v>#REF!</v>
      </c>
      <c r="AN10" s="241" t="e">
        <f t="shared" si="6"/>
        <v>#REF!</v>
      </c>
      <c r="AO10" s="241" t="e">
        <f t="shared" si="3"/>
        <v>#REF!</v>
      </c>
      <c r="AP10" s="241" t="e">
        <f t="shared" si="3"/>
        <v>#REF!</v>
      </c>
    </row>
    <row r="11" spans="1:42" ht="15">
      <c r="A11" s="17" t="s">
        <v>16</v>
      </c>
      <c r="B11" s="336">
        <f>IF($B$24&lt;&gt;0,$H$124,0)</f>
        <v>3.0487804878048782E-3</v>
      </c>
      <c r="C11" s="27">
        <v>8.1960496265715312E-3</v>
      </c>
      <c r="D11" s="316">
        <v>2.2999080036798527E-3</v>
      </c>
      <c r="E11" s="327">
        <f>$H$124</f>
        <v>3.0487804878048782E-3</v>
      </c>
      <c r="F11" s="27">
        <v>1.9526413286256691E-2</v>
      </c>
      <c r="G11" s="317">
        <v>2.2999080036798527E-3</v>
      </c>
      <c r="H11" s="327">
        <f>IF($H$24&lt;&gt;0,$H$124,0)</f>
        <v>0</v>
      </c>
      <c r="I11" s="27">
        <v>1.9444311706705755E-2</v>
      </c>
      <c r="J11" s="317">
        <v>2.2999080036798527E-3</v>
      </c>
      <c r="K11" s="31"/>
      <c r="L11" s="31"/>
      <c r="M11" s="327">
        <f t="shared" si="0"/>
        <v>3.0487804878048782E-3</v>
      </c>
      <c r="N11" s="27">
        <v>3.106188679245283E-3</v>
      </c>
      <c r="O11" s="27" t="e">
        <f>IF($M$22&lt;$N$22,M11,IF($M$12&lt;$N$12,M11,IF(AND($M$12&gt;$N$12,$M$20&lt;$N$20),(($N$7+$N$8+$N$9+$N$10+$N$11)+($N$20-$M$20))/($M$7+$M$8+$M$9+$M$10+$M$11)*M11,M11/($M$7+$M$8+$M$9+$M$10+$M$11)*($N$7+$N$8+$N$9+$N$10+$N$11))))</f>
        <v>#REF!</v>
      </c>
      <c r="P11" s="317" t="e">
        <f t="shared" si="1"/>
        <v>#REF!</v>
      </c>
      <c r="Q11" s="372">
        <f t="shared" si="2"/>
        <v>750</v>
      </c>
      <c r="R11" s="28">
        <f>ROUND($G$124,0)</f>
        <v>750000</v>
      </c>
      <c r="S11" s="28">
        <v>0</v>
      </c>
      <c r="T11" s="28">
        <f>SUM(R11:S11)</f>
        <v>750000</v>
      </c>
      <c r="U11" s="19">
        <f>$B$25*1000</f>
        <v>246000000</v>
      </c>
      <c r="V11" s="25">
        <f>T11/U11</f>
        <v>3.0487804878048782E-3</v>
      </c>
      <c r="W11" s="159" t="s">
        <v>12</v>
      </c>
      <c r="X11" s="20" t="s">
        <v>17</v>
      </c>
      <c r="Y11" s="125" t="s">
        <v>78</v>
      </c>
      <c r="Z11" s="127" t="s">
        <v>78</v>
      </c>
      <c r="AA11" s="28">
        <f>$H$124*$B$24*1000</f>
        <v>493902.4390243903</v>
      </c>
      <c r="AB11" s="28">
        <f>$H$124*$E$24*1000</f>
        <v>256097.56097560978</v>
      </c>
      <c r="AC11" s="28">
        <f>$H$124*$H$24*1000</f>
        <v>0</v>
      </c>
      <c r="AD11" s="28">
        <f t="shared" si="4"/>
        <v>750000.00000000012</v>
      </c>
      <c r="AE11" s="19">
        <f>$B$24*1000</f>
        <v>162000000</v>
      </c>
      <c r="AF11" s="19">
        <f>$E$24*1000</f>
        <v>84000000</v>
      </c>
      <c r="AG11" s="19">
        <f>$H$24*1000</f>
        <v>0</v>
      </c>
      <c r="AH11" s="19">
        <f t="shared" si="5"/>
        <v>246000000</v>
      </c>
      <c r="AI11" s="25">
        <f>AD11/AH11</f>
        <v>3.0487804878048786E-3</v>
      </c>
      <c r="AJ11" s="56">
        <f>ROUND(AE11/$B$24,3)</f>
        <v>1000</v>
      </c>
      <c r="AK11" s="56">
        <f>ROUND(AF11/$E$24,3)</f>
        <v>1000</v>
      </c>
      <c r="AL11" s="56">
        <f>IF($H$24&lt;&gt;0,ROUND(AG11/$H$24,3),0)</f>
        <v>0</v>
      </c>
      <c r="AM11" s="384" t="e">
        <f>P11*$M$24</f>
        <v>#REF!</v>
      </c>
      <c r="AN11" s="384" t="e">
        <f t="shared" si="6"/>
        <v>#REF!</v>
      </c>
      <c r="AO11" s="384" t="e">
        <f t="shared" si="3"/>
        <v>#REF!</v>
      </c>
      <c r="AP11" s="384" t="e">
        <f t="shared" si="3"/>
        <v>#REF!</v>
      </c>
    </row>
    <row r="12" spans="1:42">
      <c r="A12" s="192" t="s">
        <v>169</v>
      </c>
      <c r="B12" s="326" t="e">
        <f t="shared" ref="B12:D12" si="7">SUM(B6:B11)</f>
        <v>#REF!</v>
      </c>
      <c r="C12" s="23">
        <f t="shared" si="7"/>
        <v>0.11056376410093133</v>
      </c>
      <c r="D12" s="315">
        <f t="shared" si="7"/>
        <v>8.3718237343555532E-2</v>
      </c>
      <c r="E12" s="326" t="e">
        <f>SUM(E6:E11)</f>
        <v>#REF!</v>
      </c>
      <c r="F12" s="23">
        <f t="shared" ref="F12" si="8">SUM(F6:F11)</f>
        <v>0.25563089795930471</v>
      </c>
      <c r="G12" s="315">
        <f>SUM(G6:G11)</f>
        <v>0.1646683445171262</v>
      </c>
      <c r="H12" s="326">
        <f>SUM(H6:H11)</f>
        <v>0</v>
      </c>
      <c r="I12" s="23">
        <f t="shared" ref="I12" si="9">SUM(I6:I11)</f>
        <v>0.63304300185999618</v>
      </c>
      <c r="J12" s="315">
        <f>SUM(J6:J11)</f>
        <v>0.42293603665998336</v>
      </c>
      <c r="K12" s="23"/>
      <c r="L12" s="23"/>
      <c r="M12" s="326" t="e">
        <f>SUM(M6:M11)</f>
        <v>#REF!</v>
      </c>
      <c r="N12" s="23" t="e">
        <f t="shared" ref="N12:P12" si="10">SUM(N6:N11)</f>
        <v>#REF!</v>
      </c>
      <c r="O12" s="23" t="e">
        <f t="shared" si="10"/>
        <v>#REF!</v>
      </c>
      <c r="P12" s="315" t="e">
        <f t="shared" si="10"/>
        <v>#REF!</v>
      </c>
      <c r="Q12" s="1">
        <f>SUM(Q7:Q11)</f>
        <v>11520.959395999998</v>
      </c>
      <c r="R12" s="29">
        <f>SUM(R7:R11)</f>
        <v>12360960</v>
      </c>
      <c r="S12" s="29">
        <f>SUM(S7:S11)</f>
        <v>0</v>
      </c>
      <c r="T12" s="29">
        <f>SUM(T7:T11)</f>
        <v>12360960</v>
      </c>
      <c r="U12" s="19"/>
      <c r="V12" s="19"/>
      <c r="W12" s="159"/>
      <c r="X12" s="20"/>
      <c r="Y12" s="125"/>
      <c r="Z12" s="127"/>
      <c r="AA12" s="29">
        <f>SUM(AA7:AA11)</f>
        <v>5823023.8102439037</v>
      </c>
      <c r="AB12" s="29">
        <f>SUM(AB7:AB11)</f>
        <v>5697936.0497560967</v>
      </c>
      <c r="AC12" s="29">
        <f>SUM(AC7:AC11)</f>
        <v>0</v>
      </c>
      <c r="AD12" s="29">
        <f>SUM(AD7:AD11)</f>
        <v>11520959.859999999</v>
      </c>
      <c r="AE12" s="19"/>
      <c r="AF12" s="19"/>
      <c r="AG12" s="19"/>
      <c r="AH12" s="19"/>
      <c r="AI12" s="19"/>
      <c r="AJ12" s="19"/>
      <c r="AK12" s="19"/>
      <c r="AL12" s="19"/>
      <c r="AM12" s="102" t="e">
        <f>SUM(AM7:AM11)</f>
        <v>#REF!</v>
      </c>
      <c r="AN12" s="102" t="e">
        <f t="shared" ref="AN12:AP12" si="11">SUM(AN7:AN11)</f>
        <v>#REF!</v>
      </c>
      <c r="AO12" s="102" t="e">
        <f t="shared" si="11"/>
        <v>#REF!</v>
      </c>
      <c r="AP12" s="102" t="e">
        <f t="shared" si="11"/>
        <v>#REF!</v>
      </c>
    </row>
    <row r="13" spans="1:42">
      <c r="A13" s="17"/>
      <c r="B13" s="328"/>
      <c r="C13" s="23"/>
      <c r="D13" s="315"/>
      <c r="E13" s="328"/>
      <c r="F13" s="23"/>
      <c r="G13" s="329"/>
      <c r="H13" s="326"/>
      <c r="I13" s="23"/>
      <c r="J13" s="315"/>
      <c r="K13" s="23"/>
      <c r="L13" s="23"/>
      <c r="M13" s="326"/>
      <c r="N13" s="23"/>
      <c r="O13" s="23"/>
      <c r="P13" s="315"/>
      <c r="R13" s="29"/>
      <c r="S13" s="29"/>
      <c r="T13" s="29"/>
      <c r="U13" s="19"/>
      <c r="V13" s="19"/>
      <c r="W13" s="159"/>
      <c r="X13" s="20"/>
      <c r="Y13" s="125"/>
      <c r="Z13" s="127"/>
      <c r="AA13" s="29"/>
      <c r="AB13" s="29"/>
      <c r="AC13" s="29"/>
      <c r="AD13" s="29"/>
      <c r="AE13" s="19"/>
      <c r="AF13" s="19"/>
      <c r="AG13" s="19"/>
      <c r="AH13" s="19"/>
      <c r="AI13" s="19"/>
      <c r="AJ13" s="19"/>
      <c r="AK13" s="19"/>
      <c r="AL13" s="19"/>
      <c r="AM13" s="102"/>
      <c r="AN13" s="102"/>
      <c r="AO13" s="102"/>
      <c r="AP13" s="102"/>
    </row>
    <row r="14" spans="1:42">
      <c r="A14" s="17" t="s">
        <v>18</v>
      </c>
      <c r="B14" s="326">
        <f>IF($B$24&lt;&gt;0,$F$87/$B$24/1000,0)</f>
        <v>1.578828791335089E-2</v>
      </c>
      <c r="C14" s="23">
        <v>1.1406821711646385E-2</v>
      </c>
      <c r="D14" s="315">
        <v>8.6668016661186568E-3</v>
      </c>
      <c r="E14" s="326">
        <f>$H$87/($E$24+$H$24)/1000</f>
        <v>1.5788287913350886E-2</v>
      </c>
      <c r="F14" s="23">
        <v>4.6935867548224E-2</v>
      </c>
      <c r="G14" s="315">
        <v>3.3876227767366693E-2</v>
      </c>
      <c r="H14" s="326">
        <f>IF($H$24&lt;&gt;0,$H$87/($E$24+$H$24)/1000,0)</f>
        <v>0</v>
      </c>
      <c r="I14" s="23">
        <v>4.6340890116036294E-2</v>
      </c>
      <c r="J14" s="315">
        <v>3.3876227767366693E-2</v>
      </c>
      <c r="K14" s="23"/>
      <c r="L14" s="23"/>
      <c r="M14" s="326">
        <f t="shared" ref="M14:M19" si="12">(B14*B$24+E14*E$24+H14*H$24)/M$24</f>
        <v>1.578828791335089E-2</v>
      </c>
      <c r="N14" s="23">
        <v>1.130844702467344E-2</v>
      </c>
      <c r="O14" s="23" t="e">
        <f>IF($M$22&lt;$N$22,M14,IF($M$20&lt;$N$20,M14,IF(AND($M$20&gt;$N$20,$M$12&lt;$N$12),($N$20+($N$12-$M$12))/$M$20*M14,M14/$M$20*$N$20)))</f>
        <v>#REF!</v>
      </c>
      <c r="P14" s="315" t="e">
        <f t="shared" ref="P14:P19" si="13">M14-O14</f>
        <v>#REF!</v>
      </c>
      <c r="Q14" s="1">
        <f t="shared" ref="Q14:Q19" si="14">M14*$M$24</f>
        <v>3883.9188266843189</v>
      </c>
      <c r="R14" s="24">
        <f>ROUND($D$76,0)</f>
        <v>3883919</v>
      </c>
      <c r="S14" s="24">
        <f>ROUND($D$75,0)</f>
        <v>123879</v>
      </c>
      <c r="T14" s="24">
        <f t="shared" ref="T14:T19" si="15">SUM(R14:S14)</f>
        <v>4007798</v>
      </c>
      <c r="U14" s="19">
        <f>$B$74</f>
        <v>124354.79999999999</v>
      </c>
      <c r="V14" s="25">
        <f t="shared" ref="V14:V19" si="16">T14/U14</f>
        <v>32.228735842926852</v>
      </c>
      <c r="W14" s="159" t="s">
        <v>19</v>
      </c>
      <c r="X14" s="20" t="s">
        <v>20</v>
      </c>
      <c r="Y14" s="125" t="s">
        <v>78</v>
      </c>
      <c r="Z14" s="127" t="s">
        <v>78</v>
      </c>
      <c r="AA14" s="24">
        <f>$F87</f>
        <v>2557702.6419628439</v>
      </c>
      <c r="AB14" s="24">
        <f>$H87/($E$24+$H$24)*E24</f>
        <v>1326216.1847214745</v>
      </c>
      <c r="AC14" s="24">
        <f>$H87/($E$24+$H$24)*H24</f>
        <v>0</v>
      </c>
      <c r="AD14" s="24">
        <f t="shared" ref="AD14:AD19" si="17">SUM(AA14:AC14)</f>
        <v>3883918.8266843185</v>
      </c>
      <c r="AE14" s="19">
        <f>$E87</f>
        <v>79360.935365853657</v>
      </c>
      <c r="AF14" s="19">
        <f>$G87/($E$24+$H$24)*E24</f>
        <v>41150.114634146339</v>
      </c>
      <c r="AG14" s="19">
        <f>$G87/($E$24+$H$24)*H24</f>
        <v>0</v>
      </c>
      <c r="AH14" s="19">
        <f t="shared" ref="AH14:AH19" si="18">SUM(AE14:AG14)</f>
        <v>120511.04999999999</v>
      </c>
      <c r="AI14" s="25">
        <f t="shared" ref="AI14:AI19" si="19">AD14/AH14</f>
        <v>32.228736092535236</v>
      </c>
      <c r="AJ14" s="56">
        <f t="shared" ref="AJ14:AJ19" si="20">ROUND(AE14/$B$24,3)</f>
        <v>0.49</v>
      </c>
      <c r="AK14" s="56">
        <f t="shared" ref="AK14:AK19" si="21">ROUND(AF14/$E$24,3)</f>
        <v>0.49</v>
      </c>
      <c r="AL14" s="56">
        <f t="shared" ref="AL14:AL19" si="22">IF($H$24&lt;&gt;0,ROUND(AG14/$H$24,3),0)</f>
        <v>0</v>
      </c>
      <c r="AM14" s="241" t="e">
        <f t="shared" ref="AM14:AM19" si="23">P14*$M$24</f>
        <v>#REF!</v>
      </c>
      <c r="AN14" s="241" t="e">
        <f t="shared" ref="AN14:AP19" si="24">$AM14/$AH14*AE14</f>
        <v>#REF!</v>
      </c>
      <c r="AO14" s="241" t="e">
        <f t="shared" si="24"/>
        <v>#REF!</v>
      </c>
      <c r="AP14" s="241" t="e">
        <f t="shared" si="24"/>
        <v>#REF!</v>
      </c>
    </row>
    <row r="15" spans="1:42">
      <c r="A15" s="17" t="s">
        <v>21</v>
      </c>
      <c r="B15" s="326">
        <f>IF($B$24&lt;&gt;0,$F$88/$B$24/1000,0)</f>
        <v>5.6133044417560982E-3</v>
      </c>
      <c r="C15" s="23">
        <v>6.8035939956099384E-3</v>
      </c>
      <c r="D15" s="315">
        <v>5.7082690932158606E-3</v>
      </c>
      <c r="E15" s="326">
        <f>$H$88/($E$24+$H$24)/1000</f>
        <v>5.6133044417560982E-3</v>
      </c>
      <c r="F15" s="23">
        <v>1.6530869226761388E-2</v>
      </c>
      <c r="G15" s="315">
        <v>7.6368033280000006E-3</v>
      </c>
      <c r="H15" s="326">
        <f>IF($H$24&lt;&gt;0,$H$88/($E$24+$H$24)/1000,0)</f>
        <v>0</v>
      </c>
      <c r="I15" s="23">
        <v>1.7200245719289946E-2</v>
      </c>
      <c r="J15" s="315">
        <v>7.6368033280000006E-3</v>
      </c>
      <c r="K15" s="23"/>
      <c r="L15" s="23"/>
      <c r="M15" s="326">
        <f t="shared" si="12"/>
        <v>5.6133044417560974E-3</v>
      </c>
      <c r="N15" s="23">
        <v>5.2712801161103051E-3</v>
      </c>
      <c r="O15" s="23" t="e">
        <f t="shared" ref="O15:O19" si="25">IF($M$22&lt;$N$22,M15,IF($M$20&lt;$N$20,M15,IF(AND($M$20&gt;$N$20,$M$12&lt;$N$12),($N$20+($N$12-$M$12))/$M$20*M15,M15/$M$20*$N$20)))</f>
        <v>#REF!</v>
      </c>
      <c r="P15" s="315" t="e">
        <f t="shared" si="13"/>
        <v>#REF!</v>
      </c>
      <c r="Q15" s="1">
        <f t="shared" si="14"/>
        <v>1380.872892672</v>
      </c>
      <c r="R15" s="24">
        <f>ROUND($H$74,0)</f>
        <v>1380873</v>
      </c>
      <c r="S15" s="24">
        <v>0</v>
      </c>
      <c r="T15" s="24">
        <f t="shared" si="15"/>
        <v>1380873</v>
      </c>
      <c r="U15" s="19">
        <f>$F$74</f>
        <v>39486.720000000001</v>
      </c>
      <c r="V15" s="25">
        <f t="shared" si="16"/>
        <v>34.970567319848293</v>
      </c>
      <c r="W15" s="159" t="s">
        <v>19</v>
      </c>
      <c r="X15" s="20" t="s">
        <v>22</v>
      </c>
      <c r="Y15" s="125" t="s">
        <v>78</v>
      </c>
      <c r="Z15" s="127" t="s">
        <v>78</v>
      </c>
      <c r="AA15" s="24">
        <f>$F88</f>
        <v>909355.31956448802</v>
      </c>
      <c r="AB15" s="24">
        <f>$H88/($E$24+$H$24)*E24</f>
        <v>471517.57310751226</v>
      </c>
      <c r="AC15" s="24">
        <f>$H88/($E$24+$H$24)*H24</f>
        <v>0</v>
      </c>
      <c r="AD15" s="24">
        <f t="shared" si="17"/>
        <v>1380872.8926720002</v>
      </c>
      <c r="AE15" s="19">
        <f>$E88</f>
        <v>26003.449756097565</v>
      </c>
      <c r="AF15" s="19">
        <f>$G88/($E$24+$H$24)*E24</f>
        <v>13483.27024390244</v>
      </c>
      <c r="AG15" s="19">
        <f>$G88/($E$24+$H$24)*H24</f>
        <v>0</v>
      </c>
      <c r="AH15" s="19">
        <f t="shared" si="18"/>
        <v>39486.720000000001</v>
      </c>
      <c r="AI15" s="25">
        <f t="shared" si="19"/>
        <v>34.970564601769915</v>
      </c>
      <c r="AJ15" s="56">
        <f t="shared" si="20"/>
        <v>0.161</v>
      </c>
      <c r="AK15" s="56">
        <f t="shared" si="21"/>
        <v>0.161</v>
      </c>
      <c r="AL15" s="56">
        <f t="shared" si="22"/>
        <v>0</v>
      </c>
      <c r="AM15" s="241" t="e">
        <f t="shared" si="23"/>
        <v>#REF!</v>
      </c>
      <c r="AN15" s="241" t="e">
        <f t="shared" si="24"/>
        <v>#REF!</v>
      </c>
      <c r="AO15" s="241" t="e">
        <f t="shared" si="24"/>
        <v>#REF!</v>
      </c>
      <c r="AP15" s="241" t="e">
        <f t="shared" si="24"/>
        <v>#REF!</v>
      </c>
    </row>
    <row r="16" spans="1:42">
      <c r="A16" s="17" t="s">
        <v>23</v>
      </c>
      <c r="B16" s="324">
        <f>IF($B$24&lt;&gt;0,$F$89/$B$24/1000,0)</f>
        <v>9.5526384719625389E-3</v>
      </c>
      <c r="C16" s="23">
        <v>8.4807037416256559E-3</v>
      </c>
      <c r="D16" s="315">
        <v>6.3534946725212829E-3</v>
      </c>
      <c r="E16" s="324">
        <f>$H$89/($E$24+$H$24)/1000</f>
        <v>9.5526384719625337E-3</v>
      </c>
      <c r="F16" s="23">
        <v>2.4655898010653633E-2</v>
      </c>
      <c r="G16" s="325">
        <v>1.8636298500182859E-2</v>
      </c>
      <c r="H16" s="324">
        <f>IF($H$24&lt;&gt;0,$H$89/($E$24+$H$24)/1000,0)</f>
        <v>0</v>
      </c>
      <c r="I16" s="23">
        <v>1.9212926862216834E-2</v>
      </c>
      <c r="J16" s="315">
        <v>1.8636298500182859E-2</v>
      </c>
      <c r="K16" s="23"/>
      <c r="L16" s="23"/>
      <c r="M16" s="324">
        <f t="shared" si="12"/>
        <v>9.5526384719625372E-3</v>
      </c>
      <c r="N16" s="23">
        <v>8.0958838896952098E-3</v>
      </c>
      <c r="O16" s="23" t="e">
        <f t="shared" si="25"/>
        <v>#REF!</v>
      </c>
      <c r="P16" s="315" t="e">
        <f t="shared" si="13"/>
        <v>#REF!</v>
      </c>
      <c r="Q16" s="1">
        <f t="shared" si="14"/>
        <v>2349.9490641027842</v>
      </c>
      <c r="R16" s="24">
        <f>ROUND($D$84,0)</f>
        <v>2349949</v>
      </c>
      <c r="S16" s="24">
        <f>ROUND($D$83,0)</f>
        <v>74953</v>
      </c>
      <c r="T16" s="24">
        <f t="shared" si="15"/>
        <v>2424902</v>
      </c>
      <c r="U16" s="19">
        <f>$B$82</f>
        <v>124354.79999999999</v>
      </c>
      <c r="V16" s="25">
        <f t="shared" si="16"/>
        <v>19.499866510983093</v>
      </c>
      <c r="W16" s="159" t="s">
        <v>19</v>
      </c>
      <c r="X16" s="20" t="s">
        <v>24</v>
      </c>
      <c r="Y16" s="125" t="s">
        <v>78</v>
      </c>
      <c r="Z16" s="127" t="s">
        <v>78</v>
      </c>
      <c r="AA16" s="24">
        <f>$F89</f>
        <v>1547527.4324579311</v>
      </c>
      <c r="AB16" s="24">
        <f>$H89/($E$24+$H$24)*E24</f>
        <v>802421.63164485281</v>
      </c>
      <c r="AC16" s="24">
        <f>$H89/($E$24+$H$24)*H24</f>
        <v>0</v>
      </c>
      <c r="AD16" s="24">
        <f t="shared" si="17"/>
        <v>2349949.0641027838</v>
      </c>
      <c r="AE16" s="19">
        <f>$E89</f>
        <v>79360.935365853671</v>
      </c>
      <c r="AF16" s="19">
        <f>$G89/($E$24+$H$24)*E24</f>
        <v>41150.114634146332</v>
      </c>
      <c r="AG16" s="19">
        <f>$G89/($E$24+$H$24)*H24</f>
        <v>0</v>
      </c>
      <c r="AH16" s="19">
        <f t="shared" si="18"/>
        <v>120511.05</v>
      </c>
      <c r="AI16" s="25">
        <f t="shared" si="19"/>
        <v>19.499863822469258</v>
      </c>
      <c r="AJ16" s="56">
        <f t="shared" si="20"/>
        <v>0.49</v>
      </c>
      <c r="AK16" s="56">
        <f t="shared" si="21"/>
        <v>0.49</v>
      </c>
      <c r="AL16" s="56">
        <f t="shared" si="22"/>
        <v>0</v>
      </c>
      <c r="AM16" s="241" t="e">
        <f t="shared" si="23"/>
        <v>#REF!</v>
      </c>
      <c r="AN16" s="241" t="e">
        <f t="shared" si="24"/>
        <v>#REF!</v>
      </c>
      <c r="AO16" s="241" t="e">
        <f t="shared" si="24"/>
        <v>#REF!</v>
      </c>
      <c r="AP16" s="241" t="e">
        <f t="shared" si="24"/>
        <v>#REF!</v>
      </c>
    </row>
    <row r="17" spans="1:42">
      <c r="A17" s="26" t="s">
        <v>25</v>
      </c>
      <c r="B17" s="326">
        <f>IF($B$24&lt;&gt;0,$D$134,0)</f>
        <v>1.5030487804878047E-3</v>
      </c>
      <c r="C17" s="23">
        <v>2.8364259956918832E-3</v>
      </c>
      <c r="D17" s="315">
        <v>1.6697332106715731E-3</v>
      </c>
      <c r="E17" s="326">
        <f>$E$134</f>
        <v>1.5030487804878047E-3</v>
      </c>
      <c r="F17" s="23">
        <v>5.496632313134059E-3</v>
      </c>
      <c r="G17" s="315">
        <v>1.6697332106715731E-3</v>
      </c>
      <c r="H17" s="326">
        <f>IF($H$24&lt;&gt;0,$E$134,0)</f>
        <v>0</v>
      </c>
      <c r="I17" s="23">
        <v>5.7129132056770856E-3</v>
      </c>
      <c r="J17" s="315">
        <v>1.6697332106715731E-3</v>
      </c>
      <c r="K17" s="23"/>
      <c r="L17" s="23"/>
      <c r="M17" s="326">
        <f t="shared" si="12"/>
        <v>1.5030487804878047E-3</v>
      </c>
      <c r="N17" s="23">
        <v>2.0913265602322205E-3</v>
      </c>
      <c r="O17" s="23" t="e">
        <f t="shared" si="25"/>
        <v>#REF!</v>
      </c>
      <c r="P17" s="315" t="e">
        <f t="shared" si="13"/>
        <v>#REF!</v>
      </c>
      <c r="Q17" s="1">
        <f t="shared" si="14"/>
        <v>369.74999999999994</v>
      </c>
      <c r="R17" s="24">
        <f>ROUND($C$134,0)</f>
        <v>369750</v>
      </c>
      <c r="S17" s="24">
        <v>0</v>
      </c>
      <c r="T17" s="24">
        <f t="shared" si="15"/>
        <v>369750</v>
      </c>
      <c r="U17" s="19">
        <f>$B$25*1000</f>
        <v>246000000</v>
      </c>
      <c r="V17" s="25">
        <f t="shared" si="16"/>
        <v>1.5030487804878049E-3</v>
      </c>
      <c r="W17" s="159" t="s">
        <v>12</v>
      </c>
      <c r="X17" s="20" t="s">
        <v>26</v>
      </c>
      <c r="Y17" s="125" t="s">
        <v>99</v>
      </c>
      <c r="Z17" s="127">
        <v>1</v>
      </c>
      <c r="AA17" s="24">
        <f>$D$134*$B$24*1000</f>
        <v>243493.90243902436</v>
      </c>
      <c r="AB17" s="24">
        <f>$E$134*$E$24*1000</f>
        <v>126256.09756097558</v>
      </c>
      <c r="AC17" s="24">
        <f>$E$134*$H$24*1000</f>
        <v>0</v>
      </c>
      <c r="AD17" s="24">
        <f t="shared" si="17"/>
        <v>369749.99999999994</v>
      </c>
      <c r="AE17" s="19">
        <f t="shared" ref="AE17:AG18" si="26">ROUND(AA17/$V17,0)</f>
        <v>162000000</v>
      </c>
      <c r="AF17" s="19">
        <f t="shared" si="26"/>
        <v>84000000</v>
      </c>
      <c r="AG17" s="19">
        <f t="shared" si="26"/>
        <v>0</v>
      </c>
      <c r="AH17" s="19">
        <f t="shared" si="18"/>
        <v>246000000</v>
      </c>
      <c r="AI17" s="25">
        <f t="shared" si="19"/>
        <v>1.5030487804878047E-3</v>
      </c>
      <c r="AJ17" s="56">
        <f t="shared" si="20"/>
        <v>1000</v>
      </c>
      <c r="AK17" s="56">
        <f t="shared" si="21"/>
        <v>1000</v>
      </c>
      <c r="AL17" s="56">
        <f t="shared" si="22"/>
        <v>0</v>
      </c>
      <c r="AM17" s="241" t="e">
        <f t="shared" si="23"/>
        <v>#REF!</v>
      </c>
      <c r="AN17" s="241" t="e">
        <f t="shared" si="24"/>
        <v>#REF!</v>
      </c>
      <c r="AO17" s="241" t="e">
        <f t="shared" si="24"/>
        <v>#REF!</v>
      </c>
      <c r="AP17" s="241" t="e">
        <f t="shared" si="24"/>
        <v>#REF!</v>
      </c>
    </row>
    <row r="18" spans="1:42">
      <c r="A18" s="26" t="s">
        <v>27</v>
      </c>
      <c r="B18" s="326">
        <f>IF($B$24&lt;&gt;0,$D$135,0)</f>
        <v>1.1585365853658536E-3</v>
      </c>
      <c r="C18" s="23">
        <v>1.8905309773416263E-3</v>
      </c>
      <c r="D18" s="315">
        <v>1.6559337626494942E-3</v>
      </c>
      <c r="E18" s="326">
        <f>$E$135</f>
        <v>1.1585365853658536E-3</v>
      </c>
      <c r="F18" s="23">
        <v>4.6668647591818048E-3</v>
      </c>
      <c r="G18" s="315">
        <v>1.6559337626494942E-3</v>
      </c>
      <c r="H18" s="326">
        <f>IF($H$24&lt;&gt;0,$E$135,0)</f>
        <v>0</v>
      </c>
      <c r="I18" s="23">
        <v>5.7129132056770856E-3</v>
      </c>
      <c r="J18" s="315">
        <v>1.6559337626494942E-3</v>
      </c>
      <c r="K18" s="23"/>
      <c r="L18" s="23"/>
      <c r="M18" s="326">
        <f t="shared" si="12"/>
        <v>1.1585365853658536E-3</v>
      </c>
      <c r="N18" s="23">
        <v>3.1981538461538462E-3</v>
      </c>
      <c r="O18" s="23" t="e">
        <f t="shared" si="25"/>
        <v>#REF!</v>
      </c>
      <c r="P18" s="315" t="e">
        <f t="shared" si="13"/>
        <v>#REF!</v>
      </c>
      <c r="Q18" s="1">
        <f t="shared" si="14"/>
        <v>285</v>
      </c>
      <c r="R18" s="24">
        <f>ROUND($C$135,0)</f>
        <v>285000</v>
      </c>
      <c r="S18" s="24">
        <v>0</v>
      </c>
      <c r="T18" s="24">
        <f t="shared" si="15"/>
        <v>285000</v>
      </c>
      <c r="U18" s="19">
        <f>$B$25*1000</f>
        <v>246000000</v>
      </c>
      <c r="V18" s="25">
        <f t="shared" si="16"/>
        <v>1.1585365853658536E-3</v>
      </c>
      <c r="W18" s="159" t="s">
        <v>12</v>
      </c>
      <c r="X18" s="20" t="s">
        <v>28</v>
      </c>
      <c r="Y18" s="125" t="s">
        <v>78</v>
      </c>
      <c r="Z18" s="127" t="s">
        <v>78</v>
      </c>
      <c r="AA18" s="24">
        <f>$D$135*$B$24*1000</f>
        <v>187682.92682926828</v>
      </c>
      <c r="AB18" s="24">
        <f>$E$135*$E$24*1000</f>
        <v>97317.073170731703</v>
      </c>
      <c r="AC18" s="24">
        <f>$E$135*$H$24*1000</f>
        <v>0</v>
      </c>
      <c r="AD18" s="24">
        <f t="shared" si="17"/>
        <v>285000</v>
      </c>
      <c r="AE18" s="19">
        <f t="shared" si="26"/>
        <v>162000000</v>
      </c>
      <c r="AF18" s="19">
        <f t="shared" si="26"/>
        <v>84000000</v>
      </c>
      <c r="AG18" s="19">
        <f t="shared" si="26"/>
        <v>0</v>
      </c>
      <c r="AH18" s="19">
        <f t="shared" si="18"/>
        <v>246000000</v>
      </c>
      <c r="AI18" s="25">
        <f t="shared" si="19"/>
        <v>1.1585365853658536E-3</v>
      </c>
      <c r="AJ18" s="56">
        <f t="shared" si="20"/>
        <v>1000</v>
      </c>
      <c r="AK18" s="56">
        <f t="shared" si="21"/>
        <v>1000</v>
      </c>
      <c r="AL18" s="56">
        <f t="shared" si="22"/>
        <v>0</v>
      </c>
      <c r="AM18" s="241" t="e">
        <f t="shared" si="23"/>
        <v>#REF!</v>
      </c>
      <c r="AN18" s="241" t="e">
        <f t="shared" si="24"/>
        <v>#REF!</v>
      </c>
      <c r="AO18" s="241" t="e">
        <f t="shared" si="24"/>
        <v>#REF!</v>
      </c>
      <c r="AP18" s="241" t="e">
        <f t="shared" si="24"/>
        <v>#REF!</v>
      </c>
    </row>
    <row r="19" spans="1:42" ht="15">
      <c r="A19" s="26" t="s">
        <v>29</v>
      </c>
      <c r="B19" s="327">
        <f>IF($B$24&lt;&gt;0,$D$136,0)</f>
        <v>5.1445347786811197E-3</v>
      </c>
      <c r="C19" s="31">
        <v>2.1212866818408217E-2</v>
      </c>
      <c r="D19" s="317">
        <v>6.473611414259603E-3</v>
      </c>
      <c r="E19" s="327">
        <f>$E$136</f>
        <v>4.7221254355400692E-2</v>
      </c>
      <c r="F19" s="31">
        <v>0.10417686188941641</v>
      </c>
      <c r="G19" s="317">
        <v>5.9339199081609381E-2</v>
      </c>
      <c r="H19" s="327">
        <f>IF($H$24&lt;&gt;0,$E$136,0)</f>
        <v>0</v>
      </c>
      <c r="I19" s="31">
        <v>0.10178478302218978</v>
      </c>
      <c r="J19" s="317">
        <v>5.9339199081609381E-2</v>
      </c>
      <c r="K19" s="31"/>
      <c r="L19" s="31"/>
      <c r="M19" s="327">
        <f t="shared" si="12"/>
        <v>1.9512195121951216E-2</v>
      </c>
      <c r="N19" s="31">
        <v>8.7052133526850511E-3</v>
      </c>
      <c r="O19" s="31" t="e">
        <f t="shared" si="25"/>
        <v>#REF!</v>
      </c>
      <c r="P19" s="317" t="e">
        <f t="shared" si="13"/>
        <v>#REF!</v>
      </c>
      <c r="Q19" s="372">
        <f t="shared" si="14"/>
        <v>4799.9999999999991</v>
      </c>
      <c r="R19" s="28">
        <f>ROUND($C$136,0)</f>
        <v>4800000</v>
      </c>
      <c r="S19" s="28">
        <v>0</v>
      </c>
      <c r="T19" s="28">
        <f t="shared" si="15"/>
        <v>4800000</v>
      </c>
      <c r="U19" s="19">
        <f>$B$25*1000</f>
        <v>246000000</v>
      </c>
      <c r="V19" s="25">
        <f t="shared" si="16"/>
        <v>1.9512195121951219E-2</v>
      </c>
      <c r="W19" s="159" t="s">
        <v>12</v>
      </c>
      <c r="X19" s="20" t="s">
        <v>30</v>
      </c>
      <c r="Y19" s="125" t="s">
        <v>78</v>
      </c>
      <c r="Z19" s="127" t="s">
        <v>78</v>
      </c>
      <c r="AA19" s="28">
        <f>$D$136*$B$24*1000</f>
        <v>833414.63414634147</v>
      </c>
      <c r="AB19" s="28">
        <f>$E$136*$E$24*1000</f>
        <v>3966585.3658536579</v>
      </c>
      <c r="AC19" s="28">
        <f>$E$136*$H$24*1000</f>
        <v>0</v>
      </c>
      <c r="AD19" s="28">
        <f t="shared" si="17"/>
        <v>4799999.9999999991</v>
      </c>
      <c r="AE19" s="19">
        <f>AA19/$V19</f>
        <v>42712500</v>
      </c>
      <c r="AF19" s="19">
        <f>AB19/$V19</f>
        <v>203287499.99999997</v>
      </c>
      <c r="AG19" s="19">
        <f>AC19/$V19</f>
        <v>0</v>
      </c>
      <c r="AH19" s="19">
        <f t="shared" si="18"/>
        <v>245999999.99999997</v>
      </c>
      <c r="AI19" s="25">
        <f t="shared" si="19"/>
        <v>1.9512195121951219E-2</v>
      </c>
      <c r="AJ19" s="56">
        <f t="shared" si="20"/>
        <v>263.65699999999998</v>
      </c>
      <c r="AK19" s="56">
        <f t="shared" si="21"/>
        <v>2420.0889999999999</v>
      </c>
      <c r="AL19" s="56">
        <f t="shared" si="22"/>
        <v>0</v>
      </c>
      <c r="AM19" s="384" t="e">
        <f t="shared" si="23"/>
        <v>#REF!</v>
      </c>
      <c r="AN19" s="384" t="e">
        <f t="shared" si="24"/>
        <v>#REF!</v>
      </c>
      <c r="AO19" s="384" t="e">
        <f t="shared" si="24"/>
        <v>#REF!</v>
      </c>
      <c r="AP19" s="384" t="e">
        <f t="shared" si="24"/>
        <v>#REF!</v>
      </c>
    </row>
    <row r="20" spans="1:42">
      <c r="A20" s="192" t="s">
        <v>170</v>
      </c>
      <c r="B20" s="326">
        <f t="shared" ref="B20:D20" si="27">SUM(B14:B19)</f>
        <v>3.876035097160431E-2</v>
      </c>
      <c r="C20" s="23">
        <f t="shared" si="27"/>
        <v>5.2630943240323705E-2</v>
      </c>
      <c r="D20" s="315">
        <f t="shared" si="27"/>
        <v>3.0527843819436469E-2</v>
      </c>
      <c r="E20" s="326">
        <f>SUM(E14:E19)</f>
        <v>8.0837070548323869E-2</v>
      </c>
      <c r="F20" s="23">
        <f t="shared" ref="F20" si="28">SUM(F14:F19)</f>
        <v>0.20246299374737131</v>
      </c>
      <c r="G20" s="315">
        <f>SUM(G14:G19)</f>
        <v>0.12281419565048</v>
      </c>
      <c r="H20" s="326">
        <f>SUM(H14:H19)</f>
        <v>0</v>
      </c>
      <c r="I20" s="23">
        <f t="shared" ref="I20" si="29">SUM(I14:I19)</f>
        <v>0.19596467213108704</v>
      </c>
      <c r="J20" s="315">
        <f>SUM(J14:J19)</f>
        <v>0.12281419565048</v>
      </c>
      <c r="K20" s="23"/>
      <c r="L20" s="23"/>
      <c r="M20" s="326">
        <f>SUM(M14:M19)</f>
        <v>5.31280113148744E-2</v>
      </c>
      <c r="N20" s="23">
        <f t="shared" ref="N20:P20" si="30">SUM(N14:N19)</f>
        <v>3.8670304789550067E-2</v>
      </c>
      <c r="O20" s="23" t="e">
        <f t="shared" si="30"/>
        <v>#REF!</v>
      </c>
      <c r="P20" s="315" t="e">
        <f t="shared" si="30"/>
        <v>#REF!</v>
      </c>
      <c r="Q20" s="1">
        <f>SUM(Q14:Q19)</f>
        <v>13069.490783459103</v>
      </c>
      <c r="R20" s="32">
        <f>SUM(R14:R19)</f>
        <v>13069491</v>
      </c>
      <c r="S20" s="32">
        <f>SUM(S14:S19)</f>
        <v>198832</v>
      </c>
      <c r="T20" s="32">
        <f>SUM(T14:T19)</f>
        <v>13268323</v>
      </c>
      <c r="U20" s="19"/>
      <c r="V20" s="19"/>
      <c r="W20" s="265"/>
      <c r="X20" s="21"/>
      <c r="Y20" s="125"/>
      <c r="Z20" s="127"/>
      <c r="AA20" s="32">
        <f>SUM(AA14:AA19)</f>
        <v>6279176.8573998967</v>
      </c>
      <c r="AB20" s="32">
        <f>SUM(AB14:AB19)</f>
        <v>6790313.9260592051</v>
      </c>
      <c r="AC20" s="32">
        <f>SUM(AC14:AC19)</f>
        <v>0</v>
      </c>
      <c r="AD20" s="32">
        <f>SUM(AD14:AD19)</f>
        <v>13069490.783459101</v>
      </c>
      <c r="AE20" s="19"/>
      <c r="AF20" s="19"/>
      <c r="AG20" s="19"/>
      <c r="AH20" s="19"/>
      <c r="AI20" s="19"/>
      <c r="AJ20" s="19"/>
      <c r="AK20" s="19"/>
      <c r="AL20" s="19"/>
      <c r="AM20" s="385" t="e">
        <f>SUM(AM14:AM19)</f>
        <v>#REF!</v>
      </c>
      <c r="AN20" s="385" t="e">
        <f t="shared" ref="AN20:AP20" si="31">SUM(AN14:AN19)</f>
        <v>#REF!</v>
      </c>
      <c r="AO20" s="385" t="e">
        <f t="shared" si="31"/>
        <v>#REF!</v>
      </c>
      <c r="AP20" s="385" t="e">
        <f t="shared" si="31"/>
        <v>#REF!</v>
      </c>
    </row>
    <row r="21" spans="1:42" ht="15">
      <c r="A21" s="26"/>
      <c r="B21" s="326"/>
      <c r="C21" s="23"/>
      <c r="D21" s="315"/>
      <c r="E21" s="326"/>
      <c r="F21" s="23"/>
      <c r="G21" s="315"/>
      <c r="H21" s="326"/>
      <c r="I21" s="23"/>
      <c r="J21" s="315"/>
      <c r="K21" s="23"/>
      <c r="L21" s="23"/>
      <c r="M21" s="326"/>
      <c r="N21" s="23"/>
      <c r="O21" s="23"/>
      <c r="P21" s="315"/>
      <c r="Q21" s="1">
        <f>Q12+Q20</f>
        <v>24590.450179459101</v>
      </c>
      <c r="R21" s="247">
        <f>R12+R20</f>
        <v>25430451</v>
      </c>
      <c r="S21" s="247">
        <f>S12+S20</f>
        <v>198832</v>
      </c>
      <c r="T21" s="247">
        <f>T12+T20</f>
        <v>25629283</v>
      </c>
      <c r="U21" s="19"/>
      <c r="V21" s="19"/>
      <c r="W21" s="265"/>
      <c r="X21" s="2"/>
      <c r="Y21" s="125"/>
      <c r="Z21" s="127"/>
      <c r="AA21" s="33">
        <f>AA12+AA20</f>
        <v>12102200.6676438</v>
      </c>
      <c r="AB21" s="33">
        <f>AB12+AB20</f>
        <v>12488249.975815302</v>
      </c>
      <c r="AC21" s="33">
        <f>AC12+AC20</f>
        <v>0</v>
      </c>
      <c r="AD21" s="33">
        <f>AD12+AD20</f>
        <v>24590450.6434591</v>
      </c>
      <c r="AE21" s="19"/>
      <c r="AF21" s="19"/>
      <c r="AG21" s="19"/>
      <c r="AH21" s="19"/>
      <c r="AI21" s="19"/>
      <c r="AJ21" s="19"/>
      <c r="AK21" s="19"/>
      <c r="AL21" s="19"/>
      <c r="AM21" s="386" t="e">
        <f>AM12+AM20</f>
        <v>#REF!</v>
      </c>
      <c r="AN21" s="386" t="e">
        <f t="shared" ref="AN21:AP21" si="32">AN12+AN20</f>
        <v>#REF!</v>
      </c>
      <c r="AO21" s="386" t="e">
        <f t="shared" si="32"/>
        <v>#REF!</v>
      </c>
      <c r="AP21" s="386" t="e">
        <f t="shared" si="32"/>
        <v>#REF!</v>
      </c>
    </row>
    <row r="22" spans="1:42">
      <c r="A22" s="192" t="s">
        <v>171</v>
      </c>
      <c r="B22" s="34" t="e">
        <f t="shared" ref="B22:D22" si="33">B12+B20</f>
        <v>#REF!</v>
      </c>
      <c r="C22" s="332">
        <f t="shared" si="33"/>
        <v>0.16319470734125502</v>
      </c>
      <c r="D22" s="333">
        <f t="shared" si="33"/>
        <v>0.11424608116299201</v>
      </c>
      <c r="E22" s="34" t="e">
        <f>E12+E20</f>
        <v>#REF!</v>
      </c>
      <c r="F22" s="332">
        <f t="shared" ref="F22" si="34">F12+F20</f>
        <v>0.45809389170667603</v>
      </c>
      <c r="G22" s="334">
        <f>G12+G20</f>
        <v>0.28748254016760622</v>
      </c>
      <c r="H22" s="34">
        <f>H12+H20</f>
        <v>0</v>
      </c>
      <c r="I22" s="332">
        <f t="shared" ref="I22" si="35">I12+I20</f>
        <v>0.82900767399108322</v>
      </c>
      <c r="J22" s="334">
        <f>J12+J20</f>
        <v>0.54575023231046338</v>
      </c>
      <c r="K22" s="18"/>
      <c r="L22" s="18"/>
      <c r="M22" s="34" t="e">
        <f>M12+M20</f>
        <v>#REF!</v>
      </c>
      <c r="N22" s="332" t="e">
        <f t="shared" ref="N22:P22" si="36">N12+N20</f>
        <v>#REF!</v>
      </c>
      <c r="O22" s="332" t="e">
        <f t="shared" si="36"/>
        <v>#REF!</v>
      </c>
      <c r="P22" s="334" t="e">
        <f t="shared" si="36"/>
        <v>#REF!</v>
      </c>
      <c r="Q22" s="1" t="e">
        <f>Q6+Q21</f>
        <v>#REF!</v>
      </c>
      <c r="R22" s="37"/>
      <c r="S22" s="37"/>
      <c r="T22" s="37"/>
      <c r="U22" s="19"/>
      <c r="V22" s="19"/>
      <c r="W22" s="265"/>
      <c r="X22" s="36"/>
      <c r="Y22" s="1026" t="s">
        <v>31</v>
      </c>
      <c r="Z22" s="1026"/>
      <c r="AA22" s="38">
        <f>ROUND(AA21/AA24,5)</f>
        <v>7.4700000000000003E-2</v>
      </c>
      <c r="AB22" s="38">
        <f>ROUND(AB21/AB24,5)</f>
        <v>0.14867</v>
      </c>
      <c r="AC22" s="38">
        <f>IF(AC24&lt;&gt;0,ROUND(AC21/AC24,5),0)</f>
        <v>0</v>
      </c>
      <c r="AD22" s="38">
        <f>ROUND(AD21/AD24,5)</f>
        <v>9.9959999999999993E-2</v>
      </c>
      <c r="AE22" s="19"/>
      <c r="AF22" s="19"/>
      <c r="AG22" s="19"/>
      <c r="AH22" s="19"/>
      <c r="AI22" s="19"/>
      <c r="AJ22" s="19"/>
      <c r="AK22" s="19"/>
      <c r="AL22" s="19"/>
    </row>
    <row r="23" spans="1:42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17"/>
      <c r="L23" s="17"/>
      <c r="M23" s="48"/>
      <c r="N23" s="26"/>
      <c r="O23" s="26"/>
      <c r="P23" s="318"/>
      <c r="R23" s="37"/>
      <c r="S23" s="37"/>
      <c r="T23" s="37"/>
      <c r="U23" s="19"/>
      <c r="V23" s="19"/>
      <c r="W23" s="265"/>
      <c r="X23" s="36"/>
      <c r="Y23" s="1026" t="s">
        <v>32</v>
      </c>
      <c r="Z23" s="1026"/>
      <c r="AA23" s="38" t="e">
        <f>ROUND(AA22+B6,5)</f>
        <v>#REF!</v>
      </c>
      <c r="AB23" s="38" t="e">
        <f>ROUND(AB22+E6,5)</f>
        <v>#REF!</v>
      </c>
      <c r="AC23" s="38">
        <f>IF(AC24&lt;&gt;0,ROUND(AC22+H6,5),0)</f>
        <v>0</v>
      </c>
      <c r="AD23" s="38" t="e">
        <f>ROUND(AD22+(B6*B24+E6*E24+H6*H24)/B25,5)</f>
        <v>#REF!</v>
      </c>
      <c r="AE23" s="19"/>
      <c r="AF23" s="19"/>
      <c r="AG23" s="19"/>
      <c r="AH23" s="19"/>
      <c r="AI23" s="19"/>
      <c r="AJ23" s="19"/>
      <c r="AK23" s="19"/>
      <c r="AL23" s="19"/>
    </row>
    <row r="24" spans="1:42">
      <c r="A24" s="192" t="s">
        <v>264</v>
      </c>
      <c r="B24" s="331">
        <f>$B$30+$B$31</f>
        <v>162000</v>
      </c>
      <c r="C24" s="26">
        <v>46860.38</v>
      </c>
      <c r="D24" s="77">
        <v>158900</v>
      </c>
      <c r="E24" s="331">
        <f>$B$32</f>
        <v>84000</v>
      </c>
      <c r="F24" s="26">
        <v>21908.955000000002</v>
      </c>
      <c r="G24" s="77">
        <v>58500</v>
      </c>
      <c r="H24" s="331">
        <f>$B$33</f>
        <v>0</v>
      </c>
      <c r="I24" s="26">
        <v>8127.9740000000002</v>
      </c>
      <c r="J24" s="77">
        <v>0</v>
      </c>
      <c r="K24" s="26"/>
      <c r="L24" s="26"/>
      <c r="M24" s="331">
        <f>B25</f>
        <v>246000</v>
      </c>
      <c r="N24" s="26"/>
      <c r="O24" s="26"/>
      <c r="P24" s="77"/>
      <c r="R24" s="41"/>
      <c r="S24" s="41"/>
      <c r="T24" s="41"/>
      <c r="U24" s="19"/>
      <c r="V24" s="19"/>
      <c r="W24" s="265"/>
      <c r="X24" s="5"/>
      <c r="Y24" s="1026" t="s">
        <v>33</v>
      </c>
      <c r="Z24" s="1026"/>
      <c r="AA24" s="41">
        <f>ROUND(B24*1000,0)</f>
        <v>162000000</v>
      </c>
      <c r="AB24" s="41">
        <f>ROUND(E24*1000,0)</f>
        <v>84000000</v>
      </c>
      <c r="AC24" s="41">
        <f>ROUND(H24*1000,0)</f>
        <v>0</v>
      </c>
      <c r="AD24" s="41">
        <f>SUM(AA24:AC24)</f>
        <v>246000000</v>
      </c>
      <c r="AE24" s="19"/>
      <c r="AF24" s="19"/>
      <c r="AG24" s="19"/>
      <c r="AH24" s="19"/>
      <c r="AI24" s="19"/>
      <c r="AJ24" s="19"/>
      <c r="AK24" s="19"/>
      <c r="AL24" s="19"/>
    </row>
    <row r="25" spans="1:42">
      <c r="A25" s="192" t="s">
        <v>265</v>
      </c>
      <c r="B25" s="337">
        <f>$B$24+$E$24+$H$24</f>
        <v>246000</v>
      </c>
      <c r="C25" s="113">
        <f>$C$24+$F$24+$I$24</f>
        <v>76897.308999999994</v>
      </c>
      <c r="D25" s="338">
        <f>D24+G24+J24</f>
        <v>217400</v>
      </c>
      <c r="E25" s="99"/>
      <c r="F25" s="72"/>
      <c r="G25" s="75"/>
      <c r="H25" s="99"/>
      <c r="I25" s="72"/>
      <c r="J25" s="75"/>
      <c r="M25" s="99"/>
      <c r="N25" s="72"/>
      <c r="O25" s="72"/>
      <c r="P25" s="75"/>
    </row>
    <row r="27" spans="1:42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M27" s="17"/>
      <c r="N27" s="199" t="s">
        <v>107</v>
      </c>
      <c r="O27" s="199" t="s">
        <v>310</v>
      </c>
      <c r="P27" s="199" t="s">
        <v>311</v>
      </c>
    </row>
    <row r="28" spans="1:42">
      <c r="A28" s="44"/>
      <c r="H28" s="45"/>
      <c r="M28" s="371" t="s">
        <v>318</v>
      </c>
      <c r="N28" s="1027" t="s">
        <v>312</v>
      </c>
      <c r="O28" s="1027"/>
      <c r="P28" s="1027"/>
    </row>
    <row r="29" spans="1:42">
      <c r="A29" s="190" t="s">
        <v>176</v>
      </c>
      <c r="B29" s="46" t="s">
        <v>168</v>
      </c>
      <c r="C29" s="46" t="s">
        <v>36</v>
      </c>
      <c r="D29" s="47"/>
      <c r="F29" s="47"/>
      <c r="H29" s="45"/>
      <c r="M29" s="17" t="s">
        <v>315</v>
      </c>
      <c r="N29" s="366" t="e">
        <f>SUM(O29:P29)</f>
        <v>#REF!</v>
      </c>
      <c r="O29" s="366" t="e">
        <f>O12*$M$24</f>
        <v>#REF!</v>
      </c>
      <c r="P29" s="366" t="e">
        <f>O20*$M$24</f>
        <v>#REF!</v>
      </c>
    </row>
    <row r="30" spans="1:42" ht="15">
      <c r="A30" s="48" t="s">
        <v>188</v>
      </c>
      <c r="B30" s="342">
        <f>'17 Std'!B8*12</f>
        <v>162000</v>
      </c>
      <c r="C30" s="183">
        <f>+B30/$B$34</f>
        <v>0.65853658536585369</v>
      </c>
      <c r="D30" s="50"/>
      <c r="F30" s="51"/>
      <c r="H30" s="45"/>
      <c r="M30" s="17" t="s">
        <v>316</v>
      </c>
      <c r="N30" s="367" t="e">
        <f>SUM(O30:P30)</f>
        <v>#REF!</v>
      </c>
      <c r="O30" s="367" t="e">
        <f>P12*M24</f>
        <v>#REF!</v>
      </c>
      <c r="P30" s="367" t="e">
        <f>P20*M24</f>
        <v>#REF!</v>
      </c>
      <c r="AL30" s="39"/>
    </row>
    <row r="31" spans="1:42" ht="16.5">
      <c r="A31" s="48" t="s">
        <v>187</v>
      </c>
      <c r="B31" s="342">
        <v>0</v>
      </c>
      <c r="C31" s="183">
        <f>+B31/$B$34</f>
        <v>0</v>
      </c>
      <c r="D31" s="50"/>
      <c r="F31" s="51"/>
      <c r="H31" s="45"/>
      <c r="M31" s="17" t="s">
        <v>314</v>
      </c>
      <c r="N31" s="213">
        <f>SUM(O31:P31)</f>
        <v>0</v>
      </c>
      <c r="O31" s="213">
        <f>IF(C95&lt;&gt;0,0,(((((D94/1.06564)-0.33)*0.974)-D95)*(480000-C94))/1000)</f>
        <v>0</v>
      </c>
      <c r="P31" s="213">
        <v>0</v>
      </c>
      <c r="AL31" s="39"/>
    </row>
    <row r="32" spans="1:42" ht="15">
      <c r="A32" s="48" t="s">
        <v>280</v>
      </c>
      <c r="B32" s="342">
        <f>'17 Std'!B7*12</f>
        <v>84000</v>
      </c>
      <c r="C32" s="183">
        <f>+B32/$B$34</f>
        <v>0.34146341463414637</v>
      </c>
      <c r="D32" s="50"/>
      <c r="F32" s="51"/>
      <c r="H32" s="45"/>
      <c r="M32" s="192" t="s">
        <v>3</v>
      </c>
      <c r="N32" s="368" t="e">
        <f>SUM(N29:N31)</f>
        <v>#REF!</v>
      </c>
      <c r="O32" s="368" t="e">
        <f>SUM(O29:O31)</f>
        <v>#REF!</v>
      </c>
      <c r="P32" s="368" t="e">
        <f>SUM(P29:P31)</f>
        <v>#REF!</v>
      </c>
      <c r="AL32" s="39"/>
    </row>
    <row r="33" spans="1:42" ht="16.5">
      <c r="A33" s="48" t="s">
        <v>281</v>
      </c>
      <c r="B33" s="342">
        <v>0</v>
      </c>
      <c r="C33" s="184">
        <f>+B33/$B$34</f>
        <v>0</v>
      </c>
      <c r="D33" s="50"/>
      <c r="F33" s="51"/>
      <c r="H33" s="45"/>
      <c r="M33" s="192" t="s">
        <v>317</v>
      </c>
      <c r="N33" s="369">
        <f>SUM(O33:P33)</f>
        <v>-4799.9999999999991</v>
      </c>
      <c r="O33" s="369">
        <v>0</v>
      </c>
      <c r="P33" s="369">
        <f>-M19*M24</f>
        <v>-4799.9999999999991</v>
      </c>
      <c r="AL33" s="39"/>
    </row>
    <row r="34" spans="1:42" ht="15">
      <c r="A34" s="141" t="s">
        <v>107</v>
      </c>
      <c r="B34" s="49">
        <f>SUM(B30:B33)</f>
        <v>246000</v>
      </c>
      <c r="C34" s="183">
        <f>SUM(C30:C33)</f>
        <v>1</v>
      </c>
      <c r="D34" s="50"/>
      <c r="F34" s="51"/>
      <c r="H34" s="45"/>
      <c r="M34" s="192" t="s">
        <v>313</v>
      </c>
      <c r="N34" s="370" t="e">
        <f>SUM(N32:N33)</f>
        <v>#REF!</v>
      </c>
      <c r="O34" s="370" t="e">
        <f>SUM(O32:O33)</f>
        <v>#REF!</v>
      </c>
      <c r="P34" s="370" t="e">
        <f>SUM(P32:P33)</f>
        <v>#REF!</v>
      </c>
      <c r="AL34" s="39"/>
    </row>
    <row r="35" spans="1:42">
      <c r="A35" s="141"/>
      <c r="B35" s="49"/>
      <c r="C35" s="183"/>
      <c r="D35" s="50"/>
      <c r="F35" s="51"/>
      <c r="H35" s="45"/>
      <c r="AL35" s="39"/>
    </row>
    <row r="36" spans="1:42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M36" s="371" t="s">
        <v>319</v>
      </c>
      <c r="AL36" s="39"/>
    </row>
    <row r="37" spans="1:42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M37" s="17" t="s">
        <v>315</v>
      </c>
      <c r="N37" s="366" t="e">
        <f>SUM(O37:P37)</f>
        <v>#REF!</v>
      </c>
      <c r="O37" s="366" t="e">
        <f>O29/12</f>
        <v>#REF!</v>
      </c>
      <c r="P37" s="366" t="e">
        <f>P29/12</f>
        <v>#REF!</v>
      </c>
      <c r="W37" s="13"/>
      <c r="X37" s="46"/>
      <c r="AJ37" s="11"/>
    </row>
    <row r="38" spans="1:42" ht="15">
      <c r="A38" s="176" t="s">
        <v>173</v>
      </c>
      <c r="B38" s="347" t="e">
        <f>#REF!-3.57</f>
        <v>#REF!</v>
      </c>
      <c r="C38" s="343">
        <v>0.5</v>
      </c>
      <c r="D38" s="134"/>
      <c r="E38" s="343">
        <v>0.5</v>
      </c>
      <c r="F38" s="134"/>
      <c r="G38" s="343">
        <v>0</v>
      </c>
      <c r="H38" s="186"/>
      <c r="M38" s="17" t="s">
        <v>316</v>
      </c>
      <c r="N38" s="367" t="e">
        <f>SUM(O38:P38)</f>
        <v>#REF!</v>
      </c>
      <c r="O38" s="367" t="e">
        <f t="shared" ref="O38:P39" si="37">O30/12</f>
        <v>#REF!</v>
      </c>
      <c r="P38" s="367" t="e">
        <f t="shared" si="37"/>
        <v>#REF!</v>
      </c>
      <c r="W38" s="13"/>
      <c r="X38" s="250"/>
      <c r="AJ38" s="251"/>
      <c r="AK38" s="251"/>
    </row>
    <row r="39" spans="1:42" ht="16.5">
      <c r="A39" s="176" t="s">
        <v>178</v>
      </c>
      <c r="B39" s="355" t="e">
        <f>#REF!-3.09</f>
        <v>#REF!</v>
      </c>
      <c r="C39" s="343">
        <v>0.5</v>
      </c>
      <c r="D39" s="134"/>
      <c r="E39" s="343">
        <v>0.5</v>
      </c>
      <c r="F39" s="134"/>
      <c r="G39" s="343">
        <v>0</v>
      </c>
      <c r="H39" s="186"/>
      <c r="M39" s="17" t="s">
        <v>314</v>
      </c>
      <c r="N39" s="213">
        <f>SUM(O39:P39)</f>
        <v>0</v>
      </c>
      <c r="O39" s="213">
        <f t="shared" si="37"/>
        <v>0</v>
      </c>
      <c r="P39" s="213">
        <f t="shared" si="37"/>
        <v>0</v>
      </c>
      <c r="W39" s="13"/>
      <c r="X39" s="250"/>
      <c r="AJ39" s="252"/>
      <c r="AK39" s="252"/>
    </row>
    <row r="40" spans="1:42">
      <c r="A40" s="141" t="s">
        <v>174</v>
      </c>
      <c r="B40" s="157" t="e">
        <f>+B38*C38+B39*C39</f>
        <v>#REF!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M40" s="192" t="s">
        <v>3</v>
      </c>
      <c r="N40" s="368" t="e">
        <f>SUM(N37:N39)</f>
        <v>#REF!</v>
      </c>
      <c r="O40" s="368" t="e">
        <f>SUM(O37:O39)</f>
        <v>#REF!</v>
      </c>
      <c r="P40" s="368" t="e">
        <f>SUM(P37:P39)</f>
        <v>#REF!</v>
      </c>
      <c r="W40" s="13"/>
      <c r="X40" s="250"/>
      <c r="AJ40" s="251"/>
      <c r="AK40" s="251"/>
    </row>
    <row r="41" spans="1:42" ht="15">
      <c r="A41" s="43"/>
      <c r="B41" s="492"/>
      <c r="C41" s="60"/>
      <c r="D41" s="59"/>
      <c r="E41" s="60"/>
      <c r="F41" s="59"/>
      <c r="G41" s="60"/>
      <c r="H41" s="187"/>
      <c r="M41" s="192" t="s">
        <v>317</v>
      </c>
      <c r="N41" s="369">
        <f>SUM(O41:P41)</f>
        <v>-399.99999999999994</v>
      </c>
      <c r="O41" s="369">
        <f>O33/12</f>
        <v>0</v>
      </c>
      <c r="P41" s="369">
        <f>P33/12</f>
        <v>-399.99999999999994</v>
      </c>
      <c r="U41" s="39"/>
      <c r="V41" s="39"/>
      <c r="W41" s="13"/>
      <c r="X41" s="62"/>
    </row>
    <row r="42" spans="1:42" ht="18" customHeight="1">
      <c r="A42" s="198" t="s">
        <v>39</v>
      </c>
      <c r="B42" s="61" t="s">
        <v>40</v>
      </c>
      <c r="C42" s="185" t="s">
        <v>299</v>
      </c>
      <c r="D42" s="61" t="s">
        <v>179</v>
      </c>
      <c r="E42" s="185" t="s">
        <v>299</v>
      </c>
      <c r="F42" s="61" t="s">
        <v>179</v>
      </c>
      <c r="G42" s="185" t="s">
        <v>299</v>
      </c>
      <c r="H42" s="188" t="s">
        <v>179</v>
      </c>
      <c r="J42" s="65"/>
      <c r="K42" s="65"/>
      <c r="L42" s="62"/>
      <c r="M42" s="192" t="s">
        <v>313</v>
      </c>
      <c r="N42" s="370" t="e">
        <f>SUM(N40:N41)</f>
        <v>#REF!</v>
      </c>
      <c r="O42" s="370" t="e">
        <f>SUM(O40:O41)</f>
        <v>#REF!</v>
      </c>
      <c r="P42" s="370" t="e">
        <f>SUM(P40:P41)</f>
        <v>#REF!</v>
      </c>
      <c r="W42" s="13"/>
      <c r="X42" s="46"/>
      <c r="AJ42" s="11"/>
      <c r="AK42" s="11"/>
      <c r="AL42" s="11"/>
      <c r="AM42" s="52" t="s">
        <v>291</v>
      </c>
      <c r="AN42" s="52" t="s">
        <v>294</v>
      </c>
      <c r="AO42" s="52" t="s">
        <v>295</v>
      </c>
      <c r="AP42" s="52" t="s">
        <v>296</v>
      </c>
    </row>
    <row r="43" spans="1:42" ht="15">
      <c r="A43" s="176" t="s">
        <v>404</v>
      </c>
      <c r="B43" s="488" t="e">
        <f>$B$40/2000-0.00426</f>
        <v>#REF!</v>
      </c>
      <c r="C43" s="345">
        <v>1.81</v>
      </c>
      <c r="D43" s="307" t="e">
        <f t="shared" ref="D43:D49" si="38">B43*C43</f>
        <v>#REF!</v>
      </c>
      <c r="E43" s="345">
        <v>3</v>
      </c>
      <c r="F43" s="446" t="e">
        <f>B43*E43</f>
        <v>#REF!</v>
      </c>
      <c r="G43" s="345">
        <v>0</v>
      </c>
      <c r="H43" s="311" t="e">
        <f>B43*G43</f>
        <v>#REF!</v>
      </c>
      <c r="I43" s="65"/>
      <c r="J43" s="65"/>
      <c r="K43" s="65"/>
      <c r="L43" s="65"/>
      <c r="M43" s="65"/>
      <c r="N43" s="65"/>
      <c r="O43" s="65"/>
      <c r="P43" s="65"/>
      <c r="V43" s="312" t="e">
        <f>B43*1000</f>
        <v>#REF!</v>
      </c>
      <c r="W43" s="256" t="s">
        <v>12</v>
      </c>
      <c r="X43" s="255" t="s">
        <v>154</v>
      </c>
      <c r="AJ43" s="56" t="e">
        <f t="shared" ref="AJ43:AJ49" si="39">IF(B43&lt;&gt;0,D43/B43*1000,0)</f>
        <v>#REF!</v>
      </c>
      <c r="AK43" s="56" t="e">
        <f t="shared" ref="AK43:AK49" si="40">IF(B43&lt;&gt;0,F43/B43*1000,0)</f>
        <v>#REF!</v>
      </c>
      <c r="AL43" s="56" t="e">
        <f>IF(B43&lt;&gt;0,H43/B43*1000,0)</f>
        <v>#REF!</v>
      </c>
      <c r="AM43" s="26" t="e">
        <f t="shared" ref="AM43:AM49" si="41">AJ43*$B$24+AK43*$E$24+AL43*$H$24</f>
        <v>#REF!</v>
      </c>
      <c r="AN43" s="26">
        <v>202343432</v>
      </c>
      <c r="AO43" s="183" t="e">
        <f t="shared" ref="AO43:AO49" si="42">AN43/AM43</f>
        <v>#REF!</v>
      </c>
      <c r="AP43" s="341">
        <f>343597.02/24291676.299</f>
        <v>1.414464015454317E-2</v>
      </c>
    </row>
    <row r="44" spans="1:42" ht="15">
      <c r="A44" s="176" t="s">
        <v>403</v>
      </c>
      <c r="B44" s="344">
        <v>0.1525</v>
      </c>
      <c r="C44" s="345">
        <v>0</v>
      </c>
      <c r="D44" s="307">
        <f t="shared" si="38"/>
        <v>0</v>
      </c>
      <c r="E44" s="345">
        <v>0</v>
      </c>
      <c r="F44" s="307">
        <f t="shared" ref="F44:F47" si="43">B44*E44</f>
        <v>0</v>
      </c>
      <c r="G44" s="345">
        <v>2.8</v>
      </c>
      <c r="H44" s="311">
        <f t="shared" ref="H44:H49" si="44">B44*G44</f>
        <v>0.42699999999999999</v>
      </c>
      <c r="I44" s="65"/>
      <c r="J44" s="65"/>
      <c r="K44" s="65"/>
      <c r="L44" s="65"/>
      <c r="M44" s="65"/>
      <c r="N44" s="65"/>
      <c r="O44" s="65"/>
      <c r="P44" s="65"/>
      <c r="V44" s="312">
        <f t="shared" ref="V44:V49" si="45">B44*1000</f>
        <v>152.5</v>
      </c>
      <c r="W44" s="256" t="s">
        <v>12</v>
      </c>
      <c r="X44" s="256" t="s">
        <v>298</v>
      </c>
      <c r="AJ44" s="56">
        <f t="shared" si="39"/>
        <v>0</v>
      </c>
      <c r="AK44" s="56">
        <f t="shared" si="40"/>
        <v>0</v>
      </c>
      <c r="AL44" s="56">
        <f t="shared" ref="AL44:AL49" si="46">IF(B44&lt;&gt;0,H44/B44*1000,0)</f>
        <v>2800</v>
      </c>
      <c r="AM44" s="26">
        <f t="shared" si="41"/>
        <v>0</v>
      </c>
      <c r="AN44" s="26">
        <v>0</v>
      </c>
      <c r="AO44" s="183" t="e">
        <f t="shared" si="42"/>
        <v>#DIV/0!</v>
      </c>
      <c r="AP44" s="341">
        <v>6.2740000000000004E-2</v>
      </c>
    </row>
    <row r="45" spans="1:42" ht="15">
      <c r="A45" s="176" t="s">
        <v>405</v>
      </c>
      <c r="B45" s="344">
        <v>1.4107000000000001</v>
      </c>
      <c r="C45" s="345">
        <v>1.0999999999999999E-2</v>
      </c>
      <c r="D45" s="307">
        <f t="shared" si="38"/>
        <v>1.5517700000000001E-2</v>
      </c>
      <c r="E45" s="345">
        <v>0</v>
      </c>
      <c r="F45" s="307">
        <f t="shared" si="43"/>
        <v>0</v>
      </c>
      <c r="G45" s="345">
        <v>0</v>
      </c>
      <c r="H45" s="311">
        <f t="shared" si="44"/>
        <v>0</v>
      </c>
      <c r="J45" s="65"/>
      <c r="K45" s="65"/>
      <c r="L45" s="65"/>
      <c r="M45" s="65"/>
      <c r="N45" s="65"/>
      <c r="O45" s="65"/>
      <c r="P45" s="65"/>
      <c r="V45" s="312">
        <f t="shared" si="45"/>
        <v>1410.7</v>
      </c>
      <c r="W45" s="256" t="s">
        <v>12</v>
      </c>
      <c r="X45" s="255" t="s">
        <v>155</v>
      </c>
      <c r="AJ45" s="56">
        <f t="shared" si="39"/>
        <v>11</v>
      </c>
      <c r="AK45" s="56">
        <f t="shared" si="40"/>
        <v>0</v>
      </c>
      <c r="AL45" s="56">
        <f t="shared" si="46"/>
        <v>0</v>
      </c>
      <c r="AM45" s="26">
        <f t="shared" si="41"/>
        <v>1782000</v>
      </c>
      <c r="AN45" s="26">
        <v>101933</v>
      </c>
      <c r="AO45" s="183">
        <f t="shared" si="42"/>
        <v>5.7201459034792367E-2</v>
      </c>
      <c r="AP45" s="341">
        <f>143105.19/AN45</f>
        <v>1.4039142377836422</v>
      </c>
    </row>
    <row r="46" spans="1:42" ht="15">
      <c r="A46" s="176" t="s">
        <v>406</v>
      </c>
      <c r="B46" s="344">
        <v>0.46</v>
      </c>
      <c r="C46" s="345">
        <v>5.0000000000000001E-3</v>
      </c>
      <c r="D46" s="307">
        <f t="shared" si="38"/>
        <v>2.3E-3</v>
      </c>
      <c r="E46" s="345">
        <v>1.2999999999999999E-2</v>
      </c>
      <c r="F46" s="307">
        <f t="shared" si="43"/>
        <v>5.9800000000000001E-3</v>
      </c>
      <c r="G46" s="345">
        <v>0.02</v>
      </c>
      <c r="H46" s="311">
        <f t="shared" si="44"/>
        <v>9.1999999999999998E-3</v>
      </c>
      <c r="I46" s="62"/>
      <c r="J46" s="65"/>
      <c r="K46" s="65"/>
      <c r="L46" s="65"/>
      <c r="M46" s="65"/>
      <c r="N46" s="65"/>
      <c r="O46" s="65"/>
      <c r="P46" s="65"/>
      <c r="V46" s="312">
        <f t="shared" si="45"/>
        <v>460</v>
      </c>
      <c r="W46" s="256" t="s">
        <v>12</v>
      </c>
      <c r="X46" s="255" t="s">
        <v>156</v>
      </c>
      <c r="AJ46" s="56">
        <f t="shared" si="39"/>
        <v>5</v>
      </c>
      <c r="AK46" s="56">
        <f t="shared" si="40"/>
        <v>13</v>
      </c>
      <c r="AL46" s="56">
        <f t="shared" si="46"/>
        <v>20</v>
      </c>
      <c r="AM46" s="26">
        <f t="shared" si="41"/>
        <v>1902000</v>
      </c>
      <c r="AN46" s="26">
        <v>84108</v>
      </c>
      <c r="AO46" s="183">
        <f t="shared" si="42"/>
        <v>4.4220820189274451E-2</v>
      </c>
      <c r="AP46" s="341">
        <f>38613.79/AN46</f>
        <v>0.45909770770913588</v>
      </c>
    </row>
    <row r="47" spans="1:42" ht="15">
      <c r="A47" s="176" t="s">
        <v>407</v>
      </c>
      <c r="B47" s="344">
        <v>5.7000000000000002E-2</v>
      </c>
      <c r="C47" s="345">
        <v>1.2E-2</v>
      </c>
      <c r="D47" s="307">
        <f t="shared" si="38"/>
        <v>6.8400000000000004E-4</v>
      </c>
      <c r="E47" s="345">
        <v>8.9999999999999993E-3</v>
      </c>
      <c r="F47" s="307">
        <f t="shared" si="43"/>
        <v>5.13E-4</v>
      </c>
      <c r="G47" s="345">
        <v>4.0000000000000001E-3</v>
      </c>
      <c r="H47" s="311">
        <f t="shared" si="44"/>
        <v>2.2800000000000001E-4</v>
      </c>
      <c r="I47" s="62"/>
      <c r="J47" s="65"/>
      <c r="K47" s="65"/>
      <c r="L47" s="65"/>
      <c r="M47" s="65"/>
      <c r="N47" s="65"/>
      <c r="O47" s="65"/>
      <c r="P47" s="65"/>
      <c r="V47" s="312">
        <f t="shared" si="45"/>
        <v>57</v>
      </c>
      <c r="W47" s="256" t="s">
        <v>12</v>
      </c>
      <c r="X47" s="255" t="s">
        <v>157</v>
      </c>
      <c r="AJ47" s="56">
        <f t="shared" si="39"/>
        <v>12</v>
      </c>
      <c r="AK47" s="56">
        <f t="shared" si="40"/>
        <v>9</v>
      </c>
      <c r="AL47" s="56">
        <f t="shared" si="46"/>
        <v>4</v>
      </c>
      <c r="AM47" s="26">
        <f t="shared" si="41"/>
        <v>2700000</v>
      </c>
      <c r="AN47" s="26">
        <v>47388</v>
      </c>
      <c r="AO47" s="183">
        <f t="shared" si="42"/>
        <v>1.7551111111111111E-2</v>
      </c>
      <c r="AP47" s="341">
        <f>2705.86/AN47</f>
        <v>5.710010973242171E-2</v>
      </c>
    </row>
    <row r="48" spans="1:42" ht="15">
      <c r="A48" s="176" t="s">
        <v>408</v>
      </c>
      <c r="B48" s="489">
        <v>5.1499999999999997E-2</v>
      </c>
      <c r="C48" s="345">
        <v>0</v>
      </c>
      <c r="D48" s="307">
        <f t="shared" si="38"/>
        <v>0</v>
      </c>
      <c r="E48" s="345">
        <v>0.27800000000000002</v>
      </c>
      <c r="F48" s="446">
        <f>B48*E48</f>
        <v>1.4317E-2</v>
      </c>
      <c r="G48" s="345">
        <v>0.215</v>
      </c>
      <c r="H48" s="311">
        <f t="shared" si="44"/>
        <v>1.1072499999999999E-2</v>
      </c>
      <c r="I48" s="62"/>
      <c r="J48" s="65"/>
      <c r="K48" s="65"/>
      <c r="L48" s="65"/>
      <c r="M48" s="65"/>
      <c r="N48" s="65"/>
      <c r="O48" s="65"/>
      <c r="P48" s="65"/>
      <c r="V48" s="312">
        <f t="shared" si="45"/>
        <v>51.5</v>
      </c>
      <c r="W48" s="256" t="s">
        <v>12</v>
      </c>
      <c r="X48" s="255" t="s">
        <v>231</v>
      </c>
      <c r="AJ48" s="56">
        <f t="shared" si="39"/>
        <v>0</v>
      </c>
      <c r="AK48" s="56">
        <f t="shared" si="40"/>
        <v>278</v>
      </c>
      <c r="AL48" s="56">
        <f t="shared" si="46"/>
        <v>215</v>
      </c>
      <c r="AM48" s="26">
        <f t="shared" si="41"/>
        <v>23352000</v>
      </c>
      <c r="AN48" s="26">
        <v>560786</v>
      </c>
      <c r="AO48" s="183">
        <f t="shared" si="42"/>
        <v>2.4014474134977731E-2</v>
      </c>
      <c r="AP48" s="341">
        <f>49077.4/AN48</f>
        <v>8.7515380198507103E-2</v>
      </c>
    </row>
    <row r="49" spans="1:42" ht="15">
      <c r="A49" s="176" t="s">
        <v>409</v>
      </c>
      <c r="B49" s="489">
        <v>4.2598000000000003</v>
      </c>
      <c r="C49" s="345">
        <v>0</v>
      </c>
      <c r="D49" s="307">
        <f t="shared" si="38"/>
        <v>0</v>
      </c>
      <c r="E49" s="345">
        <v>1.0999999999999999E-2</v>
      </c>
      <c r="F49" s="446">
        <f>B49*E49</f>
        <v>4.6857799999999998E-2</v>
      </c>
      <c r="G49" s="345">
        <v>1.2E-2</v>
      </c>
      <c r="H49" s="311">
        <f t="shared" si="44"/>
        <v>5.1117600000000006E-2</v>
      </c>
      <c r="I49" s="62"/>
      <c r="J49" s="65"/>
      <c r="K49" s="65"/>
      <c r="L49" s="65"/>
      <c r="M49" s="65"/>
      <c r="N49" s="65"/>
      <c r="O49" s="65"/>
      <c r="P49" s="65"/>
      <c r="V49" s="312">
        <f t="shared" si="45"/>
        <v>4259.8</v>
      </c>
      <c r="W49" s="256" t="s">
        <v>12</v>
      </c>
      <c r="X49" s="255" t="s">
        <v>232</v>
      </c>
      <c r="AJ49" s="56">
        <f t="shared" si="39"/>
        <v>0</v>
      </c>
      <c r="AK49" s="56">
        <f t="shared" si="40"/>
        <v>11</v>
      </c>
      <c r="AL49" s="56">
        <f t="shared" si="46"/>
        <v>12</v>
      </c>
      <c r="AM49" s="26">
        <f t="shared" si="41"/>
        <v>924000</v>
      </c>
      <c r="AN49" s="26">
        <v>208883</v>
      </c>
      <c r="AO49" s="183">
        <f t="shared" si="42"/>
        <v>0.2260638528138528</v>
      </c>
      <c r="AP49" s="341">
        <f>1269211.15/AN49</f>
        <v>6.0761821210917111</v>
      </c>
    </row>
    <row r="50" spans="1:42">
      <c r="A50" s="63"/>
      <c r="B50" s="67"/>
      <c r="C50" s="51"/>
      <c r="D50" s="68"/>
      <c r="E50" s="51"/>
      <c r="F50" s="68"/>
      <c r="G50" s="51"/>
      <c r="H50" s="98"/>
      <c r="I50" s="62"/>
      <c r="J50" s="65"/>
      <c r="K50" s="65"/>
      <c r="L50" s="65"/>
      <c r="M50" s="65"/>
      <c r="N50" s="65"/>
      <c r="O50" s="65"/>
      <c r="P50" s="65"/>
      <c r="X50" s="156"/>
      <c r="AL50" s="157"/>
    </row>
    <row r="51" spans="1:42" ht="15">
      <c r="A51" s="63" t="s">
        <v>42</v>
      </c>
      <c r="C51" s="69"/>
      <c r="D51" s="199" t="s">
        <v>43</v>
      </c>
      <c r="F51" s="199" t="s">
        <v>43</v>
      </c>
      <c r="H51" s="283" t="s">
        <v>43</v>
      </c>
    </row>
    <row r="52" spans="1:42">
      <c r="A52" s="63" t="s">
        <v>284</v>
      </c>
      <c r="C52" s="69"/>
      <c r="D52" s="64" t="e">
        <f>D43+D44</f>
        <v>#REF!</v>
      </c>
      <c r="F52" s="64" t="e">
        <f>F43+F44</f>
        <v>#REF!</v>
      </c>
      <c r="H52" s="189" t="e">
        <f>H43+H44</f>
        <v>#REF!</v>
      </c>
    </row>
    <row r="53" spans="1:42" ht="15">
      <c r="A53" s="63" t="s">
        <v>44</v>
      </c>
      <c r="C53" s="69"/>
      <c r="D53" s="70">
        <f>SUM(D45:D49)</f>
        <v>1.8501699999999999E-2</v>
      </c>
      <c r="F53" s="70">
        <f>SUM(F45:F49)</f>
        <v>6.76678E-2</v>
      </c>
      <c r="H53" s="310">
        <f>SUM(H45:H49)</f>
        <v>7.1618100000000004E-2</v>
      </c>
    </row>
    <row r="54" spans="1:42" ht="15">
      <c r="A54" s="63" t="s">
        <v>45</v>
      </c>
      <c r="C54" s="51"/>
      <c r="D54" s="339" t="e">
        <f>SUM(D52:D53)</f>
        <v>#REF!</v>
      </c>
      <c r="F54" s="339" t="e">
        <f>SUM(F52:F53)</f>
        <v>#REF!</v>
      </c>
      <c r="H54" s="340" t="e">
        <f>SUM(H52:H53)</f>
        <v>#REF!</v>
      </c>
    </row>
    <row r="55" spans="1:42">
      <c r="A55" s="71"/>
      <c r="B55" s="72"/>
      <c r="C55" s="72"/>
      <c r="D55" s="72"/>
      <c r="E55" s="73"/>
      <c r="F55" s="74"/>
      <c r="G55" s="72"/>
      <c r="H55" s="75"/>
      <c r="W55" s="69"/>
    </row>
    <row r="56" spans="1:42">
      <c r="A56" s="39"/>
      <c r="E56" s="51"/>
      <c r="F56" s="76"/>
      <c r="W56" s="69"/>
    </row>
    <row r="57" spans="1:42" ht="13.5" thickBot="1">
      <c r="F57" s="39"/>
      <c r="G57" s="39"/>
    </row>
    <row r="58" spans="1:42" ht="14.65" customHeight="1">
      <c r="A58" s="82" t="s">
        <v>269</v>
      </c>
      <c r="B58" s="1020" t="s">
        <v>18</v>
      </c>
      <c r="C58" s="1020"/>
      <c r="D58" s="1020"/>
      <c r="E58" s="93"/>
      <c r="F58" s="1020" t="s">
        <v>46</v>
      </c>
      <c r="G58" s="1020"/>
      <c r="H58" s="1021"/>
      <c r="AA58" s="1014" t="s">
        <v>253</v>
      </c>
      <c r="AB58" s="1015"/>
      <c r="AC58" s="1015"/>
      <c r="AD58" s="1015"/>
      <c r="AE58" s="1015"/>
      <c r="AF58" s="1015"/>
      <c r="AG58" s="1015"/>
      <c r="AH58" s="1015"/>
      <c r="AI58" s="1015"/>
      <c r="AJ58" s="1015"/>
      <c r="AK58" s="1016"/>
    </row>
    <row r="59" spans="1:42" ht="14.65" customHeight="1">
      <c r="A59" s="43"/>
      <c r="B59" s="199" t="s">
        <v>159</v>
      </c>
      <c r="C59" s="199" t="s">
        <v>109</v>
      </c>
      <c r="D59" s="199" t="s">
        <v>107</v>
      </c>
      <c r="E59" s="26"/>
      <c r="F59" s="199" t="s">
        <v>159</v>
      </c>
      <c r="G59" s="199" t="s">
        <v>109</v>
      </c>
      <c r="H59" s="283" t="s">
        <v>107</v>
      </c>
      <c r="R59" s="240"/>
      <c r="S59" s="240"/>
      <c r="T59" s="261">
        <f>$T$14*$Z59</f>
        <v>3406628.3</v>
      </c>
      <c r="U59" s="250"/>
      <c r="V59" s="250"/>
      <c r="W59" s="256"/>
      <c r="X59" s="20" t="s">
        <v>79</v>
      </c>
      <c r="Y59" s="128" t="s">
        <v>80</v>
      </c>
      <c r="Z59" s="206">
        <f>100%-D62</f>
        <v>0.85</v>
      </c>
      <c r="AA59" s="274"/>
      <c r="AB59" s="261"/>
      <c r="AC59" s="261"/>
      <c r="AD59" s="261" t="s">
        <v>159</v>
      </c>
      <c r="AE59" s="278">
        <f>($B$66+$B$68+$B$70+$B$73-$B$75)/$B$25*$B$24</f>
        <v>46281.325609756102</v>
      </c>
      <c r="AF59" s="278">
        <f>($B$66+$B$68+$B$70+$B$73-$B$75)/$B$25*($E$24+$H$24)</f>
        <v>23997.724390243904</v>
      </c>
      <c r="AG59" s="278"/>
      <c r="AH59" s="278">
        <f>SUM(AE59:AF59)</f>
        <v>70279.05</v>
      </c>
      <c r="AI59" s="25"/>
      <c r="AJ59" s="24"/>
      <c r="AK59" s="270"/>
      <c r="AL59" s="131"/>
    </row>
    <row r="60" spans="1:42" ht="14.65" customHeight="1">
      <c r="A60" s="48" t="s">
        <v>191</v>
      </c>
      <c r="B60" s="346">
        <f>'17 Std'!O7</f>
        <v>33</v>
      </c>
      <c r="C60" s="346">
        <f>'17 Std'!P7</f>
        <v>20</v>
      </c>
      <c r="D60" s="78">
        <f>SUM(B60:C60)</f>
        <v>53</v>
      </c>
      <c r="F60" s="346">
        <f>'17 Std'!Q7</f>
        <v>12</v>
      </c>
      <c r="G60" s="346">
        <f>'17 Std'!R7</f>
        <v>4</v>
      </c>
      <c r="H60" s="79">
        <f>SUM(F60:G60)</f>
        <v>16</v>
      </c>
      <c r="R60" s="269"/>
      <c r="S60" s="269"/>
      <c r="T60" s="262">
        <f>$T$14*$Z60</f>
        <v>601169.69999999995</v>
      </c>
      <c r="U60" s="250"/>
      <c r="V60" s="250"/>
      <c r="W60" s="256"/>
      <c r="X60" s="20" t="s">
        <v>81</v>
      </c>
      <c r="Y60" s="128" t="s">
        <v>82</v>
      </c>
      <c r="Z60" s="138">
        <f>D62</f>
        <v>0.15</v>
      </c>
      <c r="AA60" s="274"/>
      <c r="AB60" s="261"/>
      <c r="AC60" s="261"/>
      <c r="AD60" s="261" t="s">
        <v>109</v>
      </c>
      <c r="AE60" s="279">
        <v>0</v>
      </c>
      <c r="AF60" s="279">
        <f>($B$67+$B$69+$B$71)/$E$24*($E$24+$H$24)</f>
        <v>50232</v>
      </c>
      <c r="AG60" s="279"/>
      <c r="AH60" s="279">
        <f>SUM(AE60:AF60)</f>
        <v>50232</v>
      </c>
      <c r="AI60" s="25"/>
      <c r="AJ60" s="24"/>
      <c r="AK60" s="270"/>
      <c r="AL60" s="131"/>
    </row>
    <row r="61" spans="1:42" ht="14.65" customHeight="1" thickBot="1">
      <c r="A61" s="48" t="s">
        <v>192</v>
      </c>
      <c r="B61" s="347">
        <f>28.16*(1+$F$148)</f>
        <v>28.723200000000002</v>
      </c>
      <c r="C61" s="347">
        <f>30.44*(1+$F$148)</f>
        <v>31.048800000000004</v>
      </c>
      <c r="D61" s="80">
        <f>($B$60*B61+$C$60*C61)/$D$60</f>
        <v>29.60078490566038</v>
      </c>
      <c r="E61" s="26"/>
      <c r="F61" s="347">
        <f>32.42*(1+$F$148)</f>
        <v>33.068400000000004</v>
      </c>
      <c r="G61" s="347">
        <f>32.42*(1+$F$148)</f>
        <v>33.068400000000004</v>
      </c>
      <c r="H61" s="81">
        <f>($F$60*F61+$G$60*G61)/$H$60</f>
        <v>33.068400000000004</v>
      </c>
      <c r="R61" s="235"/>
      <c r="S61" s="235"/>
      <c r="T61" s="24">
        <f>SUM(T59:T60)</f>
        <v>4007798</v>
      </c>
      <c r="U61" s="268"/>
      <c r="V61" s="268"/>
      <c r="W61" s="256" t="s">
        <v>19</v>
      </c>
      <c r="X61" s="130" t="s">
        <v>20</v>
      </c>
      <c r="Y61" s="257" t="s">
        <v>107</v>
      </c>
      <c r="Z61" s="138"/>
      <c r="AA61" s="271">
        <f>$AI$61*AJ61*$B$24</f>
        <v>1491588.6290895219</v>
      </c>
      <c r="AB61" s="272">
        <f>$AI$61*AK61*($E$24+$H$24)</f>
        <v>2392330.1975947968</v>
      </c>
      <c r="AC61" s="272"/>
      <c r="AD61" s="273">
        <f>SUM(AA61:AB61)</f>
        <v>3883918.8266843185</v>
      </c>
      <c r="AE61" s="280">
        <f>SUM(AE59:AE60)</f>
        <v>46281.325609756102</v>
      </c>
      <c r="AF61" s="280">
        <f>SUM(AF59:AF60)</f>
        <v>74229.724390243908</v>
      </c>
      <c r="AG61" s="280"/>
      <c r="AH61" s="280">
        <f>SUM(AH59:AH60)</f>
        <v>120511.05</v>
      </c>
      <c r="AI61" s="277">
        <f>$AI$14</f>
        <v>32.228736092535236</v>
      </c>
      <c r="AJ61" s="275">
        <f>AE61/$B$24</f>
        <v>0.28568719512195123</v>
      </c>
      <c r="AK61" s="276">
        <f>AF61/($E$24+$H$24)</f>
        <v>0.88368719512195126</v>
      </c>
      <c r="AL61" s="131"/>
    </row>
    <row r="62" spans="1:42" ht="14.65" customHeight="1">
      <c r="A62" s="48" t="s">
        <v>193</v>
      </c>
      <c r="B62" s="343">
        <v>0.15</v>
      </c>
      <c r="C62" s="343">
        <v>0.15</v>
      </c>
      <c r="D62" s="203">
        <f>($B$60*B62+$C$60*C62)/$D$60</f>
        <v>0.15</v>
      </c>
      <c r="E62" s="26"/>
      <c r="F62" s="343">
        <v>0.12</v>
      </c>
      <c r="G62" s="343">
        <v>0.16</v>
      </c>
      <c r="H62" s="211">
        <f>($F$60*F62+$G$60*G62)/$H$60</f>
        <v>0.13</v>
      </c>
      <c r="AA62" s="1014" t="s">
        <v>254</v>
      </c>
      <c r="AB62" s="1015"/>
      <c r="AC62" s="1015"/>
      <c r="AD62" s="1015"/>
      <c r="AE62" s="1015"/>
      <c r="AF62" s="1015"/>
      <c r="AG62" s="1015"/>
      <c r="AH62" s="1015"/>
      <c r="AI62" s="1015"/>
      <c r="AJ62" s="1015"/>
      <c r="AK62" s="1016"/>
    </row>
    <row r="63" spans="1:42" ht="14.65" customHeight="1">
      <c r="A63" s="43"/>
      <c r="H63" s="45"/>
      <c r="R63" s="240"/>
      <c r="S63" s="240"/>
      <c r="T63" s="261">
        <f>$T$15*$Z63</f>
        <v>1201359.51</v>
      </c>
      <c r="U63" s="250"/>
      <c r="V63" s="250"/>
      <c r="W63" s="256"/>
      <c r="X63" s="20" t="s">
        <v>83</v>
      </c>
      <c r="Y63" s="128" t="s">
        <v>84</v>
      </c>
      <c r="Z63" s="138">
        <f>100%-H62</f>
        <v>0.87</v>
      </c>
      <c r="AA63" s="274"/>
      <c r="AB63" s="261"/>
      <c r="AC63" s="261"/>
      <c r="AD63" s="261" t="s">
        <v>159</v>
      </c>
      <c r="AE63" s="278">
        <f>($F$66+$F$68+$F$70+$F$73-$F$75)/$B$25*$B$24</f>
        <v>19329.998048780486</v>
      </c>
      <c r="AF63" s="278">
        <f>($F$66+$F$68+$F$70+$F$73-$F$75)/$B$25*($E$24+$H$24)</f>
        <v>10022.961951219511</v>
      </c>
      <c r="AG63" s="278"/>
      <c r="AH63" s="278">
        <f>SUM(AE63:AF63)</f>
        <v>29352.959999999999</v>
      </c>
      <c r="AI63" s="25"/>
      <c r="AJ63" s="24"/>
      <c r="AK63" s="270"/>
      <c r="AL63" s="131"/>
    </row>
    <row r="64" spans="1:42" ht="14.65" customHeight="1">
      <c r="A64" s="48"/>
      <c r="B64" s="1017" t="s">
        <v>18</v>
      </c>
      <c r="C64" s="1017"/>
      <c r="D64" s="1017"/>
      <c r="F64" s="1017" t="s">
        <v>47</v>
      </c>
      <c r="G64" s="1017"/>
      <c r="H64" s="1018"/>
      <c r="R64" s="269"/>
      <c r="S64" s="269"/>
      <c r="T64" s="262">
        <f>$T$15*$Z64</f>
        <v>179513.49000000002</v>
      </c>
      <c r="U64" s="250"/>
      <c r="V64" s="250"/>
      <c r="W64" s="256"/>
      <c r="X64" s="20" t="s">
        <v>85</v>
      </c>
      <c r="Y64" s="128" t="s">
        <v>86</v>
      </c>
      <c r="Z64" s="138">
        <f>H62</f>
        <v>0.13</v>
      </c>
      <c r="AA64" s="274"/>
      <c r="AB64" s="261"/>
      <c r="AC64" s="261"/>
      <c r="AD64" s="261" t="s">
        <v>109</v>
      </c>
      <c r="AE64" s="279">
        <v>0</v>
      </c>
      <c r="AF64" s="279">
        <f>($F$67+$F$69+$F$71)/$E$24*($E$24+$H$24)</f>
        <v>10133.76</v>
      </c>
      <c r="AG64" s="279"/>
      <c r="AH64" s="279">
        <f>SUM(AE64:AF64)</f>
        <v>10133.76</v>
      </c>
      <c r="AI64" s="25"/>
      <c r="AJ64" s="24"/>
      <c r="AK64" s="270"/>
      <c r="AL64" s="131"/>
    </row>
    <row r="65" spans="1:37" ht="14.65" customHeight="1" thickBot="1">
      <c r="A65" s="48"/>
      <c r="B65" s="83" t="s">
        <v>48</v>
      </c>
      <c r="C65" s="83" t="s">
        <v>49</v>
      </c>
      <c r="D65" s="84" t="s">
        <v>50</v>
      </c>
      <c r="E65" s="52"/>
      <c r="F65" s="83" t="s">
        <v>48</v>
      </c>
      <c r="G65" s="83" t="s">
        <v>49</v>
      </c>
      <c r="H65" s="85" t="s">
        <v>50</v>
      </c>
      <c r="I65" s="52"/>
      <c r="R65" s="235"/>
      <c r="S65" s="235"/>
      <c r="T65" s="24">
        <f>SUM(T63:T64)</f>
        <v>1380873</v>
      </c>
      <c r="U65" s="268"/>
      <c r="V65" s="268"/>
      <c r="W65" s="256" t="s">
        <v>19</v>
      </c>
      <c r="X65" s="130" t="s">
        <v>22</v>
      </c>
      <c r="Y65" s="257" t="s">
        <v>107</v>
      </c>
      <c r="Z65" s="138"/>
      <c r="AA65" s="271">
        <f>$AI$65*AJ65*$B$24</f>
        <v>675980.94551696442</v>
      </c>
      <c r="AB65" s="272">
        <f>$AI$65*AK65*($E$24+$H$24)</f>
        <v>704891.94715503568</v>
      </c>
      <c r="AC65" s="272"/>
      <c r="AD65" s="273">
        <f>SUM(AA65:AB65)</f>
        <v>1380872.892672</v>
      </c>
      <c r="AE65" s="280">
        <f>SUM(AE63:AE64)</f>
        <v>19329.998048780486</v>
      </c>
      <c r="AF65" s="280">
        <f>SUM(AF63:AF64)</f>
        <v>20156.721951219512</v>
      </c>
      <c r="AG65" s="280"/>
      <c r="AH65" s="280">
        <f>SUM(AH63:AH64)</f>
        <v>39486.720000000001</v>
      </c>
      <c r="AI65" s="277">
        <f>$AI$15</f>
        <v>34.970564601769915</v>
      </c>
      <c r="AJ65" s="275">
        <f>AE65/$B$24</f>
        <v>0.11932097560975609</v>
      </c>
      <c r="AK65" s="276">
        <f>AF65/($E$24+$H$24)</f>
        <v>0.2399609756097561</v>
      </c>
    </row>
    <row r="66" spans="1:37" ht="14.65" customHeight="1">
      <c r="A66" s="48" t="s">
        <v>195</v>
      </c>
      <c r="B66" s="49">
        <f>$D$148*$D$149*B$60</f>
        <v>72072</v>
      </c>
      <c r="C66" s="86">
        <f>B$61</f>
        <v>28.723200000000002</v>
      </c>
      <c r="D66" s="87">
        <f>B66*C66</f>
        <v>2070138.4704000002</v>
      </c>
      <c r="F66" s="49">
        <f>$D$148*$D$149*F$60</f>
        <v>26208</v>
      </c>
      <c r="G66" s="86">
        <f>F$61</f>
        <v>33.068400000000004</v>
      </c>
      <c r="H66" s="88">
        <f>F66*G66</f>
        <v>866656.6272000001</v>
      </c>
      <c r="I66" s="26"/>
      <c r="R66"/>
      <c r="S66"/>
      <c r="T66"/>
      <c r="U66" s="131"/>
      <c r="V66" s="131"/>
      <c r="W66" s="146"/>
      <c r="X66" s="131"/>
      <c r="Y66" s="132"/>
      <c r="Z66"/>
      <c r="AA66" s="260" t="s">
        <v>398</v>
      </c>
      <c r="AB66" s="131"/>
      <c r="AC66" s="131"/>
      <c r="AD66" s="131"/>
      <c r="AE66" s="162"/>
    </row>
    <row r="67" spans="1:37" ht="14.65" customHeight="1">
      <c r="A67" s="48" t="s">
        <v>196</v>
      </c>
      <c r="B67" s="49">
        <f>$D$148*$D$149*C$60</f>
        <v>43680</v>
      </c>
      <c r="C67" s="205">
        <f>C$61</f>
        <v>31.048800000000004</v>
      </c>
      <c r="D67" s="78">
        <f>B67*C67</f>
        <v>1356211.5840000003</v>
      </c>
      <c r="F67" s="49">
        <f>$D$148*$D$149*G$60</f>
        <v>8736</v>
      </c>
      <c r="G67" s="205">
        <f>G$61</f>
        <v>33.068400000000004</v>
      </c>
      <c r="H67" s="79">
        <f>F67*G67</f>
        <v>288885.54240000003</v>
      </c>
      <c r="I67" s="26"/>
      <c r="R67" s="240"/>
      <c r="S67" s="240"/>
      <c r="T67" s="261">
        <f t="shared" ref="T67:T72" si="47">$T$16*$Z67</f>
        <v>215080.25097696795</v>
      </c>
      <c r="U67" s="250"/>
      <c r="V67" s="250"/>
      <c r="W67" s="159"/>
      <c r="X67" s="20" t="s">
        <v>87</v>
      </c>
      <c r="Y67" s="128" t="s">
        <v>88</v>
      </c>
      <c r="Z67" s="138">
        <f t="shared" ref="Z67:Z72" si="48">AA67/$AA$73</f>
        <v>8.8696471435533455E-2</v>
      </c>
      <c r="AA67" s="143">
        <v>113854.1</v>
      </c>
      <c r="AB67" s="133"/>
      <c r="AC67" s="133"/>
      <c r="AD67" s="133"/>
      <c r="AE67" s="143"/>
      <c r="AI67" s="240"/>
      <c r="AJ67" s="240"/>
    </row>
    <row r="68" spans="1:37" ht="14.65" customHeight="1">
      <c r="A68" s="48" t="s">
        <v>197</v>
      </c>
      <c r="B68" s="49">
        <f>B66*B62</f>
        <v>10810.8</v>
      </c>
      <c r="C68" s="89">
        <f>B61*D150</f>
        <v>43.084800000000001</v>
      </c>
      <c r="D68" s="78">
        <f>B68*C68</f>
        <v>465781.15583999996</v>
      </c>
      <c r="F68" s="49">
        <f>F66*F62</f>
        <v>3144.96</v>
      </c>
      <c r="G68" s="89">
        <f>F61*D150</f>
        <v>49.60260000000001</v>
      </c>
      <c r="H68" s="79">
        <f>F68*G68</f>
        <v>155998.19289600002</v>
      </c>
      <c r="I68" s="26"/>
      <c r="R68" s="240"/>
      <c r="S68" s="240"/>
      <c r="T68" s="261">
        <f t="shared" si="47"/>
        <v>201675.99165525968</v>
      </c>
      <c r="U68" s="250"/>
      <c r="V68" s="250"/>
      <c r="W68" s="159"/>
      <c r="X68" s="20" t="s">
        <v>89</v>
      </c>
      <c r="Y68" s="128" t="s">
        <v>90</v>
      </c>
      <c r="Z68" s="138">
        <f t="shared" si="48"/>
        <v>8.3168718428728125E-2</v>
      </c>
      <c r="AA68" s="143">
        <v>106758.47</v>
      </c>
      <c r="AB68" s="133"/>
      <c r="AC68" s="133"/>
      <c r="AD68" s="133"/>
      <c r="AE68" s="143"/>
      <c r="AI68" s="240"/>
      <c r="AJ68" s="240"/>
    </row>
    <row r="69" spans="1:37" ht="14.65" customHeight="1">
      <c r="A69" s="48" t="s">
        <v>198</v>
      </c>
      <c r="B69" s="49">
        <f>B67*C62</f>
        <v>6552</v>
      </c>
      <c r="C69" s="89">
        <f>C61*D150</f>
        <v>46.573200000000007</v>
      </c>
      <c r="D69" s="78">
        <f>B69*C69</f>
        <v>305147.60640000005</v>
      </c>
      <c r="F69" s="49">
        <f>F67*G62</f>
        <v>1397.76</v>
      </c>
      <c r="G69" s="89">
        <f>G61*D150</f>
        <v>49.60260000000001</v>
      </c>
      <c r="H69" s="79">
        <f>F69*G69</f>
        <v>69332.530176000015</v>
      </c>
      <c r="I69" s="26"/>
      <c r="R69" s="240"/>
      <c r="S69" s="240"/>
      <c r="T69" s="261">
        <f t="shared" si="47"/>
        <v>200153.63346302236</v>
      </c>
      <c r="U69" s="250"/>
      <c r="V69" s="250"/>
      <c r="W69" s="159"/>
      <c r="X69" s="20" t="s">
        <v>91</v>
      </c>
      <c r="Y69" s="128" t="s">
        <v>92</v>
      </c>
      <c r="Z69" s="138">
        <f t="shared" si="48"/>
        <v>8.2540916483644436E-2</v>
      </c>
      <c r="AA69" s="143">
        <v>105952.6</v>
      </c>
      <c r="AB69" s="133"/>
      <c r="AC69" s="133"/>
      <c r="AD69" s="133"/>
      <c r="AE69" s="143"/>
      <c r="AI69" s="240"/>
      <c r="AJ69" s="240"/>
    </row>
    <row r="70" spans="1:37" ht="14.65" customHeight="1">
      <c r="A70" s="48" t="s">
        <v>199</v>
      </c>
      <c r="B70" s="49">
        <v>0</v>
      </c>
      <c r="C70" s="90"/>
      <c r="D70" s="78">
        <f>96*(34.91*1.03)*12*1.5</f>
        <v>62134.21439999999</v>
      </c>
      <c r="F70" s="49">
        <v>0</v>
      </c>
      <c r="G70" s="89"/>
      <c r="H70" s="79">
        <v>0</v>
      </c>
      <c r="I70" s="26"/>
      <c r="R70" s="240"/>
      <c r="S70" s="240"/>
      <c r="T70" s="261">
        <f t="shared" si="47"/>
        <v>1209891.5049458479</v>
      </c>
      <c r="U70" s="250"/>
      <c r="V70" s="250"/>
      <c r="W70" s="159"/>
      <c r="X70" s="20" t="s">
        <v>93</v>
      </c>
      <c r="Y70" s="128" t="s">
        <v>94</v>
      </c>
      <c r="Z70" s="138">
        <f t="shared" si="48"/>
        <v>0.49894449546655822</v>
      </c>
      <c r="AA70" s="143">
        <v>640463.77</v>
      </c>
      <c r="AB70" s="133"/>
      <c r="AC70" s="133"/>
      <c r="AD70" s="133"/>
      <c r="AE70" s="143"/>
      <c r="AI70" s="240"/>
      <c r="AJ70" s="240"/>
    </row>
    <row r="71" spans="1:37" ht="14.65" customHeight="1">
      <c r="A71" s="48" t="s">
        <v>200</v>
      </c>
      <c r="B71" s="170">
        <v>0</v>
      </c>
      <c r="C71" s="177"/>
      <c r="D71" s="178">
        <v>0</v>
      </c>
      <c r="E71" s="163"/>
      <c r="F71" s="170">
        <v>0</v>
      </c>
      <c r="G71" s="177"/>
      <c r="H71" s="194">
        <v>0</v>
      </c>
      <c r="I71" s="26"/>
      <c r="R71" s="240"/>
      <c r="S71" s="240"/>
      <c r="T71" s="261">
        <f t="shared" si="47"/>
        <v>553380.34820740751</v>
      </c>
      <c r="U71" s="250"/>
      <c r="V71" s="250"/>
      <c r="W71" s="159"/>
      <c r="X71" s="20" t="s">
        <v>95</v>
      </c>
      <c r="Y71" s="128" t="s">
        <v>96</v>
      </c>
      <c r="Z71" s="138">
        <f t="shared" si="48"/>
        <v>0.22820730413328355</v>
      </c>
      <c r="AA71" s="143">
        <v>292935.40999999997</v>
      </c>
      <c r="AB71" s="133"/>
      <c r="AC71" s="133"/>
      <c r="AD71" s="133"/>
      <c r="AE71" s="143"/>
      <c r="AI71" s="240"/>
      <c r="AJ71" s="240"/>
    </row>
    <row r="72" spans="1:37" ht="14.65" customHeight="1">
      <c r="A72" s="176" t="s">
        <v>161</v>
      </c>
      <c r="B72" s="49">
        <f>SUM(B66:B71)</f>
        <v>133114.79999999999</v>
      </c>
      <c r="C72" s="80">
        <f>D72/B72</f>
        <v>31.998042524497659</v>
      </c>
      <c r="D72" s="167">
        <f>SUM(D66:D71)</f>
        <v>4259413.0310400007</v>
      </c>
      <c r="E72" s="163"/>
      <c r="F72" s="49">
        <f>SUM(F66:F71)</f>
        <v>39486.720000000001</v>
      </c>
      <c r="G72" s="80">
        <f>H72/F72</f>
        <v>34.970564601769915</v>
      </c>
      <c r="H72" s="91">
        <f>SUM(H66:H71)</f>
        <v>1380872.8926720002</v>
      </c>
      <c r="I72" s="26"/>
      <c r="R72" s="269"/>
      <c r="S72" s="269"/>
      <c r="T72" s="262">
        <f t="shared" si="47"/>
        <v>44720.270751494434</v>
      </c>
      <c r="U72" s="250"/>
      <c r="V72" s="250"/>
      <c r="W72" s="159"/>
      <c r="X72" s="20" t="s">
        <v>97</v>
      </c>
      <c r="Y72" s="128" t="s">
        <v>98</v>
      </c>
      <c r="Z72" s="258">
        <f t="shared" si="48"/>
        <v>1.8442094052252188E-2</v>
      </c>
      <c r="AA72" s="161">
        <v>23672.959999999999</v>
      </c>
      <c r="AB72" s="133"/>
      <c r="AC72" s="133"/>
      <c r="AD72" s="133"/>
      <c r="AE72" s="161"/>
      <c r="AI72" s="240"/>
      <c r="AJ72" s="240"/>
    </row>
    <row r="73" spans="1:37" ht="14.65" customHeight="1">
      <c r="A73" s="176" t="s">
        <v>217</v>
      </c>
      <c r="B73" s="170">
        <f>-H82</f>
        <v>-8760</v>
      </c>
      <c r="C73" s="209">
        <f>D73/B73</f>
        <v>28.723173515981735</v>
      </c>
      <c r="D73" s="179">
        <f>ROUND(B73*B61,0)</f>
        <v>-251615</v>
      </c>
      <c r="E73" s="163"/>
      <c r="F73" s="170">
        <v>0</v>
      </c>
      <c r="G73" s="210"/>
      <c r="H73" s="195">
        <v>0</v>
      </c>
      <c r="I73" s="163"/>
      <c r="R73" s="235"/>
      <c r="S73" s="235"/>
      <c r="T73" s="24">
        <f>SUM(T67:T72)</f>
        <v>2424902</v>
      </c>
      <c r="U73" s="268"/>
      <c r="V73" s="268"/>
      <c r="W73" s="256" t="s">
        <v>19</v>
      </c>
      <c r="X73" s="130" t="s">
        <v>24</v>
      </c>
      <c r="Y73" s="257" t="s">
        <v>107</v>
      </c>
      <c r="Z73" s="138">
        <f>SUM(Z67:Z72)</f>
        <v>0.99999999999999989</v>
      </c>
      <c r="AA73" s="259">
        <f>SUM(AA67:AA72)</f>
        <v>1283637.31</v>
      </c>
      <c r="AB73"/>
      <c r="AC73"/>
      <c r="AD73"/>
      <c r="AE73" s="160"/>
      <c r="AI73" s="241"/>
      <c r="AJ73" s="241"/>
    </row>
    <row r="74" spans="1:37" ht="14.65" customHeight="1">
      <c r="A74" s="176" t="s">
        <v>162</v>
      </c>
      <c r="B74" s="165">
        <f>SUM(B72:B73)</f>
        <v>124354.79999999999</v>
      </c>
      <c r="C74" s="166">
        <f>D74/B74</f>
        <v>32.228736092535236</v>
      </c>
      <c r="D74" s="169">
        <f>SUM(D72:D73)</f>
        <v>4007798.0310400007</v>
      </c>
      <c r="E74" s="163"/>
      <c r="F74" s="165">
        <f>SUM(F72:F73)</f>
        <v>39486.720000000001</v>
      </c>
      <c r="G74" s="196">
        <f>H74/F74</f>
        <v>34.970564601769915</v>
      </c>
      <c r="H74" s="164">
        <f>SUM(H72:H73)</f>
        <v>1380872.8926720002</v>
      </c>
    </row>
    <row r="75" spans="1:37" ht="14.65" customHeight="1">
      <c r="A75" s="141" t="s">
        <v>163</v>
      </c>
      <c r="B75" s="165">
        <f>H83</f>
        <v>3843.75</v>
      </c>
      <c r="C75" s="166"/>
      <c r="D75" s="169">
        <f>B75*C74</f>
        <v>123879.20435568232</v>
      </c>
      <c r="E75" s="163"/>
      <c r="F75" s="165">
        <v>0</v>
      </c>
      <c r="G75" s="40"/>
      <c r="H75" s="164">
        <f>F75*G74</f>
        <v>0</v>
      </c>
    </row>
    <row r="76" spans="1:37" ht="14.65" customHeight="1">
      <c r="A76" s="141" t="s">
        <v>164</v>
      </c>
      <c r="B76" s="165">
        <f>B74-B75</f>
        <v>120511.04999999999</v>
      </c>
      <c r="C76" s="166"/>
      <c r="D76" s="169">
        <f>B76*C74</f>
        <v>3883918.826684318</v>
      </c>
      <c r="E76" s="163"/>
      <c r="F76" s="165">
        <f>F74-F75</f>
        <v>39486.720000000001</v>
      </c>
      <c r="G76" s="196"/>
      <c r="H76" s="197">
        <f>F76*G74</f>
        <v>1380872.8926720002</v>
      </c>
    </row>
    <row r="77" spans="1:37" ht="14.65" customHeight="1" thickBot="1">
      <c r="A77" s="48"/>
      <c r="B77" s="59"/>
      <c r="H77" s="45"/>
    </row>
    <row r="78" spans="1:37" ht="14.65" customHeight="1">
      <c r="A78" s="48" t="str">
        <f>CONCATENATE("Indirect Payroll Cost (IPC) at ",$D$151*100,"% (NIRO)")</f>
        <v>Indirect Payroll Cost (IPC) at 45% (NIRO)</v>
      </c>
      <c r="B78" s="49">
        <f>B66+B68+B70</f>
        <v>82882.8</v>
      </c>
      <c r="C78" s="80">
        <f>D78/B78</f>
        <v>19.658106354167572</v>
      </c>
      <c r="D78" s="204">
        <f>((D66+D68+D70)*$D$151)+((H66+H68+H70)*$D$151)</f>
        <v>1629318.8973312001</v>
      </c>
      <c r="E78" s="1019" t="s">
        <v>300</v>
      </c>
      <c r="F78" s="1019"/>
      <c r="G78" s="1019"/>
      <c r="H78" s="357">
        <f>B61*(1+D151)*H81</f>
        <v>524929.04639999999</v>
      </c>
      <c r="AA78" s="1014" t="s">
        <v>255</v>
      </c>
      <c r="AB78" s="1015"/>
      <c r="AC78" s="1015"/>
      <c r="AD78" s="1015"/>
      <c r="AE78" s="1015"/>
      <c r="AF78" s="1015"/>
      <c r="AG78" s="1015"/>
      <c r="AH78" s="1015"/>
      <c r="AI78" s="1015"/>
      <c r="AJ78" s="1015"/>
      <c r="AK78" s="1016"/>
    </row>
    <row r="79" spans="1:37" ht="14.65" customHeight="1">
      <c r="A79" s="48" t="str">
        <f>CONCATENATE("Indirect Payroll Cost (IPC) at ",$D$151*100,"% (KS)")</f>
        <v>Indirect Payroll Cost (IPC) at 45% (KS)</v>
      </c>
      <c r="B79" s="170">
        <f>B67+B69+B71</f>
        <v>50232</v>
      </c>
      <c r="C79" s="209">
        <f>D79/B79</f>
        <v>18.092247339130434</v>
      </c>
      <c r="D79" s="179">
        <f>((D67+D69+D71)*$D$151)+((H67+H69+H71)*$D$151)</f>
        <v>908809.76833920006</v>
      </c>
      <c r="E79" s="1019" t="s">
        <v>301</v>
      </c>
      <c r="F79" s="1022"/>
      <c r="G79" s="356">
        <v>0.2</v>
      </c>
      <c r="H79" s="292">
        <f>B25*G79*1000</f>
        <v>49200000</v>
      </c>
      <c r="AA79" s="274"/>
      <c r="AB79" s="261"/>
      <c r="AC79" s="261"/>
      <c r="AD79" s="261" t="s">
        <v>159</v>
      </c>
      <c r="AE79" s="278">
        <f>($B$66+$B$68+$B$70+$B$73-$B$75)/$B$25*$B$24</f>
        <v>46281.325609756102</v>
      </c>
      <c r="AF79" s="278">
        <f>($B$66+$B$68+$B$70+$B$73-$B$75)/$B$25*($E$24+$H$24)</f>
        <v>23997.724390243904</v>
      </c>
      <c r="AG79" s="278"/>
      <c r="AH79" s="278">
        <f>SUM(AE79:AF79)</f>
        <v>70279.05</v>
      </c>
      <c r="AI79" s="25"/>
      <c r="AJ79" s="24"/>
      <c r="AK79" s="270"/>
    </row>
    <row r="80" spans="1:37" ht="14.65" customHeight="1">
      <c r="A80" s="176" t="str">
        <f>CONCATENATE("Total IPC at ",$D$151*100,"% (KS)")</f>
        <v>Total IPC at 45% (KS)</v>
      </c>
      <c r="B80" s="49">
        <f>SUM(B78:B79)</f>
        <v>133114.79999999999</v>
      </c>
      <c r="C80" s="80">
        <f>D80/B80</f>
        <v>19.067216159813938</v>
      </c>
      <c r="D80" s="207">
        <f>SUM(D78:D79)</f>
        <v>2538128.6656704</v>
      </c>
      <c r="E80" s="293" t="s">
        <v>158</v>
      </c>
      <c r="F80" s="294" t="s">
        <v>50</v>
      </c>
      <c r="G80" s="294" t="s">
        <v>52</v>
      </c>
      <c r="H80" s="295" t="s">
        <v>53</v>
      </c>
      <c r="AA80" s="274"/>
      <c r="AB80" s="261"/>
      <c r="AC80" s="261"/>
      <c r="AD80" s="261" t="s">
        <v>109</v>
      </c>
      <c r="AE80" s="279">
        <v>0</v>
      </c>
      <c r="AF80" s="279">
        <f>($B$67+$B$69+$B$71)/($E$24+$H$24)*($E$24+$H$24)</f>
        <v>50232</v>
      </c>
      <c r="AG80" s="279"/>
      <c r="AH80" s="279">
        <f>SUM(AE80:AF80)</f>
        <v>50232</v>
      </c>
      <c r="AI80" s="25"/>
      <c r="AJ80" s="24"/>
      <c r="AK80" s="270"/>
    </row>
    <row r="81" spans="1:37" ht="14.65" customHeight="1" thickBot="1">
      <c r="A81" s="176" t="s">
        <v>201</v>
      </c>
      <c r="B81" s="147">
        <f>B73</f>
        <v>-8760</v>
      </c>
      <c r="C81" s="208">
        <f>D81/B81</f>
        <v>12.925456621004566</v>
      </c>
      <c r="D81" s="168">
        <f>ROUND(B81*$B$61*D151,0)</f>
        <v>-113227</v>
      </c>
      <c r="E81" s="298" t="s">
        <v>151</v>
      </c>
      <c r="F81" s="296">
        <f>SUM(F82:F83)</f>
        <v>362020.03200000001</v>
      </c>
      <c r="G81" s="296">
        <f>SUM(G82:G83)</f>
        <v>162909.01440000001</v>
      </c>
      <c r="H81" s="297">
        <f>SUM(H82:H83)</f>
        <v>12603.75</v>
      </c>
      <c r="AA81" s="271">
        <f>$AI$81*AJ81*$B$24</f>
        <v>902479.54691360286</v>
      </c>
      <c r="AB81" s="272">
        <f>$AI$81*AK81*($E$24+$H$24)</f>
        <v>1447469.5171891812</v>
      </c>
      <c r="AC81" s="272"/>
      <c r="AD81" s="273">
        <f>SUM(AA81:AB81)</f>
        <v>2349949.0641027838</v>
      </c>
      <c r="AE81" s="280">
        <f>SUM(AE79:AE80)</f>
        <v>46281.325609756102</v>
      </c>
      <c r="AF81" s="280">
        <f>SUM(AF79:AF80)</f>
        <v>74229.724390243908</v>
      </c>
      <c r="AG81" s="280"/>
      <c r="AH81" s="280">
        <f>SUM(AH79:AH80)</f>
        <v>120511.05</v>
      </c>
      <c r="AI81" s="277">
        <f>$AI$16</f>
        <v>19.499863822469258</v>
      </c>
      <c r="AJ81" s="275">
        <f>AE81/$B$24</f>
        <v>0.28568719512195123</v>
      </c>
      <c r="AK81" s="276">
        <f>AF81/($E$24+$H$24)</f>
        <v>0.88368719512195126</v>
      </c>
    </row>
    <row r="82" spans="1:37" ht="14.65" customHeight="1">
      <c r="A82" s="176" t="s">
        <v>165</v>
      </c>
      <c r="B82" s="165">
        <f>SUM(B80:B81)</f>
        <v>124354.79999999999</v>
      </c>
      <c r="C82" s="166">
        <f>D82/B82</f>
        <v>19.499863822469258</v>
      </c>
      <c r="D82" s="169">
        <f>SUM(D80:D81)</f>
        <v>2424901.6656704</v>
      </c>
      <c r="E82" s="298" t="s">
        <v>54</v>
      </c>
      <c r="F82" s="296">
        <f>$H82*$B$61</f>
        <v>251615.23200000002</v>
      </c>
      <c r="G82" s="296">
        <f>$H82*$B$61*$D$151</f>
        <v>113226.85440000001</v>
      </c>
      <c r="H82" s="297">
        <f>1*365*24</f>
        <v>8760</v>
      </c>
    </row>
    <row r="83" spans="1:37" ht="14.65" customHeight="1">
      <c r="A83" s="141" t="s">
        <v>166</v>
      </c>
      <c r="B83" s="165">
        <f>H83</f>
        <v>3843.75</v>
      </c>
      <c r="C83" s="166"/>
      <c r="D83" s="169">
        <f>B83*C82</f>
        <v>74952.601567616206</v>
      </c>
      <c r="E83" s="298" t="s">
        <v>55</v>
      </c>
      <c r="F83" s="296">
        <f>$H83*$B$61</f>
        <v>110404.8</v>
      </c>
      <c r="G83" s="296">
        <f>$H83*$B$61*$D$151</f>
        <v>49682.16</v>
      </c>
      <c r="H83" s="297">
        <f>H79/12800</f>
        <v>3843.75</v>
      </c>
    </row>
    <row r="84" spans="1:37" ht="14.65" customHeight="1">
      <c r="A84" s="141" t="s">
        <v>167</v>
      </c>
      <c r="B84" s="165">
        <f>B82-B83</f>
        <v>120511.04999999999</v>
      </c>
      <c r="C84" s="196"/>
      <c r="D84" s="169">
        <f>B84*C82</f>
        <v>2349949.0641027838</v>
      </c>
      <c r="E84" s="26"/>
      <c r="F84" s="26"/>
      <c r="G84" s="26"/>
      <c r="H84" s="77"/>
    </row>
    <row r="85" spans="1:37" ht="14.65" customHeight="1">
      <c r="A85" s="48"/>
      <c r="B85" s="26"/>
      <c r="C85" s="26"/>
      <c r="D85" s="299"/>
      <c r="E85" s="1009" t="s">
        <v>186</v>
      </c>
      <c r="F85" s="1009"/>
      <c r="G85" s="1009" t="s">
        <v>259</v>
      </c>
      <c r="H85" s="1010"/>
    </row>
    <row r="86" spans="1:37" ht="14.65" customHeight="1">
      <c r="A86" s="48"/>
      <c r="B86" s="26"/>
      <c r="C86" s="26"/>
      <c r="D86" s="299"/>
      <c r="E86" s="199" t="s">
        <v>53</v>
      </c>
      <c r="F86" s="199" t="s">
        <v>273</v>
      </c>
      <c r="G86" s="199" t="s">
        <v>53</v>
      </c>
      <c r="H86" s="305" t="s">
        <v>273</v>
      </c>
    </row>
    <row r="87" spans="1:37" ht="14.65" customHeight="1">
      <c r="A87" s="48" t="s">
        <v>274</v>
      </c>
      <c r="B87" s="26"/>
      <c r="C87" s="26"/>
      <c r="D87" s="299"/>
      <c r="E87" s="49">
        <f>IF(AND($B$130&lt;&gt;0,$C$130&lt;&gt;0),$B$76/$D$130*$B$130,IF(AND($B$130&lt;&gt;0,$C$130=0),$B$76,0))</f>
        <v>79360.935365853657</v>
      </c>
      <c r="F87" s="102">
        <f>E87*$C$74</f>
        <v>2557702.6419628439</v>
      </c>
      <c r="G87" s="49">
        <f>IF(AND($B$130&lt;&gt;0,$C$130&lt;&gt;0),$B$76/$D$130*$C$130,IF(AND($B$130=0,$C$130&lt;&gt;0),$B$76,0))</f>
        <v>41150.114634146339</v>
      </c>
      <c r="H87" s="303">
        <f>G87*$C$74</f>
        <v>1326216.1847214745</v>
      </c>
    </row>
    <row r="88" spans="1:37" ht="14.65" customHeight="1">
      <c r="A88" s="48" t="s">
        <v>275</v>
      </c>
      <c r="B88" s="26"/>
      <c r="C88" s="26"/>
      <c r="D88" s="299"/>
      <c r="E88" s="49">
        <f>IF(AND($B$130&lt;&gt;0,$C$130&lt;&gt;0),$F$76/$D$130*$B$130,IF(AND($B$130&lt;&gt;0,$C$130=0),$F$76,0))</f>
        <v>26003.449756097565</v>
      </c>
      <c r="F88" s="102">
        <f>E88*$G$74</f>
        <v>909355.31956448802</v>
      </c>
      <c r="G88" s="49">
        <f>IF(AND($B$130&lt;&gt;0,$C$130&lt;&gt;0),$F$76/$D$130*$C$130,IF(AND($B$130=0,$C$130&lt;&gt;0),$F$76,0))</f>
        <v>13483.27024390244</v>
      </c>
      <c r="H88" s="303">
        <f>G88*$G$74</f>
        <v>471517.57310751226</v>
      </c>
    </row>
    <row r="89" spans="1:37" ht="14.65" customHeight="1">
      <c r="A89" s="112" t="s">
        <v>276</v>
      </c>
      <c r="B89" s="113"/>
      <c r="C89" s="113"/>
      <c r="D89" s="300"/>
      <c r="E89" s="170">
        <f>(E87+E88)/($B$76+$F$76)*$B$84</f>
        <v>79360.935365853671</v>
      </c>
      <c r="F89" s="302">
        <f>E89*$C$82</f>
        <v>1547527.4324579311</v>
      </c>
      <c r="G89" s="170">
        <f>(G87+G88)/($B$76+$F$76)*$B$84</f>
        <v>41150.114634146332</v>
      </c>
      <c r="H89" s="304">
        <f>G89*$C$82</f>
        <v>802421.63164485281</v>
      </c>
    </row>
    <row r="90" spans="1:37" ht="14.65" customHeight="1">
      <c r="D90" s="92"/>
      <c r="H90" s="92"/>
    </row>
    <row r="91" spans="1:37" ht="14.65" customHeight="1"/>
    <row r="92" spans="1:37" ht="14.65" customHeight="1">
      <c r="A92" s="82" t="s">
        <v>56</v>
      </c>
      <c r="B92" s="93"/>
      <c r="C92" s="93"/>
      <c r="D92" s="94"/>
      <c r="E92" s="94"/>
      <c r="F92" s="93"/>
      <c r="G92" s="93"/>
      <c r="H92" s="95"/>
    </row>
    <row r="93" spans="1:37" ht="15">
      <c r="A93" s="48"/>
      <c r="B93" s="147" t="s">
        <v>8</v>
      </c>
      <c r="C93" s="213" t="s">
        <v>207</v>
      </c>
      <c r="D93" s="213" t="s">
        <v>213</v>
      </c>
      <c r="F93" s="147" t="s">
        <v>5</v>
      </c>
      <c r="G93" s="213" t="s">
        <v>6</v>
      </c>
      <c r="H93" s="214" t="s">
        <v>214</v>
      </c>
    </row>
    <row r="94" spans="1:37" ht="15">
      <c r="A94" s="48"/>
      <c r="B94" s="49" t="s">
        <v>202</v>
      </c>
      <c r="C94" s="49">
        <f>IF(($B$107*$B$24+$F$107*$E$24+$F$107*$H$24)*1000&lt;=480000,($B$107*$B$24+$F$107*$E$24+$F$107*$H$24)*1000,480000)</f>
        <v>480000</v>
      </c>
      <c r="D94" s="347">
        <v>5.1124999999999998</v>
      </c>
      <c r="F94" s="49" t="s">
        <v>159</v>
      </c>
      <c r="G94" s="49">
        <f>(B100*$B$24+F100*$E$24+F100*$H$24)*1000</f>
        <v>15744000</v>
      </c>
      <c r="H94" s="349">
        <v>0.1</v>
      </c>
    </row>
    <row r="95" spans="1:37" ht="16.5">
      <c r="A95" s="48"/>
      <c r="B95" s="49" t="s">
        <v>203</v>
      </c>
      <c r="C95" s="147">
        <f>IF(C94&gt;=480000,(((B104+B105+B106)*$B$24*1000)+((F104+F105+F106)*($E$24+$H$24)*1000))-480000,0)</f>
        <v>434520.00000000012</v>
      </c>
      <c r="D95" s="347">
        <v>3.0468000000000002</v>
      </c>
      <c r="F95" s="49" t="s">
        <v>109</v>
      </c>
      <c r="G95" s="147">
        <f>(B101*$B$24+F101*$E$24+F101*$H$24)*1000</f>
        <v>57825600</v>
      </c>
      <c r="H95" s="349">
        <v>6.5000000000000002E-2</v>
      </c>
    </row>
    <row r="96" spans="1:37">
      <c r="A96" s="48"/>
      <c r="B96" s="49"/>
      <c r="C96" s="49">
        <f>SUM(C94:C95)</f>
        <v>914520.00000000012</v>
      </c>
      <c r="D96" s="80">
        <f>(C94*D94+C95*D95)/C96</f>
        <v>4.1310146699908143</v>
      </c>
      <c r="F96" s="49"/>
      <c r="G96" s="49">
        <f>SUM(G94:G95)</f>
        <v>73569600</v>
      </c>
      <c r="H96" s="173">
        <f>(G94*H94+G95*H95)/G96</f>
        <v>7.249005023814184E-2</v>
      </c>
    </row>
    <row r="97" spans="1:36">
      <c r="A97" s="43"/>
      <c r="C97" s="359"/>
      <c r="G97" s="359"/>
      <c r="H97" s="96"/>
    </row>
    <row r="98" spans="1:36">
      <c r="A98" s="48"/>
      <c r="B98" s="1023" t="s">
        <v>194</v>
      </c>
      <c r="C98" s="1023"/>
      <c r="D98" s="1023"/>
      <c r="F98" s="1023" t="s">
        <v>285</v>
      </c>
      <c r="G98" s="1023"/>
      <c r="H98" s="1024"/>
    </row>
    <row r="99" spans="1:36" ht="26.25">
      <c r="A99" s="48"/>
      <c r="B99" s="97" t="s">
        <v>152</v>
      </c>
      <c r="C99" s="13" t="s">
        <v>215</v>
      </c>
      <c r="D99" s="97" t="s">
        <v>153</v>
      </c>
      <c r="F99" s="97" t="s">
        <v>152</v>
      </c>
      <c r="G99" s="13" t="s">
        <v>215</v>
      </c>
      <c r="H99" s="101" t="s">
        <v>153</v>
      </c>
      <c r="Y99"/>
      <c r="Z99"/>
      <c r="AA99"/>
      <c r="AB99"/>
      <c r="AC99"/>
      <c r="AD99"/>
      <c r="AE99" s="136"/>
    </row>
    <row r="100" spans="1:36" ht="15">
      <c r="A100" s="48" t="s">
        <v>204</v>
      </c>
      <c r="B100" s="350">
        <f>0.064</f>
        <v>6.4000000000000001E-2</v>
      </c>
      <c r="C100" s="172">
        <f>$H$96</f>
        <v>7.249005023814184E-2</v>
      </c>
      <c r="D100" s="174">
        <f>B100*C100</f>
        <v>4.6393632152410781E-3</v>
      </c>
      <c r="F100" s="350">
        <f>0.064</f>
        <v>6.4000000000000001E-2</v>
      </c>
      <c r="G100" s="172">
        <f>$H$96</f>
        <v>7.249005023814184E-2</v>
      </c>
      <c r="H100" s="175">
        <f>F100*G100</f>
        <v>4.6393632152410781E-3</v>
      </c>
      <c r="W100" s="97"/>
      <c r="Y100"/>
      <c r="Z100"/>
      <c r="AA100"/>
      <c r="AB100"/>
      <c r="AC100"/>
      <c r="AD100"/>
      <c r="AE100" s="136"/>
    </row>
    <row r="101" spans="1:36" ht="15">
      <c r="A101" s="48" t="s">
        <v>205</v>
      </c>
      <c r="B101" s="350">
        <v>0</v>
      </c>
      <c r="C101" s="172">
        <f>$H$96</f>
        <v>7.249005023814184E-2</v>
      </c>
      <c r="D101" s="174">
        <f>B101*C101</f>
        <v>0</v>
      </c>
      <c r="F101" s="350">
        <f>0.6884</f>
        <v>0.68840000000000001</v>
      </c>
      <c r="G101" s="172">
        <f>$H$96</f>
        <v>7.249005023814184E-2</v>
      </c>
      <c r="H101" s="175">
        <f>F101*G101</f>
        <v>4.9902150583936843E-2</v>
      </c>
      <c r="W101" s="266"/>
      <c r="Y101"/>
      <c r="Z101"/>
      <c r="AA101"/>
      <c r="AB101"/>
      <c r="AC101"/>
      <c r="AD101"/>
      <c r="AE101" s="136"/>
      <c r="AJ101" s="158"/>
    </row>
    <row r="102" spans="1:36" ht="15">
      <c r="A102" s="176" t="s">
        <v>210</v>
      </c>
      <c r="B102" s="222">
        <f>SUM(B100:B101)</f>
        <v>6.4000000000000001E-2</v>
      </c>
      <c r="C102" s="223">
        <f>D102/B102</f>
        <v>7.249005023814184E-2</v>
      </c>
      <c r="D102" s="224">
        <f>SUM(D100:D101)</f>
        <v>4.6393632152410781E-3</v>
      </c>
      <c r="F102" s="222">
        <f>SUM(F100:F101)</f>
        <v>0.75239999999999996</v>
      </c>
      <c r="G102" s="223">
        <f>H102/F102</f>
        <v>5.9199247473654862E-2</v>
      </c>
      <c r="H102" s="448">
        <f>SUM(H100:H101)-0.01</f>
        <v>4.4541513799177916E-2</v>
      </c>
      <c r="W102" s="266"/>
      <c r="Y102"/>
      <c r="Z102"/>
      <c r="AA102"/>
      <c r="AB102"/>
      <c r="AC102"/>
      <c r="AD102"/>
      <c r="AE102" s="136"/>
      <c r="AJ102" s="158"/>
    </row>
    <row r="103" spans="1:36" ht="15">
      <c r="A103" s="176"/>
      <c r="B103" s="217"/>
      <c r="C103" s="221"/>
      <c r="D103" s="174"/>
      <c r="F103" s="217"/>
      <c r="G103" s="221"/>
      <c r="H103" s="175"/>
      <c r="W103" s="266"/>
      <c r="Y103"/>
      <c r="Z103"/>
      <c r="AA103"/>
      <c r="AB103"/>
      <c r="AC103"/>
      <c r="AD103"/>
      <c r="AE103" s="136"/>
    </row>
    <row r="104" spans="1:36" ht="15">
      <c r="A104" s="48" t="s">
        <v>208</v>
      </c>
      <c r="B104" s="350">
        <v>2.1900000000000001E-3</v>
      </c>
      <c r="C104" s="212">
        <f>$D$96</f>
        <v>4.1310146699908143</v>
      </c>
      <c r="D104" s="174">
        <f>B104*C104</f>
        <v>9.0469221272798835E-3</v>
      </c>
      <c r="F104" s="350">
        <v>2.1900000000000001E-3</v>
      </c>
      <c r="G104" s="212">
        <f>$D$96</f>
        <v>4.1310146699908143</v>
      </c>
      <c r="H104" s="175">
        <f>F104*G104</f>
        <v>9.0469221272798835E-3</v>
      </c>
      <c r="W104" s="266"/>
      <c r="Y104"/>
      <c r="Z104"/>
      <c r="AA104"/>
      <c r="AB104"/>
      <c r="AC104"/>
      <c r="AD104"/>
      <c r="AE104" s="136"/>
    </row>
    <row r="105" spans="1:36" ht="15">
      <c r="A105" s="48" t="s">
        <v>206</v>
      </c>
      <c r="B105" s="350">
        <v>2.1900000000000001E-3</v>
      </c>
      <c r="C105" s="212">
        <f>$D$96</f>
        <v>4.1310146699908143</v>
      </c>
      <c r="D105" s="174">
        <f>B105*C105</f>
        <v>9.0469221272798835E-3</v>
      </c>
      <c r="F105" s="350">
        <v>0</v>
      </c>
      <c r="G105" s="212">
        <f>$D$96</f>
        <v>4.1310146699908143</v>
      </c>
      <c r="H105" s="175">
        <f>F105*G105</f>
        <v>0</v>
      </c>
      <c r="Y105"/>
      <c r="Z105"/>
      <c r="AA105"/>
      <c r="AB105"/>
      <c r="AC105"/>
      <c r="AD105"/>
      <c r="AE105" s="136"/>
    </row>
    <row r="106" spans="1:36" ht="15">
      <c r="A106" s="48" t="s">
        <v>209</v>
      </c>
      <c r="B106" s="350">
        <v>0</v>
      </c>
      <c r="C106" s="212">
        <f>$D$96</f>
        <v>4.1310146699908143</v>
      </c>
      <c r="D106" s="219">
        <f>B106*C106</f>
        <v>0</v>
      </c>
      <c r="F106" s="350">
        <v>2.5000000000000001E-4</v>
      </c>
      <c r="G106" s="212">
        <f>$D$96</f>
        <v>4.1310146699908143</v>
      </c>
      <c r="H106" s="220">
        <f>F106*G106</f>
        <v>1.0327536674977036E-3</v>
      </c>
      <c r="Y106"/>
      <c r="Z106"/>
      <c r="AA106"/>
      <c r="AB106"/>
      <c r="AC106"/>
      <c r="AD106"/>
      <c r="AE106" s="136"/>
    </row>
    <row r="107" spans="1:36" ht="15">
      <c r="A107" s="176" t="s">
        <v>211</v>
      </c>
      <c r="B107" s="228">
        <f>SUM(B104:B106)</f>
        <v>4.3800000000000002E-3</v>
      </c>
      <c r="C107" s="229">
        <f>D107/B107</f>
        <v>4.1310146699908143</v>
      </c>
      <c r="D107" s="226">
        <f>SUM(D104:D106)</f>
        <v>1.8093844254559767E-2</v>
      </c>
      <c r="F107" s="222">
        <f>SUM(F104:F106)</f>
        <v>2.4400000000000003E-3</v>
      </c>
      <c r="G107" s="229">
        <f>H107/F107</f>
        <v>4.1310146699908135</v>
      </c>
      <c r="H107" s="227">
        <f>SUM(H104:H106)</f>
        <v>1.0079675794777587E-2</v>
      </c>
      <c r="Y107"/>
      <c r="Z107"/>
      <c r="AA107"/>
      <c r="AB107"/>
      <c r="AC107"/>
      <c r="AD107"/>
      <c r="AE107" s="136"/>
    </row>
    <row r="108" spans="1:36" ht="15">
      <c r="A108" s="176"/>
      <c r="B108" s="124"/>
      <c r="C108" s="212"/>
      <c r="D108" s="230"/>
      <c r="F108" s="217"/>
      <c r="G108" s="212"/>
      <c r="H108" s="231"/>
      <c r="Y108"/>
      <c r="Z108"/>
      <c r="AA108"/>
      <c r="AB108"/>
      <c r="AC108"/>
      <c r="AD108"/>
      <c r="AE108" s="136"/>
    </row>
    <row r="109" spans="1:36" ht="15.75" thickBot="1">
      <c r="A109" s="141" t="s">
        <v>212</v>
      </c>
      <c r="B109" s="218"/>
      <c r="C109" s="13"/>
      <c r="D109" s="232">
        <f>D102+D107</f>
        <v>2.2733207469800846E-2</v>
      </c>
      <c r="F109" s="218"/>
      <c r="G109" s="13"/>
      <c r="H109" s="233">
        <f>H102+H107</f>
        <v>5.4621189593955503E-2</v>
      </c>
      <c r="Y109"/>
      <c r="Z109"/>
      <c r="AA109"/>
      <c r="AB109"/>
      <c r="AC109"/>
      <c r="AD109"/>
      <c r="AE109" s="136"/>
    </row>
    <row r="110" spans="1:36" ht="15">
      <c r="A110" s="99"/>
      <c r="B110" s="72"/>
      <c r="C110" s="72"/>
      <c r="D110" s="72"/>
      <c r="E110" s="72"/>
      <c r="F110" s="72"/>
      <c r="G110" s="72"/>
      <c r="H110" s="75"/>
      <c r="Y110"/>
      <c r="Z110"/>
      <c r="AA110"/>
      <c r="AB110"/>
      <c r="AC110"/>
      <c r="AD110"/>
      <c r="AE110" s="136"/>
    </row>
    <row r="111" spans="1:36" ht="15">
      <c r="Y111"/>
      <c r="Z111"/>
      <c r="AA111"/>
      <c r="AB111"/>
      <c r="AC111"/>
      <c r="AD111"/>
      <c r="AE111" s="136"/>
    </row>
    <row r="112" spans="1:36" ht="15">
      <c r="G112" s="100"/>
      <c r="Y112"/>
      <c r="Z112"/>
      <c r="AA112"/>
      <c r="AB112"/>
      <c r="AC112"/>
      <c r="AD112"/>
      <c r="AE112" s="136"/>
    </row>
    <row r="113" spans="1:36" ht="15">
      <c r="A113" s="82" t="s">
        <v>218</v>
      </c>
      <c r="B113" s="93"/>
      <c r="C113" s="93"/>
      <c r="D113" s="93"/>
      <c r="E113" s="93"/>
      <c r="F113" s="93"/>
      <c r="G113" s="93"/>
      <c r="H113" s="148"/>
      <c r="Y113"/>
      <c r="Z113"/>
      <c r="AA113"/>
      <c r="AB113"/>
      <c r="AC113"/>
      <c r="AD113"/>
      <c r="AE113" s="136"/>
    </row>
    <row r="114" spans="1:36" ht="16.5">
      <c r="A114" s="48"/>
      <c r="B114" s="147" t="s">
        <v>107</v>
      </c>
      <c r="C114" s="147" t="s">
        <v>220</v>
      </c>
      <c r="D114" s="147" t="s">
        <v>219</v>
      </c>
      <c r="E114" s="26"/>
      <c r="F114" s="26"/>
      <c r="G114" s="26"/>
      <c r="H114" s="77"/>
      <c r="Y114"/>
      <c r="Z114"/>
      <c r="AA114"/>
      <c r="AB114"/>
      <c r="AC114"/>
      <c r="AD114"/>
      <c r="AE114" s="136"/>
    </row>
    <row r="115" spans="1:36" ht="30">
      <c r="A115" s="48" t="s">
        <v>57</v>
      </c>
      <c r="B115" s="87">
        <f>SUM(C115:D115)</f>
        <v>104400000</v>
      </c>
      <c r="C115" s="87">
        <f>37300000+20000000</f>
        <v>57300000</v>
      </c>
      <c r="D115" s="87">
        <f>47100000</f>
        <v>47100000</v>
      </c>
      <c r="E115" s="1009" t="s">
        <v>277</v>
      </c>
      <c r="F115" s="1009"/>
      <c r="G115" s="199" t="s">
        <v>3</v>
      </c>
      <c r="H115" s="308" t="s">
        <v>69</v>
      </c>
      <c r="Y115"/>
      <c r="Z115"/>
      <c r="AA115"/>
      <c r="AB115"/>
      <c r="AC115"/>
      <c r="AD115"/>
      <c r="AE115" s="136"/>
    </row>
    <row r="116" spans="1:36" ht="16.5">
      <c r="A116" s="48" t="s">
        <v>58</v>
      </c>
      <c r="B116" s="343">
        <v>2.2030649999999999E-2</v>
      </c>
      <c r="E116" s="306" t="s">
        <v>186</v>
      </c>
      <c r="F116" s="306" t="s">
        <v>259</v>
      </c>
      <c r="H116" s="45"/>
      <c r="Y116"/>
      <c r="Z116"/>
      <c r="AA116" s="260" t="s">
        <v>398</v>
      </c>
      <c r="AD116"/>
      <c r="AE116" s="234"/>
    </row>
    <row r="117" spans="1:36" ht="16.5">
      <c r="A117" s="48" t="s">
        <v>59</v>
      </c>
      <c r="B117" s="26"/>
      <c r="C117" s="26"/>
      <c r="D117" s="26"/>
      <c r="E117" s="102">
        <f>($C$115/$B$25*$B$24)*$B$116</f>
        <v>831307.771097561</v>
      </c>
      <c r="F117" s="102">
        <f>($C$115/$B$25*($E$24+$H$24)+D115)*$B$116</f>
        <v>1468692.088902439</v>
      </c>
      <c r="G117" s="358">
        <f>SUM(E117:F117)</f>
        <v>2299999.86</v>
      </c>
      <c r="H117" s="103">
        <f>G117/(B$25*1000)</f>
        <v>9.3495929268292682E-3</v>
      </c>
      <c r="R117" s="240"/>
      <c r="S117" s="240"/>
      <c r="T117" s="261">
        <f t="shared" ref="T117:T125" si="49">ROUND($T$11*$Z117,0)</f>
        <v>21549</v>
      </c>
      <c r="W117" s="265"/>
      <c r="X117" s="20" t="s">
        <v>235</v>
      </c>
      <c r="Y117" s="128">
        <v>631040</v>
      </c>
      <c r="Z117" s="138">
        <f t="shared" ref="Z117:Z125" si="50">AA117/$AA$126</f>
        <v>2.8732014048368993E-2</v>
      </c>
      <c r="AA117" s="143">
        <v>30387.07</v>
      </c>
      <c r="AB117" s="136"/>
      <c r="AC117" s="136"/>
      <c r="AI117" s="236"/>
      <c r="AJ117" s="236"/>
    </row>
    <row r="118" spans="1:36" ht="15">
      <c r="A118" s="48"/>
      <c r="B118" s="26"/>
      <c r="C118" s="26"/>
      <c r="D118" s="26"/>
      <c r="E118" s="307">
        <f>E117/B24/1000</f>
        <v>5.1315294512195124E-3</v>
      </c>
      <c r="F118" s="307">
        <f>F117/($E$24+$H$24)/1000</f>
        <v>1.7484429629790941E-2</v>
      </c>
      <c r="G118" s="11"/>
      <c r="H118" s="77"/>
      <c r="R118" s="240"/>
      <c r="S118" s="240"/>
      <c r="T118" s="261">
        <f t="shared" si="49"/>
        <v>23088</v>
      </c>
      <c r="W118" s="265"/>
      <c r="X118" s="20" t="s">
        <v>236</v>
      </c>
      <c r="Y118" s="128">
        <v>631060</v>
      </c>
      <c r="Z118" s="138">
        <f t="shared" si="50"/>
        <v>3.0784541877331692E-2</v>
      </c>
      <c r="AA118" s="143">
        <v>32557.83</v>
      </c>
      <c r="AB118" s="136"/>
      <c r="AC118" s="136"/>
      <c r="AI118" s="235"/>
      <c r="AJ118" s="235"/>
    </row>
    <row r="119" spans="1:36" ht="15">
      <c r="A119" s="48" t="s">
        <v>172</v>
      </c>
      <c r="B119" s="26"/>
      <c r="C119" s="26"/>
      <c r="D119" s="26"/>
      <c r="E119" s="26"/>
      <c r="F119" s="104"/>
      <c r="G119" s="26"/>
      <c r="H119" s="77"/>
      <c r="R119" s="240"/>
      <c r="S119" s="240"/>
      <c r="T119" s="261">
        <f t="shared" si="49"/>
        <v>0</v>
      </c>
      <c r="W119" s="265"/>
      <c r="X119" s="20" t="s">
        <v>237</v>
      </c>
      <c r="Y119" s="128">
        <v>631900</v>
      </c>
      <c r="Z119" s="138">
        <f t="shared" si="50"/>
        <v>0</v>
      </c>
      <c r="AA119" s="143">
        <v>0</v>
      </c>
      <c r="AB119" s="136"/>
      <c r="AC119" s="136"/>
      <c r="AI119" s="235"/>
      <c r="AJ119" s="235"/>
    </row>
    <row r="120" spans="1:36" ht="15">
      <c r="A120" s="48" t="s">
        <v>60</v>
      </c>
      <c r="B120" s="26"/>
      <c r="C120" s="26"/>
      <c r="D120" s="26"/>
      <c r="E120" s="26"/>
      <c r="F120" s="26"/>
      <c r="G120" s="26"/>
      <c r="H120" s="77"/>
      <c r="R120" s="240"/>
      <c r="S120" s="240"/>
      <c r="T120" s="261">
        <f t="shared" si="49"/>
        <v>68702</v>
      </c>
      <c r="W120" s="265"/>
      <c r="X120" s="20" t="s">
        <v>238</v>
      </c>
      <c r="Y120" s="128">
        <v>630020</v>
      </c>
      <c r="Z120" s="138">
        <f t="shared" si="50"/>
        <v>9.1602521626258315E-2</v>
      </c>
      <c r="AA120" s="143">
        <v>96879.12</v>
      </c>
      <c r="AB120" s="136"/>
      <c r="AC120" s="136"/>
      <c r="AI120" s="235"/>
      <c r="AJ120" s="235"/>
    </row>
    <row r="121" spans="1:36" ht="16.5">
      <c r="A121" s="48" t="s">
        <v>61</v>
      </c>
      <c r="B121" s="26"/>
      <c r="C121" s="26"/>
      <c r="D121" s="26"/>
      <c r="E121" s="26"/>
      <c r="F121" s="26"/>
      <c r="G121" s="348">
        <v>200000</v>
      </c>
      <c r="H121" s="103">
        <f>G121/(B$25*1000)</f>
        <v>8.1300813008130081E-4</v>
      </c>
      <c r="R121" s="240"/>
      <c r="S121" s="240"/>
      <c r="T121" s="261">
        <f t="shared" si="49"/>
        <v>0</v>
      </c>
      <c r="W121" s="265"/>
      <c r="X121" s="20" t="s">
        <v>239</v>
      </c>
      <c r="Y121" s="128">
        <v>630030</v>
      </c>
      <c r="Z121" s="138">
        <f t="shared" si="50"/>
        <v>0</v>
      </c>
      <c r="AA121" s="143">
        <v>0</v>
      </c>
      <c r="AB121" s="136"/>
      <c r="AC121" s="136"/>
      <c r="AI121" s="235"/>
      <c r="AJ121" s="235"/>
    </row>
    <row r="122" spans="1:36" ht="15">
      <c r="A122" s="48"/>
      <c r="B122" s="26"/>
      <c r="C122" s="26"/>
      <c r="D122" s="26"/>
      <c r="E122" s="26"/>
      <c r="F122" s="26"/>
      <c r="G122" s="26"/>
      <c r="H122" s="77"/>
      <c r="R122" s="240"/>
      <c r="S122" s="240"/>
      <c r="T122" s="261">
        <f t="shared" si="49"/>
        <v>93843</v>
      </c>
      <c r="W122" s="265"/>
      <c r="X122" s="20" t="s">
        <v>240</v>
      </c>
      <c r="Y122" s="128">
        <v>630070</v>
      </c>
      <c r="Z122" s="138">
        <f t="shared" si="50"/>
        <v>0.12512342057966541</v>
      </c>
      <c r="AA122" s="143">
        <v>132330.93</v>
      </c>
      <c r="AB122" s="136"/>
      <c r="AC122" s="136"/>
      <c r="AI122" s="235"/>
      <c r="AJ122" s="235"/>
    </row>
    <row r="123" spans="1:36" ht="15">
      <c r="A123" s="48" t="s">
        <v>62</v>
      </c>
      <c r="B123" s="26"/>
      <c r="C123" s="26"/>
      <c r="D123" s="26"/>
      <c r="E123" s="26"/>
      <c r="F123" s="26"/>
      <c r="G123" s="26"/>
      <c r="H123" s="77"/>
      <c r="R123" s="240"/>
      <c r="S123" s="240"/>
      <c r="T123" s="261">
        <f t="shared" si="49"/>
        <v>459068</v>
      </c>
      <c r="W123" s="265"/>
      <c r="X123" s="20" t="s">
        <v>241</v>
      </c>
      <c r="Y123" s="128">
        <v>630080</v>
      </c>
      <c r="Z123" s="138">
        <f t="shared" si="50"/>
        <v>0.61209054586824252</v>
      </c>
      <c r="AA123" s="143">
        <v>647348.92000000004</v>
      </c>
      <c r="AB123" s="136"/>
      <c r="AC123" s="136"/>
      <c r="AI123" s="235"/>
      <c r="AJ123" s="235"/>
    </row>
    <row r="124" spans="1:36" ht="16.5">
      <c r="A124" s="48" t="s">
        <v>63</v>
      </c>
      <c r="B124" s="26"/>
      <c r="C124" s="26"/>
      <c r="D124" s="26"/>
      <c r="E124" s="26"/>
      <c r="F124" s="26"/>
      <c r="G124" s="348">
        <v>750000</v>
      </c>
      <c r="H124" s="103">
        <f>G124/(B$25*1000)</f>
        <v>3.0487804878048782E-3</v>
      </c>
      <c r="R124" s="240"/>
      <c r="S124" s="240"/>
      <c r="T124" s="261">
        <f t="shared" si="49"/>
        <v>83750</v>
      </c>
      <c r="W124" s="265"/>
      <c r="X124" s="20" t="s">
        <v>242</v>
      </c>
      <c r="Y124" s="128">
        <v>633000</v>
      </c>
      <c r="Z124" s="138">
        <f t="shared" si="50"/>
        <v>0.11166695600013314</v>
      </c>
      <c r="AA124" s="143">
        <v>118099.33</v>
      </c>
      <c r="AB124" s="136"/>
      <c r="AC124" s="136"/>
      <c r="AI124" s="235"/>
      <c r="AJ124" s="235"/>
    </row>
    <row r="125" spans="1:36" ht="17.25">
      <c r="A125" s="99"/>
      <c r="B125" s="72"/>
      <c r="C125" s="105"/>
      <c r="D125" s="72"/>
      <c r="E125" s="72"/>
      <c r="F125" s="72"/>
      <c r="G125" s="72"/>
      <c r="H125" s="75"/>
      <c r="R125" s="240"/>
      <c r="S125" s="240"/>
      <c r="T125" s="262">
        <f t="shared" si="49"/>
        <v>0</v>
      </c>
      <c r="W125" s="265"/>
      <c r="X125" s="20" t="s">
        <v>243</v>
      </c>
      <c r="Y125" s="128">
        <v>660000</v>
      </c>
      <c r="Z125" s="258">
        <f t="shared" si="50"/>
        <v>0</v>
      </c>
      <c r="AA125" s="161">
        <v>0</v>
      </c>
      <c r="AB125" s="136"/>
      <c r="AC125" s="136"/>
      <c r="AI125" s="235"/>
      <c r="AJ125" s="235"/>
    </row>
    <row r="126" spans="1:36" ht="15">
      <c r="R126" s="160"/>
      <c r="S126" s="160"/>
      <c r="T126" s="264">
        <f>SUM(T117:T125)</f>
        <v>750000</v>
      </c>
      <c r="W126" s="256" t="s">
        <v>12</v>
      </c>
      <c r="X126" s="130" t="s">
        <v>17</v>
      </c>
      <c r="Y126" s="257" t="s">
        <v>107</v>
      </c>
      <c r="Z126" s="138">
        <f>SUM(Z117:Z125)</f>
        <v>1</v>
      </c>
      <c r="AA126" s="259">
        <f>SUM(AA117:AA125)</f>
        <v>1057603.2</v>
      </c>
      <c r="AE126" s="137"/>
    </row>
    <row r="128" spans="1:36">
      <c r="A128" s="82" t="s">
        <v>64</v>
      </c>
      <c r="B128" s="1012" t="s">
        <v>65</v>
      </c>
      <c r="C128" s="1012"/>
      <c r="D128" s="1012"/>
      <c r="E128" s="1012"/>
      <c r="F128" s="1012"/>
      <c r="G128" s="1012"/>
      <c r="H128" s="1013"/>
    </row>
    <row r="129" spans="1:36" ht="14.65" customHeight="1">
      <c r="A129" s="48"/>
      <c r="B129" s="199" t="s">
        <v>159</v>
      </c>
      <c r="C129" s="199" t="s">
        <v>109</v>
      </c>
      <c r="D129" s="199" t="s">
        <v>107</v>
      </c>
      <c r="E129" s="26"/>
      <c r="F129" s="26"/>
      <c r="G129" s="26"/>
      <c r="H129" s="77"/>
      <c r="AA129" s="1007" t="s">
        <v>398</v>
      </c>
      <c r="AB129" s="1007"/>
    </row>
    <row r="130" spans="1:36" ht="14.65" customHeight="1">
      <c r="A130" s="48" t="s">
        <v>262</v>
      </c>
      <c r="B130" s="207">
        <f>B30+B31</f>
        <v>162000</v>
      </c>
      <c r="C130" s="207">
        <f>B32+B33</f>
        <v>84000</v>
      </c>
      <c r="D130" s="207">
        <f>SUM(B130:C130)</f>
        <v>246000</v>
      </c>
      <c r="E130" s="26"/>
      <c r="F130" s="1008" t="s">
        <v>66</v>
      </c>
      <c r="G130" s="1008"/>
      <c r="H130" s="106">
        <f>D130/D131</f>
        <v>0.94615384615384612</v>
      </c>
      <c r="R130" s="240"/>
      <c r="S130" s="240"/>
      <c r="T130" s="261">
        <f>$T$18*$Z130</f>
        <v>142500</v>
      </c>
      <c r="W130" s="265"/>
      <c r="X130" s="20" t="s">
        <v>244</v>
      </c>
      <c r="Y130" s="128" t="s">
        <v>100</v>
      </c>
      <c r="Z130" s="138">
        <v>0.5</v>
      </c>
      <c r="AA130" s="143">
        <v>120244.49</v>
      </c>
      <c r="AB130" s="144">
        <f>AA130/$AA$132</f>
        <v>0.50750815162970342</v>
      </c>
      <c r="AC130" s="136"/>
      <c r="AD130"/>
    </row>
    <row r="131" spans="1:36" ht="14.65" customHeight="1">
      <c r="A131" s="48" t="s">
        <v>263</v>
      </c>
      <c r="B131" s="207"/>
      <c r="C131" s="207"/>
      <c r="D131" s="207">
        <v>260000</v>
      </c>
      <c r="E131" s="26"/>
      <c r="F131" s="26"/>
      <c r="G131" s="26"/>
      <c r="H131" s="107"/>
      <c r="R131" s="240"/>
      <c r="S131" s="240"/>
      <c r="T131" s="262">
        <f>$T$18*$Z131</f>
        <v>142500</v>
      </c>
      <c r="W131" s="265"/>
      <c r="X131" s="20" t="s">
        <v>245</v>
      </c>
      <c r="Y131" s="128">
        <v>630040</v>
      </c>
      <c r="Z131" s="138">
        <v>0.5</v>
      </c>
      <c r="AA131" s="161">
        <v>116686.66</v>
      </c>
      <c r="AB131" s="378">
        <f>AA131/$AA$132</f>
        <v>0.49249184837029658</v>
      </c>
      <c r="AC131" s="136"/>
      <c r="AD131"/>
    </row>
    <row r="132" spans="1:36" ht="14.65" customHeight="1">
      <c r="A132" s="43"/>
      <c r="D132" s="108"/>
      <c r="F132" s="1009" t="s">
        <v>290</v>
      </c>
      <c r="G132" s="1009"/>
      <c r="H132" s="1010"/>
      <c r="R132" s="160"/>
      <c r="S132" s="160"/>
      <c r="T132" s="264">
        <f>SUM(T130:T131)</f>
        <v>285000</v>
      </c>
      <c r="W132" s="256" t="s">
        <v>12</v>
      </c>
      <c r="X132" s="130" t="s">
        <v>28</v>
      </c>
      <c r="Y132" s="257" t="s">
        <v>107</v>
      </c>
      <c r="Z132" s="138">
        <f>SUM(Z130:Z131)</f>
        <v>1</v>
      </c>
      <c r="AA132" s="259">
        <f>SUM(AA130:AA131)</f>
        <v>236931.15000000002</v>
      </c>
      <c r="AB132" s="144">
        <f>SUM(AB130:AB131)</f>
        <v>1</v>
      </c>
    </row>
    <row r="133" spans="1:36" ht="28.15" customHeight="1">
      <c r="A133" s="48"/>
      <c r="B133" s="97" t="s">
        <v>67</v>
      </c>
      <c r="C133" s="97" t="s">
        <v>68</v>
      </c>
      <c r="D133" s="97" t="s">
        <v>257</v>
      </c>
      <c r="E133" s="97" t="s">
        <v>258</v>
      </c>
      <c r="F133" s="49"/>
      <c r="G133" s="286" t="s">
        <v>260</v>
      </c>
      <c r="H133" s="287" t="s">
        <v>261</v>
      </c>
    </row>
    <row r="134" spans="1:36" ht="15">
      <c r="A134" s="48" t="s">
        <v>25</v>
      </c>
      <c r="B134" s="104">
        <f>C134/12</f>
        <v>30812.5</v>
      </c>
      <c r="C134" s="351">
        <f>90625*'17 Std'!S7*(1+$F$148)</f>
        <v>369750</v>
      </c>
      <c r="D134" s="64">
        <f>$C134/$D$130/1000</f>
        <v>1.5030487804878047E-3</v>
      </c>
      <c r="E134" s="64">
        <f>$C134/$D$130/1000</f>
        <v>1.5030487804878047E-3</v>
      </c>
      <c r="F134" s="156" t="s">
        <v>270</v>
      </c>
      <c r="G134" s="348">
        <v>1220000</v>
      </c>
      <c r="H134" s="238">
        <f>G134/$D$130/1000</f>
        <v>4.9593495934959347E-3</v>
      </c>
      <c r="I134" s="253"/>
      <c r="X134" s="139"/>
      <c r="Y134"/>
      <c r="Z134"/>
      <c r="AA134" s="260" t="s">
        <v>398</v>
      </c>
      <c r="AB134"/>
      <c r="AC134"/>
      <c r="AD134"/>
    </row>
    <row r="135" spans="1:36" ht="14.65" customHeight="1">
      <c r="A135" s="48" t="s">
        <v>27</v>
      </c>
      <c r="B135" s="26">
        <f>C135/12</f>
        <v>23750</v>
      </c>
      <c r="C135" s="346">
        <f>285000</f>
        <v>285000</v>
      </c>
      <c r="D135" s="109">
        <f>$C135/$D$130/1000</f>
        <v>1.1585365853658536E-3</v>
      </c>
      <c r="E135" s="109">
        <f>$C135/$D$130/1000</f>
        <v>1.1585365853658536E-3</v>
      </c>
      <c r="F135" s="156" t="s">
        <v>271</v>
      </c>
      <c r="G135" s="348">
        <f>30000</f>
        <v>30000</v>
      </c>
      <c r="H135" s="238">
        <f>IF($B$130&lt;&gt;0,G135/$B$130/1000,G135/D130/1000)</f>
        <v>1.8518518518518518E-4</v>
      </c>
      <c r="I135" s="253"/>
      <c r="R135" s="240"/>
      <c r="S135" s="240"/>
      <c r="T135" s="261">
        <f t="shared" ref="T135:T142" si="51">ROUND($T$19*$Z135,0)</f>
        <v>148897</v>
      </c>
      <c r="W135" s="265"/>
      <c r="X135" s="20" t="s">
        <v>399</v>
      </c>
      <c r="Y135" s="128" t="s">
        <v>400</v>
      </c>
      <c r="Z135" s="138">
        <f t="shared" ref="Z135:Z142" si="52">AA135/$AA$143</f>
        <v>3.1020278092671626E-2</v>
      </c>
      <c r="AA135" s="143">
        <v>140030.43</v>
      </c>
      <c r="AB135" s="136"/>
      <c r="AC135" s="136"/>
      <c r="AD135"/>
    </row>
    <row r="136" spans="1:36" ht="14.65" customHeight="1">
      <c r="A136" s="48" t="s">
        <v>29</v>
      </c>
      <c r="B136" s="26">
        <f>C136/12</f>
        <v>400000</v>
      </c>
      <c r="C136" s="78">
        <f>G137</f>
        <v>4800000</v>
      </c>
      <c r="D136" s="110">
        <f>H140</f>
        <v>5.1445347786811197E-3</v>
      </c>
      <c r="E136" s="110">
        <f>H141</f>
        <v>4.7221254355400692E-2</v>
      </c>
      <c r="F136" s="156" t="s">
        <v>272</v>
      </c>
      <c r="G136" s="352">
        <f>3550000</f>
        <v>3550000</v>
      </c>
      <c r="H136" s="238">
        <f>IF(C130&lt;&gt;0,G136/$C$130/1000,G136/D130/1000)</f>
        <v>4.2261904761904757E-2</v>
      </c>
      <c r="I136" s="253"/>
      <c r="J136" s="281"/>
      <c r="K136" s="281"/>
      <c r="L136" s="281"/>
      <c r="M136" s="281"/>
      <c r="N136" s="281"/>
      <c r="O136" s="281"/>
      <c r="P136" s="281"/>
      <c r="R136" s="240"/>
      <c r="S136" s="240"/>
      <c r="T136" s="261">
        <f t="shared" si="51"/>
        <v>7396</v>
      </c>
      <c r="W136" s="265"/>
      <c r="X136" s="20" t="s">
        <v>246</v>
      </c>
      <c r="Y136" s="128" t="s">
        <v>101</v>
      </c>
      <c r="Z136" s="138">
        <f t="shared" si="52"/>
        <v>1.5409319575424053E-3</v>
      </c>
      <c r="AA136" s="143">
        <v>6956.01</v>
      </c>
      <c r="AB136" s="136"/>
      <c r="AC136" s="136"/>
      <c r="AD136"/>
      <c r="AI136" s="235"/>
      <c r="AJ136" s="235"/>
    </row>
    <row r="137" spans="1:36" ht="14.65" customHeight="1">
      <c r="A137" s="48" t="s">
        <v>70</v>
      </c>
      <c r="D137" s="64">
        <f>SUM(D134:D136)</f>
        <v>7.806120144534778E-3</v>
      </c>
      <c r="E137" s="64">
        <f>SUM(E134:E136)</f>
        <v>4.9882839721254353E-2</v>
      </c>
      <c r="F137" s="301" t="s">
        <v>268</v>
      </c>
      <c r="G137" s="285">
        <f>SUM(G134:G136)</f>
        <v>4800000</v>
      </c>
      <c r="H137" s="238">
        <f>G137/D130/1000</f>
        <v>1.9512195121951219E-2</v>
      </c>
      <c r="J137" s="282"/>
      <c r="K137" s="282"/>
      <c r="L137" s="282"/>
      <c r="M137" s="282"/>
      <c r="N137" s="282"/>
      <c r="O137" s="282"/>
      <c r="P137" s="282"/>
      <c r="R137" s="240"/>
      <c r="S137" s="240"/>
      <c r="T137" s="261">
        <f t="shared" si="51"/>
        <v>379435</v>
      </c>
      <c r="W137" s="265"/>
      <c r="X137" s="20" t="s">
        <v>247</v>
      </c>
      <c r="Y137" s="128">
        <v>640010</v>
      </c>
      <c r="Z137" s="138">
        <f t="shared" si="52"/>
        <v>7.9049062217207061E-2</v>
      </c>
      <c r="AA137" s="143">
        <v>356839.94</v>
      </c>
      <c r="AB137" s="136"/>
      <c r="AC137" s="136"/>
      <c r="AD137"/>
      <c r="AI137" s="235"/>
      <c r="AJ137" s="235"/>
    </row>
    <row r="138" spans="1:36" ht="14.65" customHeight="1">
      <c r="A138" s="48"/>
      <c r="B138" s="26"/>
      <c r="C138" s="26"/>
      <c r="D138" s="64"/>
      <c r="E138" s="64"/>
      <c r="F138" s="26"/>
      <c r="G138" s="204"/>
      <c r="H138" s="238"/>
      <c r="R138" s="240"/>
      <c r="S138" s="240"/>
      <c r="T138" s="261">
        <f t="shared" si="51"/>
        <v>3980171</v>
      </c>
      <c r="W138" s="265"/>
      <c r="X138" s="20" t="s">
        <v>248</v>
      </c>
      <c r="Y138" s="128">
        <v>640020</v>
      </c>
      <c r="Z138" s="138">
        <f t="shared" si="52"/>
        <v>0.82920233056363746</v>
      </c>
      <c r="AA138" s="143">
        <v>3743150.16</v>
      </c>
      <c r="AB138" s="136"/>
      <c r="AC138" s="136"/>
      <c r="AD138"/>
    </row>
    <row r="139" spans="1:36" ht="14.65" customHeight="1">
      <c r="A139" s="48"/>
      <c r="B139" s="26"/>
      <c r="C139" s="26"/>
      <c r="D139" s="288" t="s">
        <v>266</v>
      </c>
      <c r="E139" s="288" t="s">
        <v>267</v>
      </c>
      <c r="F139" s="26"/>
      <c r="G139" s="204"/>
      <c r="H139" s="238"/>
      <c r="R139" s="240"/>
      <c r="S139" s="240"/>
      <c r="T139" s="261">
        <f t="shared" si="51"/>
        <v>263981</v>
      </c>
      <c r="W139" s="265"/>
      <c r="X139" s="20" t="s">
        <v>401</v>
      </c>
      <c r="Y139" s="128" t="s">
        <v>402</v>
      </c>
      <c r="Z139" s="138">
        <f t="shared" si="52"/>
        <v>5.4995959722533301E-2</v>
      </c>
      <c r="AA139" s="143">
        <v>248260.44</v>
      </c>
      <c r="AB139" s="136"/>
      <c r="AC139" s="136"/>
      <c r="AD139"/>
      <c r="AI139" s="235"/>
      <c r="AJ139" s="235"/>
    </row>
    <row r="140" spans="1:36" ht="14.65" customHeight="1">
      <c r="A140" s="48"/>
      <c r="B140" s="26"/>
      <c r="C140" s="26"/>
      <c r="D140" s="290">
        <f>G140/$G$142</f>
        <v>0.17362804878048785</v>
      </c>
      <c r="E140" s="207">
        <f>ROUND(G140/$H$137,0)</f>
        <v>42712500</v>
      </c>
      <c r="F140" s="156" t="s">
        <v>186</v>
      </c>
      <c r="G140" s="204">
        <f>$H140*$B$130*1000</f>
        <v>833414.63414634147</v>
      </c>
      <c r="H140" s="238">
        <f>IF(AND($B$130&lt;&gt;0,$C$130&lt;&gt;0),H134+H135,$H$137)</f>
        <v>5.1445347786811197E-3</v>
      </c>
      <c r="R140" s="240"/>
      <c r="S140" s="240"/>
      <c r="T140" s="261">
        <f t="shared" si="51"/>
        <v>7264</v>
      </c>
      <c r="W140" s="265"/>
      <c r="X140" s="20" t="s">
        <v>249</v>
      </c>
      <c r="Y140" s="128">
        <v>640040</v>
      </c>
      <c r="Z140" s="138">
        <f t="shared" si="52"/>
        <v>1.5133299095422179E-3</v>
      </c>
      <c r="AA140" s="143">
        <v>6831.41</v>
      </c>
      <c r="AB140" s="136"/>
      <c r="AC140" s="136"/>
      <c r="AD140"/>
      <c r="AI140" s="235"/>
      <c r="AJ140" s="235"/>
    </row>
    <row r="141" spans="1:36" ht="14.65" customHeight="1">
      <c r="A141" s="48"/>
      <c r="B141" s="26"/>
      <c r="C141" s="26"/>
      <c r="D141" s="290">
        <f>G141/$G$142</f>
        <v>0.82637195121951224</v>
      </c>
      <c r="E141" s="168">
        <f>ROUND(G141/$H$137,0)</f>
        <v>203287500</v>
      </c>
      <c r="F141" s="156" t="s">
        <v>286</v>
      </c>
      <c r="G141" s="239">
        <f>$H141*$C$130*1000</f>
        <v>3966585.3658536579</v>
      </c>
      <c r="H141" s="238">
        <f>IF(AND($B$130&lt;&gt;0,$C$130&lt;&gt;0),H134+H136,$H$137)</f>
        <v>4.7221254355400692E-2</v>
      </c>
      <c r="R141" s="160"/>
      <c r="S141" s="160"/>
      <c r="T141" s="261">
        <f t="shared" si="51"/>
        <v>1111</v>
      </c>
      <c r="W141" s="265"/>
      <c r="X141" s="20" t="s">
        <v>250</v>
      </c>
      <c r="Y141" s="128">
        <v>640070</v>
      </c>
      <c r="Z141" s="138">
        <f t="shared" si="52"/>
        <v>2.3147396449338557E-4</v>
      </c>
      <c r="AA141" s="143">
        <v>1044.9100000000001</v>
      </c>
      <c r="AB141"/>
      <c r="AC141"/>
      <c r="AD141"/>
      <c r="AI141" s="235"/>
      <c r="AJ141" s="235"/>
    </row>
    <row r="142" spans="1:36" ht="14.65" customHeight="1">
      <c r="A142" s="48"/>
      <c r="B142" s="26"/>
      <c r="C142" s="26"/>
      <c r="D142" s="290">
        <f>G142/$G$142</f>
        <v>1</v>
      </c>
      <c r="E142" s="289">
        <f>SUM(E140:E141)</f>
        <v>246000000</v>
      </c>
      <c r="F142" s="156" t="s">
        <v>107</v>
      </c>
      <c r="G142" s="285">
        <f>SUM(G140:G141)</f>
        <v>4799999.9999999991</v>
      </c>
      <c r="H142" s="238"/>
      <c r="T142" s="262">
        <f t="shared" si="51"/>
        <v>11744</v>
      </c>
      <c r="W142" s="265"/>
      <c r="X142" s="20" t="s">
        <v>251</v>
      </c>
      <c r="Y142" s="128">
        <v>640080</v>
      </c>
      <c r="Z142" s="138">
        <f t="shared" si="52"/>
        <v>2.4466335723723111E-3</v>
      </c>
      <c r="AA142" s="161">
        <v>11044.49</v>
      </c>
      <c r="AI142" s="235"/>
      <c r="AJ142" s="235"/>
    </row>
    <row r="143" spans="1:36" ht="14.65" customHeight="1">
      <c r="A143" s="112"/>
      <c r="B143" s="113"/>
      <c r="C143" s="113"/>
      <c r="D143" s="113"/>
      <c r="E143" s="113"/>
      <c r="F143" s="113"/>
      <c r="G143" s="113"/>
      <c r="H143" s="284"/>
      <c r="T143" s="264">
        <f>SUM(T135:T142)</f>
        <v>4799999</v>
      </c>
      <c r="W143" s="256" t="s">
        <v>12</v>
      </c>
      <c r="X143" s="130" t="s">
        <v>30</v>
      </c>
      <c r="Y143" s="257" t="s">
        <v>107</v>
      </c>
      <c r="Z143" s="138">
        <f>SUM(Z135:Z142)</f>
        <v>0.99999999999999989</v>
      </c>
      <c r="AA143" s="259">
        <f>SUM(AA135:AA142)</f>
        <v>4514157.790000001</v>
      </c>
      <c r="AI143" s="235"/>
      <c r="AJ143" s="235"/>
    </row>
    <row r="144" spans="1:36">
      <c r="AI144" s="235"/>
      <c r="AJ144" s="235"/>
    </row>
    <row r="145" spans="1:8">
      <c r="A145" s="72"/>
      <c r="B145" s="72"/>
      <c r="C145" s="72"/>
      <c r="D145" s="72"/>
      <c r="E145" s="72"/>
      <c r="F145" s="72"/>
      <c r="G145" s="72"/>
      <c r="H145" s="72"/>
    </row>
    <row r="146" spans="1:8">
      <c r="A146" s="82" t="s">
        <v>71</v>
      </c>
      <c r="B146" s="93"/>
      <c r="C146" s="93"/>
      <c r="D146" s="93"/>
      <c r="E146" s="93"/>
      <c r="F146" s="93"/>
      <c r="G146" s="93"/>
      <c r="H146" s="148"/>
    </row>
    <row r="147" spans="1:8" ht="15">
      <c r="A147" s="82"/>
      <c r="B147" s="1011" t="s">
        <v>189</v>
      </c>
      <c r="C147" s="1011"/>
      <c r="D147" s="1011"/>
      <c r="E147" s="202"/>
      <c r="F147" s="93"/>
      <c r="G147" s="93"/>
      <c r="H147" s="148"/>
    </row>
    <row r="148" spans="1:8" ht="15">
      <c r="A148" s="48"/>
      <c r="B148" s="1004" t="s">
        <v>72</v>
      </c>
      <c r="C148" s="1004"/>
      <c r="D148" s="342">
        <v>52</v>
      </c>
      <c r="E148" s="49" t="s">
        <v>354</v>
      </c>
      <c r="F148" s="456">
        <f>'17 Std'!T7</f>
        <v>0.02</v>
      </c>
      <c r="G148" s="26"/>
      <c r="H148" s="77"/>
    </row>
    <row r="149" spans="1:8" ht="15">
      <c r="A149" s="48"/>
      <c r="B149" s="1004" t="s">
        <v>73</v>
      </c>
      <c r="C149" s="1004"/>
      <c r="D149" s="353">
        <v>42</v>
      </c>
      <c r="E149" s="200"/>
      <c r="F149" s="26"/>
      <c r="G149" s="26"/>
      <c r="H149" s="77"/>
    </row>
    <row r="150" spans="1:8" ht="15">
      <c r="A150" s="48"/>
      <c r="B150" s="1004" t="s">
        <v>74</v>
      </c>
      <c r="C150" s="1004"/>
      <c r="D150" s="353">
        <v>1.5</v>
      </c>
      <c r="E150" s="201"/>
      <c r="F150" s="26"/>
      <c r="G150" s="26"/>
      <c r="H150" s="111"/>
    </row>
    <row r="151" spans="1:8" ht="15">
      <c r="A151" s="112"/>
      <c r="B151" s="1005" t="s">
        <v>160</v>
      </c>
      <c r="C151" s="1005"/>
      <c r="D151" s="354">
        <v>0.45</v>
      </c>
      <c r="E151" s="180"/>
      <c r="F151" s="113"/>
      <c r="G151" s="113"/>
      <c r="H151" s="181"/>
    </row>
    <row r="152" spans="1:8">
      <c r="A152" s="82"/>
      <c r="B152" s="93"/>
      <c r="C152" s="93"/>
      <c r="D152" s="182"/>
      <c r="E152" s="93"/>
      <c r="F152" s="93"/>
      <c r="G152" s="93"/>
      <c r="H152" s="191"/>
    </row>
    <row r="154" spans="1:8">
      <c r="B154" s="1006"/>
      <c r="C154" s="1006"/>
      <c r="D154" s="1006"/>
      <c r="F154" s="1006"/>
      <c r="G154" s="1006"/>
      <c r="H154" s="1006"/>
    </row>
    <row r="155" spans="1:8">
      <c r="B155" s="114"/>
      <c r="C155" s="114"/>
      <c r="D155" s="115"/>
      <c r="E155" s="6"/>
      <c r="F155" s="114"/>
      <c r="G155" s="114"/>
      <c r="H155" s="115"/>
    </row>
    <row r="156" spans="1:8">
      <c r="C156" s="116"/>
      <c r="D156" s="117"/>
      <c r="G156" s="116"/>
      <c r="H156" s="117"/>
    </row>
    <row r="157" spans="1:8">
      <c r="C157" s="116"/>
      <c r="D157" s="108"/>
      <c r="G157" s="116"/>
      <c r="H157" s="108"/>
    </row>
    <row r="158" spans="1:8">
      <c r="C158" s="118"/>
      <c r="D158" s="108"/>
      <c r="G158" s="118"/>
      <c r="H158" s="108"/>
    </row>
    <row r="159" spans="1:8">
      <c r="C159" s="119"/>
      <c r="D159" s="108"/>
      <c r="G159" s="119"/>
      <c r="H159" s="108"/>
    </row>
    <row r="160" spans="1:8">
      <c r="C160" s="120"/>
      <c r="D160" s="108"/>
      <c r="G160" s="120"/>
      <c r="H160" s="108"/>
    </row>
    <row r="161" spans="3:8">
      <c r="C161" s="118"/>
      <c r="D161" s="108"/>
      <c r="G161" s="118"/>
      <c r="H161" s="108"/>
    </row>
    <row r="162" spans="3:8" ht="15">
      <c r="C162" s="121"/>
      <c r="D162" s="122"/>
      <c r="G162" s="121"/>
      <c r="H162" s="122"/>
    </row>
    <row r="163" spans="3:8" ht="15">
      <c r="D163" s="123"/>
      <c r="H163" s="123"/>
    </row>
  </sheetData>
  <mergeCells count="42">
    <mergeCell ref="B27:H27"/>
    <mergeCell ref="N28:P28"/>
    <mergeCell ref="A1:J1"/>
    <mergeCell ref="R1:V1"/>
    <mergeCell ref="AA1:AI1"/>
    <mergeCell ref="A2:J2"/>
    <mergeCell ref="B3:D3"/>
    <mergeCell ref="E3:G3"/>
    <mergeCell ref="H3:J3"/>
    <mergeCell ref="M3:P3"/>
    <mergeCell ref="AA58:AK58"/>
    <mergeCell ref="AJ3:AL3"/>
    <mergeCell ref="Y22:Z22"/>
    <mergeCell ref="Y23:Z23"/>
    <mergeCell ref="Y24:Z24"/>
    <mergeCell ref="C36:D36"/>
    <mergeCell ref="E36:F36"/>
    <mergeCell ref="G36:H36"/>
    <mergeCell ref="B58:D58"/>
    <mergeCell ref="F58:H58"/>
    <mergeCell ref="B128:H128"/>
    <mergeCell ref="AA62:AK62"/>
    <mergeCell ref="B64:D64"/>
    <mergeCell ref="F64:H64"/>
    <mergeCell ref="E78:G78"/>
    <mergeCell ref="AA78:AK78"/>
    <mergeCell ref="E79:F79"/>
    <mergeCell ref="E85:F85"/>
    <mergeCell ref="G85:H85"/>
    <mergeCell ref="B98:D98"/>
    <mergeCell ref="F98:H98"/>
    <mergeCell ref="E115:F115"/>
    <mergeCell ref="AA129:AB129"/>
    <mergeCell ref="B151:C151"/>
    <mergeCell ref="B154:D154"/>
    <mergeCell ref="F154:H154"/>
    <mergeCell ref="F130:G130"/>
    <mergeCell ref="F132:H132"/>
    <mergeCell ref="B147:D147"/>
    <mergeCell ref="B148:C148"/>
    <mergeCell ref="B149:C149"/>
    <mergeCell ref="B150:C150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7" max="9" man="1"/>
    <brk id="89" max="9" man="1"/>
    <brk id="111" max="9" man="1"/>
    <brk id="126" max="9" man="1"/>
  </row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  <pageSetUpPr fitToPage="1"/>
  </sheetPr>
  <dimension ref="A1:AP163"/>
  <sheetViews>
    <sheetView zoomScaleNormal="100" workbookViewId="0">
      <pane xSplit="1" ySplit="2" topLeftCell="B3" activePane="bottomRight" state="frozenSplit"/>
      <selection activeCell="B3" sqref="B3:D3"/>
      <selection pane="topRight" activeCell="B3" sqref="B3:D3"/>
      <selection pane="bottomLeft" activeCell="B3" sqref="B3:D3"/>
      <selection pane="bottomRight" activeCell="B3" sqref="B3:D3"/>
    </sheetView>
  </sheetViews>
  <sheetFormatPr defaultColWidth="10.5703125" defaultRowHeight="12.75" outlineLevelCol="1"/>
  <cols>
    <col min="1" max="1" width="45.5703125" style="1" bestFit="1" customWidth="1"/>
    <col min="2" max="2" width="13.5703125" style="1" bestFit="1" customWidth="1"/>
    <col min="3" max="3" width="13.28515625" style="1" bestFit="1" customWidth="1"/>
    <col min="4" max="4" width="12.5703125" style="1" bestFit="1" customWidth="1"/>
    <col min="5" max="5" width="14.5703125" style="1" bestFit="1" customWidth="1"/>
    <col min="6" max="6" width="15.5703125" style="1" bestFit="1" customWidth="1"/>
    <col min="7" max="7" width="13.28515625" style="1" bestFit="1" customWidth="1"/>
    <col min="8" max="8" width="12.7109375" style="1" bestFit="1" customWidth="1"/>
    <col min="9" max="9" width="9.7109375" style="1" bestFit="1" customWidth="1"/>
    <col min="10" max="10" width="12.28515625" style="1" bestFit="1" customWidth="1"/>
    <col min="11" max="12" width="5.5703125" style="1" customWidth="1"/>
    <col min="13" max="13" width="15.28515625" style="1" bestFit="1" customWidth="1"/>
    <col min="14" max="14" width="13.5703125" style="1" bestFit="1" customWidth="1"/>
    <col min="15" max="15" width="11.28515625" style="1" bestFit="1" customWidth="1"/>
    <col min="16" max="16" width="13.42578125" style="1" bestFit="1" customWidth="1"/>
    <col min="17" max="17" width="7.28515625" style="1" bestFit="1" customWidth="1"/>
    <col min="18" max="18" width="12.42578125" style="1" customWidth="1" outlineLevel="1"/>
    <col min="19" max="19" width="9.7109375" style="1" customWidth="1" outlineLevel="1"/>
    <col min="20" max="20" width="12.42578125" style="1" customWidth="1" outlineLevel="1"/>
    <col min="21" max="21" width="11.5703125" style="1" customWidth="1" outlineLevel="1"/>
    <col min="22" max="22" width="11.7109375" style="1" customWidth="1" outlineLevel="1"/>
    <col min="23" max="23" width="5.28515625" style="62" customWidth="1" outlineLevel="1"/>
    <col min="24" max="24" width="16.5703125" style="1" customWidth="1" outlineLevel="1"/>
    <col min="25" max="26" width="9" style="1" customWidth="1" outlineLevel="1"/>
    <col min="27" max="27" width="12.42578125" style="1" customWidth="1" outlineLevel="1"/>
    <col min="28" max="28" width="12.42578125" style="1" bestFit="1" customWidth="1" outlineLevel="1"/>
    <col min="29" max="29" width="9" style="1" bestFit="1" customWidth="1" outlineLevel="1"/>
    <col min="30" max="30" width="12.42578125" style="1" customWidth="1" outlineLevel="1"/>
    <col min="31" max="31" width="11.5703125" style="135" customWidth="1" outlineLevel="1"/>
    <col min="32" max="32" width="11.5703125" style="1" customWidth="1" outlineLevel="1"/>
    <col min="33" max="33" width="9.7109375" style="1" bestFit="1" customWidth="1" outlineLevel="1"/>
    <col min="34" max="34" width="11.5703125" style="1" customWidth="1" outlineLevel="1"/>
    <col min="35" max="35" width="11.7109375" style="1" customWidth="1" outlineLevel="1"/>
    <col min="36" max="37" width="11.5703125" style="1" customWidth="1" outlineLevel="1"/>
    <col min="38" max="38" width="11.5703125" style="1" bestFit="1" customWidth="1" outlineLevel="1"/>
    <col min="39" max="40" width="11.5703125" style="1" bestFit="1" customWidth="1"/>
    <col min="41" max="42" width="10.28515625" style="1" bestFit="1" customWidth="1"/>
    <col min="43" max="237" width="8.5703125" style="1" customWidth="1"/>
    <col min="238" max="16384" width="10.5703125" style="1"/>
  </cols>
  <sheetData>
    <row r="1" spans="1:42" ht="18.75" customHeight="1">
      <c r="A1" s="1028" t="s">
        <v>293</v>
      </c>
      <c r="B1" s="1028"/>
      <c r="C1" s="1028"/>
      <c r="D1" s="1028"/>
      <c r="E1" s="1028"/>
      <c r="F1" s="1028"/>
      <c r="G1" s="1028"/>
      <c r="H1" s="1028"/>
      <c r="I1" s="1028"/>
      <c r="J1" s="1028"/>
      <c r="K1" s="360"/>
      <c r="L1" s="360"/>
      <c r="M1" s="360"/>
      <c r="N1" s="360"/>
      <c r="O1" s="360"/>
      <c r="P1" s="360"/>
      <c r="R1" s="1029" t="s">
        <v>216</v>
      </c>
      <c r="S1" s="1029"/>
      <c r="T1" s="1029"/>
      <c r="U1" s="1029"/>
      <c r="V1" s="1029"/>
      <c r="W1" s="245"/>
      <c r="X1" s="246"/>
      <c r="Y1" s="128"/>
      <c r="Z1" s="128"/>
      <c r="AA1" s="1029" t="s">
        <v>225</v>
      </c>
      <c r="AB1" s="1029"/>
      <c r="AC1" s="1029"/>
      <c r="AD1" s="1029"/>
      <c r="AE1" s="1029"/>
      <c r="AF1" s="1029"/>
      <c r="AG1" s="1029"/>
      <c r="AH1" s="1029"/>
      <c r="AI1" s="1029"/>
      <c r="AJ1" s="248" t="s">
        <v>194</v>
      </c>
      <c r="AK1" s="248" t="s">
        <v>177</v>
      </c>
      <c r="AL1" s="248" t="s">
        <v>282</v>
      </c>
      <c r="AM1" s="387" t="s">
        <v>107</v>
      </c>
      <c r="AN1" s="387" t="s">
        <v>194</v>
      </c>
      <c r="AO1" s="387" t="s">
        <v>177</v>
      </c>
      <c r="AP1" s="387" t="s">
        <v>282</v>
      </c>
    </row>
    <row r="2" spans="1:42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I2" s="1030"/>
      <c r="J2" s="1030"/>
      <c r="K2" s="361"/>
      <c r="L2" s="361"/>
      <c r="M2" s="361"/>
      <c r="N2" s="361"/>
      <c r="O2" s="361"/>
      <c r="P2" s="361"/>
      <c r="R2" s="10" t="s">
        <v>190</v>
      </c>
      <c r="S2" s="10" t="s">
        <v>55</v>
      </c>
      <c r="T2" s="10" t="s">
        <v>3</v>
      </c>
      <c r="U2" s="140" t="s">
        <v>1</v>
      </c>
      <c r="V2" s="140" t="s">
        <v>215</v>
      </c>
      <c r="W2" s="249" t="s">
        <v>2</v>
      </c>
      <c r="X2" s="9" t="s">
        <v>223</v>
      </c>
      <c r="Y2" s="129" t="s">
        <v>226</v>
      </c>
      <c r="Z2" s="129" t="s">
        <v>227</v>
      </c>
      <c r="AA2" s="10" t="s">
        <v>194</v>
      </c>
      <c r="AB2" s="10" t="s">
        <v>177</v>
      </c>
      <c r="AC2" s="10" t="s">
        <v>282</v>
      </c>
      <c r="AD2" s="10" t="s">
        <v>3</v>
      </c>
      <c r="AE2" s="140" t="s">
        <v>228</v>
      </c>
      <c r="AF2" s="140" t="s">
        <v>229</v>
      </c>
      <c r="AG2" s="140" t="s">
        <v>283</v>
      </c>
      <c r="AH2" s="140" t="s">
        <v>230</v>
      </c>
      <c r="AI2" s="140" t="s">
        <v>215</v>
      </c>
      <c r="AJ2" s="249" t="s">
        <v>222</v>
      </c>
      <c r="AK2" s="249" t="s">
        <v>222</v>
      </c>
      <c r="AL2" s="249" t="s">
        <v>222</v>
      </c>
      <c r="AM2" s="388" t="s">
        <v>327</v>
      </c>
      <c r="AN2" s="388" t="s">
        <v>327</v>
      </c>
      <c r="AO2" s="388" t="s">
        <v>327</v>
      </c>
      <c r="AP2" s="388" t="s">
        <v>327</v>
      </c>
    </row>
    <row r="3" spans="1:42" ht="17.25" customHeight="1">
      <c r="B3" s="1031" t="s">
        <v>297</v>
      </c>
      <c r="C3" s="1032"/>
      <c r="D3" s="1033"/>
      <c r="E3" s="1031" t="s">
        <v>177</v>
      </c>
      <c r="F3" s="1032"/>
      <c r="G3" s="1033"/>
      <c r="H3" s="1031" t="s">
        <v>282</v>
      </c>
      <c r="I3" s="1032"/>
      <c r="J3" s="1033"/>
      <c r="K3" s="363"/>
      <c r="L3" s="363"/>
      <c r="M3" s="1031" t="s">
        <v>309</v>
      </c>
      <c r="N3" s="1032"/>
      <c r="O3" s="1032"/>
      <c r="P3" s="1033"/>
      <c r="R3" s="4"/>
      <c r="S3" s="4"/>
      <c r="T3" s="4"/>
      <c r="U3" s="4"/>
      <c r="V3" s="5"/>
      <c r="W3" s="265"/>
      <c r="X3" s="3"/>
      <c r="Y3" s="125"/>
      <c r="Z3" s="126"/>
      <c r="AA3" s="242"/>
      <c r="AB3" s="242"/>
      <c r="AC3" s="242"/>
      <c r="AD3" s="4"/>
      <c r="AE3" s="242"/>
      <c r="AF3" s="242"/>
      <c r="AG3" s="242"/>
      <c r="AH3" s="242"/>
      <c r="AI3" s="5"/>
      <c r="AJ3" s="1025"/>
      <c r="AK3" s="1025"/>
      <c r="AL3" s="1025"/>
      <c r="AM3" s="389"/>
      <c r="AN3" s="389"/>
      <c r="AO3" s="389"/>
      <c r="AP3" s="389"/>
    </row>
    <row r="4" spans="1:42" s="6" customFormat="1" ht="16.5">
      <c r="B4" s="319" t="s">
        <v>289</v>
      </c>
      <c r="C4" s="8" t="s">
        <v>288</v>
      </c>
      <c r="D4" s="313" t="s">
        <v>108</v>
      </c>
      <c r="E4" s="319" t="s">
        <v>289</v>
      </c>
      <c r="F4" s="7" t="s">
        <v>288</v>
      </c>
      <c r="G4" s="320" t="s">
        <v>108</v>
      </c>
      <c r="H4" s="319" t="s">
        <v>289</v>
      </c>
      <c r="I4" s="7" t="s">
        <v>288</v>
      </c>
      <c r="J4" s="313" t="s">
        <v>108</v>
      </c>
      <c r="K4" s="8"/>
      <c r="L4" s="8"/>
      <c r="M4" s="319" t="s">
        <v>289</v>
      </c>
      <c r="N4" s="364" t="s">
        <v>306</v>
      </c>
      <c r="O4" s="364" t="s">
        <v>307</v>
      </c>
      <c r="P4" s="365" t="s">
        <v>308</v>
      </c>
      <c r="R4" s="10"/>
      <c r="S4" s="10"/>
      <c r="T4" s="10"/>
      <c r="U4" s="5"/>
      <c r="V4" s="5"/>
      <c r="W4" s="256"/>
      <c r="X4" s="9"/>
      <c r="Y4" s="125"/>
      <c r="Z4" s="126"/>
      <c r="AA4" s="243"/>
      <c r="AB4" s="243"/>
      <c r="AC4" s="243"/>
      <c r="AD4" s="10"/>
      <c r="AE4" s="244"/>
      <c r="AF4" s="244"/>
      <c r="AG4" s="244"/>
      <c r="AH4" s="244"/>
      <c r="AI4" s="5"/>
      <c r="AJ4" s="5"/>
      <c r="AK4" s="5"/>
      <c r="AL4" s="5"/>
      <c r="AM4" s="390"/>
      <c r="AN4" s="390"/>
      <c r="AO4" s="390"/>
      <c r="AP4" s="390"/>
    </row>
    <row r="5" spans="1:42" s="6" customFormat="1" ht="15">
      <c r="A5" s="11"/>
      <c r="B5" s="335"/>
      <c r="C5" s="11" t="s">
        <v>287</v>
      </c>
      <c r="D5" s="314"/>
      <c r="E5" s="321"/>
      <c r="F5" s="11" t="s">
        <v>287</v>
      </c>
      <c r="G5" s="322"/>
      <c r="H5" s="321"/>
      <c r="I5" s="11" t="s">
        <v>287</v>
      </c>
      <c r="J5" s="322"/>
      <c r="K5" s="309"/>
      <c r="L5" s="309"/>
      <c r="M5" s="321"/>
      <c r="N5" s="11"/>
      <c r="O5" s="11"/>
      <c r="P5" s="322"/>
      <c r="R5" s="15"/>
      <c r="S5" s="15"/>
      <c r="T5" s="15"/>
      <c r="U5" s="16"/>
      <c r="V5" s="16"/>
      <c r="W5" s="159"/>
      <c r="X5" s="14"/>
      <c r="Y5" s="125"/>
      <c r="Z5" s="126"/>
      <c r="AA5" s="15"/>
      <c r="AB5" s="15"/>
      <c r="AC5" s="15"/>
      <c r="AD5" s="15"/>
      <c r="AE5" s="16"/>
      <c r="AF5" s="16"/>
      <c r="AG5" s="16"/>
      <c r="AH5" s="16"/>
      <c r="AI5" s="16"/>
      <c r="AJ5" s="16"/>
      <c r="AK5" s="16"/>
      <c r="AL5" s="16"/>
      <c r="AM5" s="391"/>
      <c r="AN5" s="391"/>
      <c r="AO5" s="391"/>
      <c r="AP5" s="391"/>
    </row>
    <row r="6" spans="1:42" ht="15">
      <c r="A6" s="17" t="s">
        <v>4</v>
      </c>
      <c r="B6" s="449" t="e">
        <f>IF($B$24&lt;&gt;0,$D$54,0)</f>
        <v>#REF!</v>
      </c>
      <c r="C6" s="18">
        <v>5.1848256458867814E-2</v>
      </c>
      <c r="D6" s="238">
        <v>4.2711307857142861E-2</v>
      </c>
      <c r="E6" s="323" t="e">
        <f>$F$54</f>
        <v>#REF!</v>
      </c>
      <c r="F6" s="18">
        <v>0.13644871697440611</v>
      </c>
      <c r="G6" s="238">
        <v>8.7306307857142856E-2</v>
      </c>
      <c r="H6" s="323">
        <f>IF($H$24&lt;&gt;0,$H$54,0)</f>
        <v>0</v>
      </c>
      <c r="I6" s="18">
        <v>0.48991089907521851</v>
      </c>
      <c r="J6" s="238">
        <v>0.34557399999999999</v>
      </c>
      <c r="K6" s="18"/>
      <c r="L6" s="18"/>
      <c r="M6" s="323" t="e">
        <f>(B6*B$24+E6*E$24+H6*H$24)/M$24</f>
        <v>#REF!</v>
      </c>
      <c r="N6" s="18" t="e">
        <f>M6</f>
        <v>#REF!</v>
      </c>
      <c r="O6" s="18" t="e">
        <f>M6</f>
        <v>#REF!</v>
      </c>
      <c r="P6" s="238" t="e">
        <f>M6-O6</f>
        <v>#REF!</v>
      </c>
      <c r="Q6" s="1" t="e">
        <f>M6*$M$24</f>
        <v>#REF!</v>
      </c>
      <c r="R6" s="24"/>
      <c r="S6" s="21"/>
      <c r="T6" s="21"/>
      <c r="U6" s="2"/>
      <c r="V6" s="2"/>
      <c r="W6" s="159"/>
      <c r="X6" s="20"/>
      <c r="Y6" s="125"/>
      <c r="Z6" s="126"/>
      <c r="AA6" s="21"/>
      <c r="AB6" s="21"/>
      <c r="AC6" s="21"/>
      <c r="AD6" s="21"/>
      <c r="AE6" s="2"/>
      <c r="AF6" s="2"/>
      <c r="AG6" s="2"/>
      <c r="AH6" s="2"/>
      <c r="AI6" s="2"/>
      <c r="AJ6" s="2"/>
      <c r="AK6" s="2"/>
      <c r="AL6" s="2"/>
      <c r="AM6" s="253"/>
      <c r="AN6" s="253"/>
      <c r="AO6" s="253"/>
      <c r="AP6" s="253"/>
    </row>
    <row r="7" spans="1:42" ht="15">
      <c r="A7" s="17" t="s">
        <v>5</v>
      </c>
      <c r="B7" s="324">
        <f>IF($B$24&lt;&gt;0,$D$102,0)</f>
        <v>4.7364544348985922E-3</v>
      </c>
      <c r="C7" s="23">
        <v>7.4774681724732069E-3</v>
      </c>
      <c r="D7" s="315">
        <v>4.2586033477899779E-3</v>
      </c>
      <c r="E7" s="447">
        <f>$H$102</f>
        <v>4.568294245027657E-2</v>
      </c>
      <c r="F7" s="23">
        <v>5.1789467822632336E-2</v>
      </c>
      <c r="G7" s="325">
        <v>5.0065205607455927E-2</v>
      </c>
      <c r="H7" s="324">
        <f>IF($H$24&lt;&gt;0,$H$102,0)</f>
        <v>0</v>
      </c>
      <c r="I7" s="23">
        <v>5.970646436615077E-2</v>
      </c>
      <c r="J7" s="315">
        <v>5.0065205607455927E-2</v>
      </c>
      <c r="K7" s="23"/>
      <c r="L7" s="23"/>
      <c r="M7" s="324">
        <f t="shared" ref="M7:M11" si="0">(B7*B$24+E7*E$24+H7*H$24)/M$24</f>
        <v>1.5722097560975611E-2</v>
      </c>
      <c r="N7" s="23">
        <v>6.5396806966618289E-3</v>
      </c>
      <c r="O7" s="23" t="e">
        <f>IF($M$22&lt;$N$22,M7,IF($M$12&lt;$N$12,M7,IF(AND($M$12&gt;$N$12,$M$20&lt;$N$20),(($N$7+$N$8+$N$9+$N$10+$N$11)+($N$20-$M$20))/($M$7+$M$8+$M$9+$M$10+$M$11)*M7,M7/($M$7+$M$8+$M$9+$M$10+$M$11)*($N$7+$N$8+$N$9+$N$10+$N$11))))</f>
        <v>#REF!</v>
      </c>
      <c r="P7" s="315" t="e">
        <f t="shared" ref="P7:P11" si="1">M7-O7</f>
        <v>#REF!</v>
      </c>
      <c r="Q7" s="1">
        <f t="shared" ref="Q7:Q11" si="2">M7*$M$24</f>
        <v>3867.6360000000004</v>
      </c>
      <c r="R7" s="24">
        <f>ROUND($G$96*$H$96,0)</f>
        <v>4527636</v>
      </c>
      <c r="S7" s="24">
        <v>0</v>
      </c>
      <c r="T7" s="24">
        <f>SUM(R7:S7)</f>
        <v>4527636</v>
      </c>
      <c r="U7" s="19">
        <f>G96</f>
        <v>61178400</v>
      </c>
      <c r="V7" s="25">
        <f>T7/U7</f>
        <v>7.40071005452905E-2</v>
      </c>
      <c r="W7" s="159" t="s">
        <v>6</v>
      </c>
      <c r="X7" s="20" t="s">
        <v>7</v>
      </c>
      <c r="Y7" s="125">
        <v>630010</v>
      </c>
      <c r="Z7" s="126">
        <v>1</v>
      </c>
      <c r="AA7" s="24">
        <f>ROUND($B$102*$C$102*$B$24*1000,0)</f>
        <v>852562</v>
      </c>
      <c r="AB7" s="24">
        <f>ROUND($F$102*$G$102*$E$24*1000,0)</f>
        <v>3015074</v>
      </c>
      <c r="AC7" s="24">
        <f>ROUND($F$102*$G$102*$H$24*1000,0)</f>
        <v>0</v>
      </c>
      <c r="AD7" s="24">
        <f>SUM(AA7:AC7)</f>
        <v>3867636</v>
      </c>
      <c r="AE7" s="19">
        <f>$B$102*$B$24*1000</f>
        <v>11520000</v>
      </c>
      <c r="AF7" s="19">
        <f>$F$102*$E$24*1000</f>
        <v>49658399.999999993</v>
      </c>
      <c r="AG7" s="19">
        <f>$F$102*$H$24*1000</f>
        <v>0</v>
      </c>
      <c r="AH7" s="19">
        <f>SUM(AE7:AG7)</f>
        <v>61178399.999999993</v>
      </c>
      <c r="AI7" s="25">
        <f>AD7/AH7</f>
        <v>6.3218979247577578E-2</v>
      </c>
      <c r="AJ7" s="56">
        <f>ROUND(AE7/$B$24,3)</f>
        <v>64</v>
      </c>
      <c r="AK7" s="56">
        <f>ROUND(AF7/$E$24,3)</f>
        <v>752.4</v>
      </c>
      <c r="AL7" s="56">
        <f>IF($H$24&lt;&gt;0,ROUND(AG7/$H$24,3),0)</f>
        <v>0</v>
      </c>
      <c r="AM7" s="241" t="e">
        <f>P7*$M$24</f>
        <v>#REF!</v>
      </c>
      <c r="AN7" s="241" t="e">
        <f>$AM7/$AH7*AE7</f>
        <v>#REF!</v>
      </c>
      <c r="AO7" s="241" t="e">
        <f t="shared" ref="AO7:AP11" si="3">$AM7/$AH7*AF7</f>
        <v>#REF!</v>
      </c>
      <c r="AP7" s="241" t="e">
        <f t="shared" si="3"/>
        <v>#REF!</v>
      </c>
    </row>
    <row r="8" spans="1:42" ht="15">
      <c r="A8" s="26" t="s">
        <v>8</v>
      </c>
      <c r="B8" s="326">
        <f>IF($B$24&lt;&gt;0,$D$107,0)</f>
        <v>1.7919183191102122E-2</v>
      </c>
      <c r="C8" s="23">
        <v>2.6943144720550712E-2</v>
      </c>
      <c r="D8" s="315">
        <v>2.1338942513967681E-2</v>
      </c>
      <c r="E8" s="326">
        <f>$H$107</f>
        <v>9.9823760242669351E-3</v>
      </c>
      <c r="F8" s="23">
        <v>2.268105439077309E-2</v>
      </c>
      <c r="G8" s="315">
        <v>1.1887447427872407E-2</v>
      </c>
      <c r="H8" s="326">
        <f>IF($H$24&lt;&gt;0,$H$107,0)</f>
        <v>0</v>
      </c>
      <c r="I8" s="23">
        <v>2.3336341873140834E-2</v>
      </c>
      <c r="J8" s="315">
        <v>1.1887447427872407E-2</v>
      </c>
      <c r="K8" s="23"/>
      <c r="L8" s="23"/>
      <c r="M8" s="326">
        <f t="shared" si="0"/>
        <v>1.5789795902439022E-2</v>
      </c>
      <c r="N8" s="23">
        <v>2.9646432510885341E-2</v>
      </c>
      <c r="O8" s="23" t="e">
        <f>IF($M$22&lt;$N$22,M8,IF($M$12&lt;$N$12,M8,IF(AND($M$12&gt;$N$12,$M$20&lt;$N$20),(($N$7+$N$8+$N$9+$N$10+$N$11)+($N$20-$M$20))/($M$7+$M$8+$M$9+$M$10+$M$11)*M8,M8/($M$7+$M$8+$M$9+$M$10+$M$11)*($N$7+$N$8+$N$9+$N$10+$N$11))))</f>
        <v>#REF!</v>
      </c>
      <c r="P8" s="315" t="e">
        <f t="shared" si="1"/>
        <v>#REF!</v>
      </c>
      <c r="Q8" s="1">
        <f t="shared" si="2"/>
        <v>3884.2897919999991</v>
      </c>
      <c r="R8" s="24">
        <f>ROUND($D$96*$C$96,0)</f>
        <v>3884290</v>
      </c>
      <c r="S8" s="24">
        <v>0</v>
      </c>
      <c r="T8" s="24">
        <f>SUM(R8:S8)</f>
        <v>3884290</v>
      </c>
      <c r="U8" s="19">
        <f>C96*1000</f>
        <v>949440000.00000012</v>
      </c>
      <c r="V8" s="25">
        <f>T8/U8</f>
        <v>4.091137933940006E-3</v>
      </c>
      <c r="W8" s="159" t="s">
        <v>9</v>
      </c>
      <c r="X8" s="20" t="s">
        <v>10</v>
      </c>
      <c r="Y8" s="125" t="s">
        <v>75</v>
      </c>
      <c r="Z8" s="126">
        <v>1</v>
      </c>
      <c r="AA8" s="24">
        <f>ROUND($B$107*$C$107*$B$24*1000,0)</f>
        <v>3225453</v>
      </c>
      <c r="AB8" s="24">
        <f>ROUND($F$107*$G$107*$E$24*1000,0)</f>
        <v>658837</v>
      </c>
      <c r="AC8" s="24">
        <f>ROUND($F$107*$G$107*$H$24*1000,0)</f>
        <v>0</v>
      </c>
      <c r="AD8" s="24">
        <f t="shared" ref="AD8:AD11" si="4">SUM(AA8:AC8)</f>
        <v>3884290</v>
      </c>
      <c r="AE8" s="19">
        <f>$B$107*$B$24*1000*1000</f>
        <v>788400000.00000012</v>
      </c>
      <c r="AF8" s="19">
        <f>$F$107*$E$24*1000*1000</f>
        <v>161040000.00000003</v>
      </c>
      <c r="AG8" s="19">
        <f>$F$107*$H$24*1000*1000</f>
        <v>0</v>
      </c>
      <c r="AH8" s="19">
        <f t="shared" ref="AH8:AH11" si="5">SUM(AE8:AG8)</f>
        <v>949440000.00000012</v>
      </c>
      <c r="AI8" s="25">
        <f>AD8/AH8</f>
        <v>4.091137933940006E-3</v>
      </c>
      <c r="AJ8" s="56">
        <f>ROUND(AE8/$B$24,3)</f>
        <v>4380</v>
      </c>
      <c r="AK8" s="56">
        <f>ROUND(AF8/$E$24,3)</f>
        <v>2440</v>
      </c>
      <c r="AL8" s="56">
        <f>IF($H$24&lt;&gt;0,ROUND(AG8/$H$24,3),0)</f>
        <v>0</v>
      </c>
      <c r="AM8" s="241" t="e">
        <f>P8*$M$24</f>
        <v>#REF!</v>
      </c>
      <c r="AN8" s="241" t="e">
        <f>$AM8/$AH8*AE8</f>
        <v>#REF!</v>
      </c>
      <c r="AO8" s="241" t="e">
        <f t="shared" si="3"/>
        <v>#REF!</v>
      </c>
      <c r="AP8" s="241" t="e">
        <f t="shared" si="3"/>
        <v>#REF!</v>
      </c>
    </row>
    <row r="9" spans="1:42" ht="15">
      <c r="A9" s="17" t="s">
        <v>11</v>
      </c>
      <c r="B9" s="326">
        <f>IF($B$24&lt;&gt;0,$H$117,0)</f>
        <v>9.3495929268292699E-3</v>
      </c>
      <c r="C9" s="23">
        <v>1.4341646397233654E-2</v>
      </c>
      <c r="D9" s="315">
        <v>1.2419503219871205E-2</v>
      </c>
      <c r="E9" s="326">
        <f>$H$117</f>
        <v>9.3495929268292699E-3</v>
      </c>
      <c r="F9" s="23">
        <v>1.8091919034933433E-2</v>
      </c>
      <c r="G9" s="315">
        <v>1.2419503219871205E-2</v>
      </c>
      <c r="H9" s="326">
        <f>IF($H$24&lt;&gt;0,$H$117,0)</f>
        <v>0</v>
      </c>
      <c r="I9" s="23">
        <v>2.9451034169154577E-2</v>
      </c>
      <c r="J9" s="315">
        <v>1.2419503219871205E-2</v>
      </c>
      <c r="K9" s="23"/>
      <c r="L9" s="23"/>
      <c r="M9" s="326">
        <f t="shared" si="0"/>
        <v>9.3495929268292699E-3</v>
      </c>
      <c r="N9" s="23">
        <v>1.4439611030478954E-2</v>
      </c>
      <c r="O9" s="23" t="e">
        <f>IF($M$22&lt;$N$22,M9,IF($M$12&lt;$N$12,M9,IF(AND($M$12&gt;$N$12,$M$20&lt;$N$20),(($N$7+$N$8+$N$9+$N$10+$N$11)+($N$20-$M$20))/($M$7+$M$8+$M$9+$M$10+$M$11)*M9,M9/($M$7+$M$8+$M$9+$M$10+$M$11)*($N$7+$N$8+$N$9+$N$10+$N$11))))</f>
        <v>#REF!</v>
      </c>
      <c r="P9" s="315" t="e">
        <f t="shared" si="1"/>
        <v>#REF!</v>
      </c>
      <c r="Q9" s="1">
        <f t="shared" si="2"/>
        <v>2299.9998600000004</v>
      </c>
      <c r="R9" s="24">
        <f>ROUND($G$117,0)</f>
        <v>2300000</v>
      </c>
      <c r="S9" s="24">
        <v>0</v>
      </c>
      <c r="T9" s="24">
        <f>SUM(R9:S9)</f>
        <v>2300000</v>
      </c>
      <c r="U9" s="19">
        <f>$B$25*1000</f>
        <v>246000000</v>
      </c>
      <c r="V9" s="25">
        <f>T9/U9</f>
        <v>9.3495934959349596E-3</v>
      </c>
      <c r="W9" s="159" t="s">
        <v>12</v>
      </c>
      <c r="X9" s="20" t="s">
        <v>13</v>
      </c>
      <c r="Y9" s="125" t="s">
        <v>76</v>
      </c>
      <c r="Z9" s="126">
        <v>1</v>
      </c>
      <c r="AA9" s="24">
        <f>$H$117*$B$24*1000</f>
        <v>1682926.7268292685</v>
      </c>
      <c r="AB9" s="24">
        <f>$H$117*$E$24*1000</f>
        <v>617073.13317073183</v>
      </c>
      <c r="AC9" s="24">
        <f>$H$117*$H$24*1000</f>
        <v>0</v>
      </c>
      <c r="AD9" s="24">
        <f t="shared" si="4"/>
        <v>2299999.8600000003</v>
      </c>
      <c r="AE9" s="19">
        <f>$B$24*1000</f>
        <v>180000000</v>
      </c>
      <c r="AF9" s="19">
        <f>$E$24*1000</f>
        <v>66000000</v>
      </c>
      <c r="AG9" s="19">
        <f>$H$24*1000</f>
        <v>0</v>
      </c>
      <c r="AH9" s="19">
        <f t="shared" si="5"/>
        <v>246000000</v>
      </c>
      <c r="AI9" s="25">
        <f>AD9/AH9</f>
        <v>9.3495929268292699E-3</v>
      </c>
      <c r="AJ9" s="56">
        <f>ROUND(AE9/$B$24,3)</f>
        <v>1000</v>
      </c>
      <c r="AK9" s="56">
        <f>ROUND(AF9/$E$24,3)</f>
        <v>1000</v>
      </c>
      <c r="AL9" s="56">
        <f>IF($H$24&lt;&gt;0,ROUND(AG9/$H$24,3),0)</f>
        <v>0</v>
      </c>
      <c r="AM9" s="241" t="e">
        <f>P9*$M$24</f>
        <v>#REF!</v>
      </c>
      <c r="AN9" s="241" t="e">
        <f t="shared" ref="AN9:AN11" si="6">$AM9/$AH9*AE9</f>
        <v>#REF!</v>
      </c>
      <c r="AO9" s="241" t="e">
        <f t="shared" si="3"/>
        <v>#REF!</v>
      </c>
      <c r="AP9" s="241" t="e">
        <f t="shared" si="3"/>
        <v>#REF!</v>
      </c>
    </row>
    <row r="10" spans="1:42" ht="15">
      <c r="A10" s="17" t="s">
        <v>14</v>
      </c>
      <c r="B10" s="326">
        <f>IF($B$24&lt;&gt;0,$H$121,0)</f>
        <v>8.1300813008130081E-4</v>
      </c>
      <c r="C10" s="23">
        <v>1.7571987252344094E-3</v>
      </c>
      <c r="D10" s="315">
        <v>6.8997240110395589E-4</v>
      </c>
      <c r="E10" s="326">
        <f>$H$121</f>
        <v>8.1300813008130081E-4</v>
      </c>
      <c r="F10" s="23">
        <v>7.0933264503030852E-3</v>
      </c>
      <c r="G10" s="315">
        <v>6.8997240110395589E-4</v>
      </c>
      <c r="H10" s="326">
        <f>IF($H$24&lt;&gt;0,$H$121,0)</f>
        <v>0</v>
      </c>
      <c r="I10" s="23">
        <v>1.1193950669625665E-2</v>
      </c>
      <c r="J10" s="315">
        <v>6.8997240110395589E-4</v>
      </c>
      <c r="K10" s="23"/>
      <c r="L10" s="23"/>
      <c r="M10" s="326">
        <f t="shared" si="0"/>
        <v>8.1300813008130081E-4</v>
      </c>
      <c r="N10" s="23">
        <v>1.1089114658925979E-3</v>
      </c>
      <c r="O10" s="23" t="e">
        <f>IF($M$22&lt;$N$22,M10,IF($M$12&lt;$N$12,M10,IF(AND($M$12&gt;$N$12,$M$20&lt;$N$20),(($N$7+$N$8+$N$9+$N$10+$N$11)+($N$20-$M$20))/($M$7+$M$8+$M$9+$M$10+$M$11)*M10,M10/($M$7+$M$8+$M$9+$M$10+$M$11)*($N$7+$N$8+$N$9+$N$10+$N$11))))</f>
        <v>#REF!</v>
      </c>
      <c r="P10" s="315" t="e">
        <f t="shared" si="1"/>
        <v>#REF!</v>
      </c>
      <c r="Q10" s="1">
        <f t="shared" si="2"/>
        <v>200</v>
      </c>
      <c r="R10" s="24">
        <f>ROUND($G$121,0)</f>
        <v>200000</v>
      </c>
      <c r="S10" s="24">
        <v>0</v>
      </c>
      <c r="T10" s="24">
        <f>SUM(R10:S10)</f>
        <v>200000</v>
      </c>
      <c r="U10" s="19">
        <f>$B$25*1000</f>
        <v>246000000</v>
      </c>
      <c r="V10" s="25">
        <f>T10/U10</f>
        <v>8.1300813008130081E-4</v>
      </c>
      <c r="W10" s="159" t="s">
        <v>12</v>
      </c>
      <c r="X10" s="20" t="s">
        <v>15</v>
      </c>
      <c r="Y10" s="125" t="s">
        <v>77</v>
      </c>
      <c r="Z10" s="126">
        <v>1</v>
      </c>
      <c r="AA10" s="24">
        <f>$H$121*$B$24*1000</f>
        <v>146341.46341463414</v>
      </c>
      <c r="AB10" s="24">
        <f>$H$121*$E$24*1000</f>
        <v>53658.536585365851</v>
      </c>
      <c r="AC10" s="24">
        <f>$H$121*$H$24*1000</f>
        <v>0</v>
      </c>
      <c r="AD10" s="24">
        <f t="shared" si="4"/>
        <v>200000</v>
      </c>
      <c r="AE10" s="19">
        <f>$B$24*1000</f>
        <v>180000000</v>
      </c>
      <c r="AF10" s="19">
        <f>$E$24*1000</f>
        <v>66000000</v>
      </c>
      <c r="AG10" s="19">
        <f>$H$24*1000</f>
        <v>0</v>
      </c>
      <c r="AH10" s="19">
        <f t="shared" si="5"/>
        <v>246000000</v>
      </c>
      <c r="AI10" s="25">
        <f>AD10/AH10</f>
        <v>8.1300813008130081E-4</v>
      </c>
      <c r="AJ10" s="56">
        <f>ROUND(AE10/$B$24,3)</f>
        <v>1000</v>
      </c>
      <c r="AK10" s="56">
        <f>ROUND(AF10/$E$24,3)</f>
        <v>1000</v>
      </c>
      <c r="AL10" s="56">
        <f>IF($H$24&lt;&gt;0,ROUND(AG10/$H$24,3),0)</f>
        <v>0</v>
      </c>
      <c r="AM10" s="241" t="e">
        <f>P10*$M$24</f>
        <v>#REF!</v>
      </c>
      <c r="AN10" s="241" t="e">
        <f t="shared" si="6"/>
        <v>#REF!</v>
      </c>
      <c r="AO10" s="241" t="e">
        <f t="shared" si="3"/>
        <v>#REF!</v>
      </c>
      <c r="AP10" s="241" t="e">
        <f t="shared" si="3"/>
        <v>#REF!</v>
      </c>
    </row>
    <row r="11" spans="1:42" ht="15">
      <c r="A11" s="17" t="s">
        <v>16</v>
      </c>
      <c r="B11" s="336">
        <f>IF($B$24&lt;&gt;0,$H$124,0)</f>
        <v>3.0487804878048782E-3</v>
      </c>
      <c r="C11" s="27">
        <v>8.1960496265715312E-3</v>
      </c>
      <c r="D11" s="316">
        <v>2.2999080036798527E-3</v>
      </c>
      <c r="E11" s="327">
        <f>$H$124</f>
        <v>3.0487804878048782E-3</v>
      </c>
      <c r="F11" s="27">
        <v>1.9526413286256691E-2</v>
      </c>
      <c r="G11" s="317">
        <v>2.2999080036798527E-3</v>
      </c>
      <c r="H11" s="327">
        <f>IF($H$24&lt;&gt;0,$H$124,0)</f>
        <v>0</v>
      </c>
      <c r="I11" s="27">
        <v>1.9444311706705755E-2</v>
      </c>
      <c r="J11" s="317">
        <v>2.2999080036798527E-3</v>
      </c>
      <c r="K11" s="31"/>
      <c r="L11" s="31"/>
      <c r="M11" s="327">
        <f t="shared" si="0"/>
        <v>3.0487804878048782E-3</v>
      </c>
      <c r="N11" s="27">
        <v>3.106188679245283E-3</v>
      </c>
      <c r="O11" s="27" t="e">
        <f>IF($M$22&lt;$N$22,M11,IF($M$12&lt;$N$12,M11,IF(AND($M$12&gt;$N$12,$M$20&lt;$N$20),(($N$7+$N$8+$N$9+$N$10+$N$11)+($N$20-$M$20))/($M$7+$M$8+$M$9+$M$10+$M$11)*M11,M11/($M$7+$M$8+$M$9+$M$10+$M$11)*($N$7+$N$8+$N$9+$N$10+$N$11))))</f>
        <v>#REF!</v>
      </c>
      <c r="P11" s="317" t="e">
        <f t="shared" si="1"/>
        <v>#REF!</v>
      </c>
      <c r="Q11" s="372">
        <f t="shared" si="2"/>
        <v>750</v>
      </c>
      <c r="R11" s="28">
        <f>ROUND($G$124,0)</f>
        <v>750000</v>
      </c>
      <c r="S11" s="28">
        <v>0</v>
      </c>
      <c r="T11" s="28">
        <f>SUM(R11:S11)</f>
        <v>750000</v>
      </c>
      <c r="U11" s="19">
        <f>$B$25*1000</f>
        <v>246000000</v>
      </c>
      <c r="V11" s="25">
        <f>T11/U11</f>
        <v>3.0487804878048782E-3</v>
      </c>
      <c r="W11" s="159" t="s">
        <v>12</v>
      </c>
      <c r="X11" s="20" t="s">
        <v>17</v>
      </c>
      <c r="Y11" s="125" t="s">
        <v>78</v>
      </c>
      <c r="Z11" s="127" t="s">
        <v>78</v>
      </c>
      <c r="AA11" s="28">
        <f>$H$124*$B$24*1000</f>
        <v>548780.48780487804</v>
      </c>
      <c r="AB11" s="28">
        <f>$H$124*$E$24*1000</f>
        <v>201219.51219512196</v>
      </c>
      <c r="AC11" s="28">
        <f>$H$124*$H$24*1000</f>
        <v>0</v>
      </c>
      <c r="AD11" s="28">
        <f t="shared" si="4"/>
        <v>750000</v>
      </c>
      <c r="AE11" s="19">
        <f>$B$24*1000</f>
        <v>180000000</v>
      </c>
      <c r="AF11" s="19">
        <f>$E$24*1000</f>
        <v>66000000</v>
      </c>
      <c r="AG11" s="19">
        <f>$H$24*1000</f>
        <v>0</v>
      </c>
      <c r="AH11" s="19">
        <f t="shared" si="5"/>
        <v>246000000</v>
      </c>
      <c r="AI11" s="25">
        <f>AD11/AH11</f>
        <v>3.0487804878048782E-3</v>
      </c>
      <c r="AJ11" s="56">
        <f>ROUND(AE11/$B$24,3)</f>
        <v>1000</v>
      </c>
      <c r="AK11" s="56">
        <f>ROUND(AF11/$E$24,3)</f>
        <v>1000</v>
      </c>
      <c r="AL11" s="56">
        <f>IF($H$24&lt;&gt;0,ROUND(AG11/$H$24,3),0)</f>
        <v>0</v>
      </c>
      <c r="AM11" s="384" t="e">
        <f>P11*$M$24</f>
        <v>#REF!</v>
      </c>
      <c r="AN11" s="384" t="e">
        <f t="shared" si="6"/>
        <v>#REF!</v>
      </c>
      <c r="AO11" s="384" t="e">
        <f t="shared" si="3"/>
        <v>#REF!</v>
      </c>
      <c r="AP11" s="384" t="e">
        <f t="shared" si="3"/>
        <v>#REF!</v>
      </c>
    </row>
    <row r="12" spans="1:42">
      <c r="A12" s="192" t="s">
        <v>169</v>
      </c>
      <c r="B12" s="326" t="e">
        <f t="shared" ref="B12:D12" si="7">SUM(B6:B11)</f>
        <v>#REF!</v>
      </c>
      <c r="C12" s="23">
        <f t="shared" si="7"/>
        <v>0.11056376410093133</v>
      </c>
      <c r="D12" s="315">
        <f t="shared" si="7"/>
        <v>8.3718237343555532E-2</v>
      </c>
      <c r="E12" s="326" t="e">
        <f>SUM(E6:E11)</f>
        <v>#REF!</v>
      </c>
      <c r="F12" s="23">
        <f t="shared" ref="F12" si="8">SUM(F6:F11)</f>
        <v>0.25563089795930471</v>
      </c>
      <c r="G12" s="315">
        <f>SUM(G6:G11)</f>
        <v>0.1646683445171262</v>
      </c>
      <c r="H12" s="326">
        <f>SUM(H6:H11)</f>
        <v>0</v>
      </c>
      <c r="I12" s="23">
        <f t="shared" ref="I12" si="9">SUM(I6:I11)</f>
        <v>0.63304300185999618</v>
      </c>
      <c r="J12" s="315">
        <f>SUM(J6:J11)</f>
        <v>0.42293603665998336</v>
      </c>
      <c r="K12" s="23"/>
      <c r="L12" s="23"/>
      <c r="M12" s="326" t="e">
        <f>SUM(M6:M11)</f>
        <v>#REF!</v>
      </c>
      <c r="N12" s="23" t="e">
        <f t="shared" ref="N12:P12" si="10">SUM(N6:N11)</f>
        <v>#REF!</v>
      </c>
      <c r="O12" s="23" t="e">
        <f t="shared" si="10"/>
        <v>#REF!</v>
      </c>
      <c r="P12" s="315" t="e">
        <f t="shared" si="10"/>
        <v>#REF!</v>
      </c>
      <c r="Q12" s="1">
        <f>SUM(Q7:Q11)</f>
        <v>11001.925652</v>
      </c>
      <c r="R12" s="29">
        <f>SUM(R7:R11)</f>
        <v>11661926</v>
      </c>
      <c r="S12" s="29">
        <f>SUM(S7:S11)</f>
        <v>0</v>
      </c>
      <c r="T12" s="29">
        <f>SUM(T7:T11)</f>
        <v>11661926</v>
      </c>
      <c r="U12" s="19"/>
      <c r="V12" s="19"/>
      <c r="W12" s="159"/>
      <c r="X12" s="20"/>
      <c r="Y12" s="125"/>
      <c r="Z12" s="127"/>
      <c r="AA12" s="29">
        <f>SUM(AA7:AA11)</f>
        <v>6456063.6780487802</v>
      </c>
      <c r="AB12" s="29">
        <f>SUM(AB7:AB11)</f>
        <v>4545862.1819512192</v>
      </c>
      <c r="AC12" s="29">
        <f>SUM(AC7:AC11)</f>
        <v>0</v>
      </c>
      <c r="AD12" s="29">
        <f>SUM(AD7:AD11)</f>
        <v>11001925.859999999</v>
      </c>
      <c r="AE12" s="19"/>
      <c r="AF12" s="19"/>
      <c r="AG12" s="19"/>
      <c r="AH12" s="19"/>
      <c r="AI12" s="19"/>
      <c r="AJ12" s="19"/>
      <c r="AK12" s="19"/>
      <c r="AL12" s="19"/>
      <c r="AM12" s="102" t="e">
        <f>SUM(AM7:AM11)</f>
        <v>#REF!</v>
      </c>
      <c r="AN12" s="102" t="e">
        <f t="shared" ref="AN12:AP12" si="11">SUM(AN7:AN11)</f>
        <v>#REF!</v>
      </c>
      <c r="AO12" s="102" t="e">
        <f t="shared" si="11"/>
        <v>#REF!</v>
      </c>
      <c r="AP12" s="102" t="e">
        <f t="shared" si="11"/>
        <v>#REF!</v>
      </c>
    </row>
    <row r="13" spans="1:42">
      <c r="A13" s="17"/>
      <c r="B13" s="328"/>
      <c r="C13" s="23"/>
      <c r="D13" s="315"/>
      <c r="E13" s="328"/>
      <c r="F13" s="23"/>
      <c r="G13" s="329"/>
      <c r="H13" s="326"/>
      <c r="I13" s="23"/>
      <c r="J13" s="315"/>
      <c r="K13" s="23"/>
      <c r="L13" s="23"/>
      <c r="M13" s="326"/>
      <c r="N13" s="23"/>
      <c r="O13" s="23"/>
      <c r="P13" s="315"/>
      <c r="R13" s="29"/>
      <c r="S13" s="29"/>
      <c r="T13" s="29"/>
      <c r="U13" s="19"/>
      <c r="V13" s="19"/>
      <c r="W13" s="159"/>
      <c r="X13" s="20"/>
      <c r="Y13" s="125"/>
      <c r="Z13" s="127"/>
      <c r="AA13" s="29"/>
      <c r="AB13" s="29"/>
      <c r="AC13" s="29"/>
      <c r="AD13" s="29"/>
      <c r="AE13" s="19"/>
      <c r="AF13" s="19"/>
      <c r="AG13" s="19"/>
      <c r="AH13" s="19"/>
      <c r="AI13" s="19"/>
      <c r="AJ13" s="19"/>
      <c r="AK13" s="19"/>
      <c r="AL13" s="19"/>
      <c r="AM13" s="102"/>
      <c r="AN13" s="102"/>
      <c r="AO13" s="102"/>
      <c r="AP13" s="102"/>
    </row>
    <row r="14" spans="1:42">
      <c r="A14" s="17" t="s">
        <v>18</v>
      </c>
      <c r="B14" s="326">
        <f>IF($B$24&lt;&gt;0,$F$87/$B$24/1000,0)</f>
        <v>1.5788287913350886E-2</v>
      </c>
      <c r="C14" s="23">
        <v>1.1406821711646385E-2</v>
      </c>
      <c r="D14" s="315">
        <v>8.6668016661186568E-3</v>
      </c>
      <c r="E14" s="326">
        <f>$H$87/($E$24+$H$24)/1000</f>
        <v>1.5788287913350886E-2</v>
      </c>
      <c r="F14" s="23">
        <v>4.6935867548224E-2</v>
      </c>
      <c r="G14" s="315">
        <v>3.3876227767366693E-2</v>
      </c>
      <c r="H14" s="326">
        <f>IF($H$24&lt;&gt;0,$H$87/($E$24+$H$24)/1000,0)</f>
        <v>0</v>
      </c>
      <c r="I14" s="23">
        <v>4.6340890116036294E-2</v>
      </c>
      <c r="J14" s="315">
        <v>3.3876227767366693E-2</v>
      </c>
      <c r="K14" s="23"/>
      <c r="L14" s="23"/>
      <c r="M14" s="326">
        <f t="shared" ref="M14:M19" si="12">(B14*B$24+E14*E$24+H14*H$24)/M$24</f>
        <v>1.5788287913350883E-2</v>
      </c>
      <c r="N14" s="23">
        <v>1.130844702467344E-2</v>
      </c>
      <c r="O14" s="23" t="e">
        <f>IF($M$22&lt;$N$22,M14,IF($M$20&lt;$N$20,M14,IF(AND($M$20&gt;$N$20,$M$12&lt;$N$12),($N$20+($N$12-$M$12))/$M$20*M14,M14/$M$20*$N$20)))</f>
        <v>#REF!</v>
      </c>
      <c r="P14" s="315" t="e">
        <f t="shared" ref="P14:P19" si="13">M14-O14</f>
        <v>#REF!</v>
      </c>
      <c r="Q14" s="1">
        <f t="shared" ref="Q14:Q19" si="14">M14*$M$24</f>
        <v>3883.9188266843171</v>
      </c>
      <c r="R14" s="24">
        <f>ROUND($D$76,0)</f>
        <v>3883919</v>
      </c>
      <c r="S14" s="24">
        <f>ROUND($D$75,0)</f>
        <v>123879</v>
      </c>
      <c r="T14" s="24">
        <f t="shared" ref="T14:T19" si="15">SUM(R14:S14)</f>
        <v>4007798</v>
      </c>
      <c r="U14" s="19">
        <f>$B$74</f>
        <v>124354.79999999999</v>
      </c>
      <c r="V14" s="25">
        <f t="shared" ref="V14:V19" si="16">T14/U14</f>
        <v>32.228735842926852</v>
      </c>
      <c r="W14" s="159" t="s">
        <v>19</v>
      </c>
      <c r="X14" s="20" t="s">
        <v>20</v>
      </c>
      <c r="Y14" s="125" t="s">
        <v>78</v>
      </c>
      <c r="Z14" s="127" t="s">
        <v>78</v>
      </c>
      <c r="AA14" s="24">
        <f>$F87</f>
        <v>2841891.8244031593</v>
      </c>
      <c r="AB14" s="24">
        <f>$H87/($E$24+$H$24)*E24</f>
        <v>1042027.0022811586</v>
      </c>
      <c r="AC14" s="24">
        <f>$H87/($E$24+$H$24)*H24</f>
        <v>0</v>
      </c>
      <c r="AD14" s="24">
        <f t="shared" ref="AD14:AD19" si="17">SUM(AA14:AC14)</f>
        <v>3883918.826684318</v>
      </c>
      <c r="AE14" s="19">
        <f>$E87</f>
        <v>88178.817073170721</v>
      </c>
      <c r="AF14" s="19">
        <f>$G87/($E$24+$H$24)*E24</f>
        <v>32332.232926829267</v>
      </c>
      <c r="AG14" s="19">
        <f>$G87/($E$24+$H$24)*H24</f>
        <v>0</v>
      </c>
      <c r="AH14" s="19">
        <f t="shared" ref="AH14:AH19" si="18">SUM(AE14:AG14)</f>
        <v>120511.04999999999</v>
      </c>
      <c r="AI14" s="25">
        <f t="shared" ref="AI14:AI19" si="19">AD14/AH14</f>
        <v>32.228736092535236</v>
      </c>
      <c r="AJ14" s="56">
        <f t="shared" ref="AJ14:AJ19" si="20">ROUND(AE14/$B$24,3)</f>
        <v>0.49</v>
      </c>
      <c r="AK14" s="56">
        <f t="shared" ref="AK14:AK19" si="21">ROUND(AF14/$E$24,3)</f>
        <v>0.49</v>
      </c>
      <c r="AL14" s="56">
        <f t="shared" ref="AL14:AL19" si="22">IF($H$24&lt;&gt;0,ROUND(AG14/$H$24,3),0)</f>
        <v>0</v>
      </c>
      <c r="AM14" s="241" t="e">
        <f t="shared" ref="AM14:AM19" si="23">P14*$M$24</f>
        <v>#REF!</v>
      </c>
      <c r="AN14" s="241" t="e">
        <f t="shared" ref="AN14:AP19" si="24">$AM14/$AH14*AE14</f>
        <v>#REF!</v>
      </c>
      <c r="AO14" s="241" t="e">
        <f t="shared" si="24"/>
        <v>#REF!</v>
      </c>
      <c r="AP14" s="241" t="e">
        <f t="shared" si="24"/>
        <v>#REF!</v>
      </c>
    </row>
    <row r="15" spans="1:42">
      <c r="A15" s="17" t="s">
        <v>21</v>
      </c>
      <c r="B15" s="326">
        <f>IF($B$24&lt;&gt;0,$F$88/$B$24/1000,0)</f>
        <v>5.6133044417560982E-3</v>
      </c>
      <c r="C15" s="23">
        <v>6.8035939956099384E-3</v>
      </c>
      <c r="D15" s="315">
        <v>5.7082690932158606E-3</v>
      </c>
      <c r="E15" s="326">
        <f>$H$88/($E$24+$H$24)/1000</f>
        <v>5.6133044417560982E-3</v>
      </c>
      <c r="F15" s="23">
        <v>1.6530869226761388E-2</v>
      </c>
      <c r="G15" s="315">
        <v>7.6368033280000006E-3</v>
      </c>
      <c r="H15" s="326">
        <f>IF($H$24&lt;&gt;0,$H$88/($E$24+$H$24)/1000,0)</f>
        <v>0</v>
      </c>
      <c r="I15" s="23">
        <v>1.7200245719289946E-2</v>
      </c>
      <c r="J15" s="315">
        <v>7.6368033280000006E-3</v>
      </c>
      <c r="K15" s="23"/>
      <c r="L15" s="23"/>
      <c r="M15" s="326">
        <f t="shared" si="12"/>
        <v>5.6133044417560974E-3</v>
      </c>
      <c r="N15" s="23">
        <v>5.2712801161103051E-3</v>
      </c>
      <c r="O15" s="23" t="e">
        <f t="shared" ref="O15:O19" si="25">IF($M$22&lt;$N$22,M15,IF($M$20&lt;$N$20,M15,IF(AND($M$20&gt;$N$20,$M$12&lt;$N$12),($N$20+($N$12-$M$12))/$M$20*M15,M15/$M$20*$N$20)))</f>
        <v>#REF!</v>
      </c>
      <c r="P15" s="315" t="e">
        <f t="shared" si="13"/>
        <v>#REF!</v>
      </c>
      <c r="Q15" s="1">
        <f t="shared" si="14"/>
        <v>1380.872892672</v>
      </c>
      <c r="R15" s="24">
        <f>ROUND($H$74,0)</f>
        <v>1380873</v>
      </c>
      <c r="S15" s="24">
        <v>0</v>
      </c>
      <c r="T15" s="24">
        <f t="shared" si="15"/>
        <v>1380873</v>
      </c>
      <c r="U15" s="19">
        <f>$F$74</f>
        <v>39486.720000000001</v>
      </c>
      <c r="V15" s="25">
        <f t="shared" si="16"/>
        <v>34.970567319848293</v>
      </c>
      <c r="W15" s="159" t="s">
        <v>19</v>
      </c>
      <c r="X15" s="20" t="s">
        <v>22</v>
      </c>
      <c r="Y15" s="125" t="s">
        <v>78</v>
      </c>
      <c r="Z15" s="127" t="s">
        <v>78</v>
      </c>
      <c r="AA15" s="24">
        <f>$F88</f>
        <v>1010394.7995160978</v>
      </c>
      <c r="AB15" s="24">
        <f>$H88/($E$24+$H$24)*E24</f>
        <v>370478.09315590252</v>
      </c>
      <c r="AC15" s="24">
        <f>$H88/($E$24+$H$24)*H24</f>
        <v>0</v>
      </c>
      <c r="AD15" s="24">
        <f t="shared" si="17"/>
        <v>1380872.8926720002</v>
      </c>
      <c r="AE15" s="19">
        <f>$E88</f>
        <v>28892.721951219515</v>
      </c>
      <c r="AF15" s="19">
        <f>$G88/($E$24+$H$24)*E24</f>
        <v>10593.99804878049</v>
      </c>
      <c r="AG15" s="19">
        <f>$G88/($E$24+$H$24)*H24</f>
        <v>0</v>
      </c>
      <c r="AH15" s="19">
        <f t="shared" si="18"/>
        <v>39486.720000000001</v>
      </c>
      <c r="AI15" s="25">
        <f t="shared" si="19"/>
        <v>34.970564601769915</v>
      </c>
      <c r="AJ15" s="56">
        <f t="shared" si="20"/>
        <v>0.161</v>
      </c>
      <c r="AK15" s="56">
        <f t="shared" si="21"/>
        <v>0.161</v>
      </c>
      <c r="AL15" s="56">
        <f t="shared" si="22"/>
        <v>0</v>
      </c>
      <c r="AM15" s="241" t="e">
        <f t="shared" si="23"/>
        <v>#REF!</v>
      </c>
      <c r="AN15" s="241" t="e">
        <f t="shared" si="24"/>
        <v>#REF!</v>
      </c>
      <c r="AO15" s="241" t="e">
        <f t="shared" si="24"/>
        <v>#REF!</v>
      </c>
      <c r="AP15" s="241" t="e">
        <f t="shared" si="24"/>
        <v>#REF!</v>
      </c>
    </row>
    <row r="16" spans="1:42">
      <c r="A16" s="17" t="s">
        <v>23</v>
      </c>
      <c r="B16" s="324">
        <f>IF($B$24&lt;&gt;0,$F$89/$B$24/1000,0)</f>
        <v>9.5526384719625355E-3</v>
      </c>
      <c r="C16" s="23">
        <v>8.4807037416256559E-3</v>
      </c>
      <c r="D16" s="315">
        <v>6.3534946725212829E-3</v>
      </c>
      <c r="E16" s="324">
        <f>$H$89/($E$24+$H$24)/1000</f>
        <v>9.5526384719625372E-3</v>
      </c>
      <c r="F16" s="23">
        <v>2.4655898010653633E-2</v>
      </c>
      <c r="G16" s="325">
        <v>1.8636298500182859E-2</v>
      </c>
      <c r="H16" s="324">
        <f>IF($H$24&lt;&gt;0,$H$89/($E$24+$H$24)/1000,0)</f>
        <v>0</v>
      </c>
      <c r="I16" s="23">
        <v>1.9212926862216834E-2</v>
      </c>
      <c r="J16" s="315">
        <v>1.8636298500182859E-2</v>
      </c>
      <c r="K16" s="23"/>
      <c r="L16" s="23"/>
      <c r="M16" s="324">
        <f t="shared" si="12"/>
        <v>9.5526384719625355E-3</v>
      </c>
      <c r="N16" s="23">
        <v>8.0958838896952098E-3</v>
      </c>
      <c r="O16" s="23" t="e">
        <f t="shared" si="25"/>
        <v>#REF!</v>
      </c>
      <c r="P16" s="315" t="e">
        <f t="shared" si="13"/>
        <v>#REF!</v>
      </c>
      <c r="Q16" s="1">
        <f t="shared" si="14"/>
        <v>2349.9490641027837</v>
      </c>
      <c r="R16" s="24">
        <f>ROUND($D$84,0)</f>
        <v>2349949</v>
      </c>
      <c r="S16" s="24">
        <f>ROUND($D$83,0)</f>
        <v>74953</v>
      </c>
      <c r="T16" s="24">
        <f t="shared" si="15"/>
        <v>2424902</v>
      </c>
      <c r="U16" s="19">
        <f>$B$82</f>
        <v>124354.79999999999</v>
      </c>
      <c r="V16" s="25">
        <f t="shared" si="16"/>
        <v>19.499866510983093</v>
      </c>
      <c r="W16" s="159" t="s">
        <v>19</v>
      </c>
      <c r="X16" s="20" t="s">
        <v>24</v>
      </c>
      <c r="Y16" s="125" t="s">
        <v>78</v>
      </c>
      <c r="Z16" s="127" t="s">
        <v>78</v>
      </c>
      <c r="AA16" s="24">
        <f>$F89</f>
        <v>1719474.9249532563</v>
      </c>
      <c r="AB16" s="24">
        <f>$H89/($E$24+$H$24)*E24</f>
        <v>630474.13914952741</v>
      </c>
      <c r="AC16" s="24">
        <f>$H89/($E$24+$H$24)*H24</f>
        <v>0</v>
      </c>
      <c r="AD16" s="24">
        <f t="shared" si="17"/>
        <v>2349949.0641027838</v>
      </c>
      <c r="AE16" s="19">
        <f>$E89</f>
        <v>88178.817073170721</v>
      </c>
      <c r="AF16" s="19">
        <f>$G89/($E$24+$H$24)*E24</f>
        <v>32332.232926829267</v>
      </c>
      <c r="AG16" s="19">
        <f>$G89/($E$24+$H$24)*H24</f>
        <v>0</v>
      </c>
      <c r="AH16" s="19">
        <f t="shared" si="18"/>
        <v>120511.04999999999</v>
      </c>
      <c r="AI16" s="25">
        <f t="shared" si="19"/>
        <v>19.499863822469258</v>
      </c>
      <c r="AJ16" s="56">
        <f t="shared" si="20"/>
        <v>0.49</v>
      </c>
      <c r="AK16" s="56">
        <f t="shared" si="21"/>
        <v>0.49</v>
      </c>
      <c r="AL16" s="56">
        <f t="shared" si="22"/>
        <v>0</v>
      </c>
      <c r="AM16" s="241" t="e">
        <f t="shared" si="23"/>
        <v>#REF!</v>
      </c>
      <c r="AN16" s="241" t="e">
        <f t="shared" si="24"/>
        <v>#REF!</v>
      </c>
      <c r="AO16" s="241" t="e">
        <f t="shared" si="24"/>
        <v>#REF!</v>
      </c>
      <c r="AP16" s="241" t="e">
        <f t="shared" si="24"/>
        <v>#REF!</v>
      </c>
    </row>
    <row r="17" spans="1:42">
      <c r="A17" s="26" t="s">
        <v>25</v>
      </c>
      <c r="B17" s="326">
        <f>IF($B$24&lt;&gt;0,$D$134,0)</f>
        <v>1.5030487804878047E-3</v>
      </c>
      <c r="C17" s="23">
        <v>2.8364259956918832E-3</v>
      </c>
      <c r="D17" s="315">
        <v>1.6697332106715731E-3</v>
      </c>
      <c r="E17" s="326">
        <f>$E$134</f>
        <v>1.5030487804878047E-3</v>
      </c>
      <c r="F17" s="23">
        <v>5.496632313134059E-3</v>
      </c>
      <c r="G17" s="315">
        <v>1.6697332106715731E-3</v>
      </c>
      <c r="H17" s="326">
        <f>IF($H$24&lt;&gt;0,$E$134,0)</f>
        <v>0</v>
      </c>
      <c r="I17" s="23">
        <v>5.7129132056770856E-3</v>
      </c>
      <c r="J17" s="315">
        <v>1.6697332106715731E-3</v>
      </c>
      <c r="K17" s="23"/>
      <c r="L17" s="23"/>
      <c r="M17" s="326">
        <f t="shared" si="12"/>
        <v>1.5030487804878047E-3</v>
      </c>
      <c r="N17" s="23">
        <v>2.0913265602322205E-3</v>
      </c>
      <c r="O17" s="23" t="e">
        <f t="shared" si="25"/>
        <v>#REF!</v>
      </c>
      <c r="P17" s="315" t="e">
        <f t="shared" si="13"/>
        <v>#REF!</v>
      </c>
      <c r="Q17" s="1">
        <f t="shared" si="14"/>
        <v>369.74999999999994</v>
      </c>
      <c r="R17" s="24">
        <f>ROUND($C$134,0)</f>
        <v>369750</v>
      </c>
      <c r="S17" s="24">
        <v>0</v>
      </c>
      <c r="T17" s="24">
        <f t="shared" si="15"/>
        <v>369750</v>
      </c>
      <c r="U17" s="19">
        <f>$B$25*1000</f>
        <v>246000000</v>
      </c>
      <c r="V17" s="25">
        <f t="shared" si="16"/>
        <v>1.5030487804878049E-3</v>
      </c>
      <c r="W17" s="159" t="s">
        <v>12</v>
      </c>
      <c r="X17" s="20" t="s">
        <v>26</v>
      </c>
      <c r="Y17" s="125" t="s">
        <v>99</v>
      </c>
      <c r="Z17" s="127">
        <v>1</v>
      </c>
      <c r="AA17" s="24">
        <f>$D$134*$B$24*1000</f>
        <v>270548.78048780485</v>
      </c>
      <c r="AB17" s="24">
        <f>$E$134*$E$24*1000</f>
        <v>99201.219512195108</v>
      </c>
      <c r="AC17" s="24">
        <f>$E$134*$H$24*1000</f>
        <v>0</v>
      </c>
      <c r="AD17" s="24">
        <f t="shared" si="17"/>
        <v>369749.99999999994</v>
      </c>
      <c r="AE17" s="19">
        <f t="shared" ref="AE17:AG18" si="26">ROUND(AA17/$V17,0)</f>
        <v>180000000</v>
      </c>
      <c r="AF17" s="19">
        <f t="shared" si="26"/>
        <v>66000000</v>
      </c>
      <c r="AG17" s="19">
        <f t="shared" si="26"/>
        <v>0</v>
      </c>
      <c r="AH17" s="19">
        <f t="shared" si="18"/>
        <v>246000000</v>
      </c>
      <c r="AI17" s="25">
        <f t="shared" si="19"/>
        <v>1.5030487804878047E-3</v>
      </c>
      <c r="AJ17" s="56">
        <f t="shared" si="20"/>
        <v>1000</v>
      </c>
      <c r="AK17" s="56">
        <f t="shared" si="21"/>
        <v>1000</v>
      </c>
      <c r="AL17" s="56">
        <f t="shared" si="22"/>
        <v>0</v>
      </c>
      <c r="AM17" s="241" t="e">
        <f t="shared" si="23"/>
        <v>#REF!</v>
      </c>
      <c r="AN17" s="241" t="e">
        <f t="shared" si="24"/>
        <v>#REF!</v>
      </c>
      <c r="AO17" s="241" t="e">
        <f t="shared" si="24"/>
        <v>#REF!</v>
      </c>
      <c r="AP17" s="241" t="e">
        <f t="shared" si="24"/>
        <v>#REF!</v>
      </c>
    </row>
    <row r="18" spans="1:42">
      <c r="A18" s="26" t="s">
        <v>27</v>
      </c>
      <c r="B18" s="326">
        <f>IF($B$24&lt;&gt;0,$D$135,0)</f>
        <v>1.1585365853658536E-3</v>
      </c>
      <c r="C18" s="23">
        <v>1.8905309773416263E-3</v>
      </c>
      <c r="D18" s="315">
        <v>1.6559337626494942E-3</v>
      </c>
      <c r="E18" s="326">
        <f>$E$135</f>
        <v>1.1585365853658536E-3</v>
      </c>
      <c r="F18" s="23">
        <v>4.6668647591818048E-3</v>
      </c>
      <c r="G18" s="315">
        <v>1.6559337626494942E-3</v>
      </c>
      <c r="H18" s="326">
        <f>IF($H$24&lt;&gt;0,$E$135,0)</f>
        <v>0</v>
      </c>
      <c r="I18" s="23">
        <v>5.7129132056770856E-3</v>
      </c>
      <c r="J18" s="315">
        <v>1.6559337626494942E-3</v>
      </c>
      <c r="K18" s="23"/>
      <c r="L18" s="23"/>
      <c r="M18" s="326">
        <f t="shared" si="12"/>
        <v>1.1585365853658536E-3</v>
      </c>
      <c r="N18" s="23">
        <v>3.1981538461538462E-3</v>
      </c>
      <c r="O18" s="23" t="e">
        <f t="shared" si="25"/>
        <v>#REF!</v>
      </c>
      <c r="P18" s="315" t="e">
        <f t="shared" si="13"/>
        <v>#REF!</v>
      </c>
      <c r="Q18" s="1">
        <f t="shared" si="14"/>
        <v>285</v>
      </c>
      <c r="R18" s="24">
        <f>ROUND($C$135,0)</f>
        <v>285000</v>
      </c>
      <c r="S18" s="24">
        <v>0</v>
      </c>
      <c r="T18" s="24">
        <f t="shared" si="15"/>
        <v>285000</v>
      </c>
      <c r="U18" s="19">
        <f>$B$25*1000</f>
        <v>246000000</v>
      </c>
      <c r="V18" s="25">
        <f t="shared" si="16"/>
        <v>1.1585365853658536E-3</v>
      </c>
      <c r="W18" s="159" t="s">
        <v>12</v>
      </c>
      <c r="X18" s="20" t="s">
        <v>28</v>
      </c>
      <c r="Y18" s="125" t="s">
        <v>78</v>
      </c>
      <c r="Z18" s="127" t="s">
        <v>78</v>
      </c>
      <c r="AA18" s="24">
        <f>$D$135*$B$24*1000</f>
        <v>208536.58536585365</v>
      </c>
      <c r="AB18" s="24">
        <f>$E$135*$E$24*1000</f>
        <v>76463.414634146335</v>
      </c>
      <c r="AC18" s="24">
        <f>$E$135*$H$24*1000</f>
        <v>0</v>
      </c>
      <c r="AD18" s="24">
        <f t="shared" si="17"/>
        <v>285000</v>
      </c>
      <c r="AE18" s="19">
        <f t="shared" si="26"/>
        <v>180000000</v>
      </c>
      <c r="AF18" s="19">
        <f t="shared" si="26"/>
        <v>66000000</v>
      </c>
      <c r="AG18" s="19">
        <f t="shared" si="26"/>
        <v>0</v>
      </c>
      <c r="AH18" s="19">
        <f t="shared" si="18"/>
        <v>246000000</v>
      </c>
      <c r="AI18" s="25">
        <f t="shared" si="19"/>
        <v>1.1585365853658536E-3</v>
      </c>
      <c r="AJ18" s="56">
        <f t="shared" si="20"/>
        <v>1000</v>
      </c>
      <c r="AK18" s="56">
        <f t="shared" si="21"/>
        <v>1000</v>
      </c>
      <c r="AL18" s="56">
        <f t="shared" si="22"/>
        <v>0</v>
      </c>
      <c r="AM18" s="241" t="e">
        <f t="shared" si="23"/>
        <v>#REF!</v>
      </c>
      <c r="AN18" s="241" t="e">
        <f t="shared" si="24"/>
        <v>#REF!</v>
      </c>
      <c r="AO18" s="241" t="e">
        <f t="shared" si="24"/>
        <v>#REF!</v>
      </c>
      <c r="AP18" s="241" t="e">
        <f t="shared" si="24"/>
        <v>#REF!</v>
      </c>
    </row>
    <row r="19" spans="1:42" ht="15">
      <c r="A19" s="26" t="s">
        <v>29</v>
      </c>
      <c r="B19" s="327">
        <f>IF($B$24&lt;&gt;0,$D$136,0)</f>
        <v>5.1260162601626013E-3</v>
      </c>
      <c r="C19" s="31">
        <v>2.1212866818408217E-2</v>
      </c>
      <c r="D19" s="317">
        <v>6.473611414259603E-3</v>
      </c>
      <c r="E19" s="327">
        <f>$E$136</f>
        <v>5.8747228381374722E-2</v>
      </c>
      <c r="F19" s="31">
        <v>0.10417686188941641</v>
      </c>
      <c r="G19" s="317">
        <v>5.9339199081609381E-2</v>
      </c>
      <c r="H19" s="327">
        <f>IF($H$24&lt;&gt;0,$E$136,0)</f>
        <v>0</v>
      </c>
      <c r="I19" s="31">
        <v>0.10178478302218978</v>
      </c>
      <c r="J19" s="317">
        <v>5.9339199081609381E-2</v>
      </c>
      <c r="K19" s="31"/>
      <c r="L19" s="31"/>
      <c r="M19" s="327">
        <f t="shared" si="12"/>
        <v>1.9512195121951219E-2</v>
      </c>
      <c r="N19" s="31">
        <v>8.7052133526850511E-3</v>
      </c>
      <c r="O19" s="31" t="e">
        <f t="shared" si="25"/>
        <v>#REF!</v>
      </c>
      <c r="P19" s="317" t="e">
        <f t="shared" si="13"/>
        <v>#REF!</v>
      </c>
      <c r="Q19" s="372">
        <f t="shared" si="14"/>
        <v>4800</v>
      </c>
      <c r="R19" s="28">
        <f>ROUND($C$136,0)</f>
        <v>4800000</v>
      </c>
      <c r="S19" s="28">
        <v>0</v>
      </c>
      <c r="T19" s="28">
        <f t="shared" si="15"/>
        <v>4800000</v>
      </c>
      <c r="U19" s="19">
        <f>$B$25*1000</f>
        <v>246000000</v>
      </c>
      <c r="V19" s="25">
        <f t="shared" si="16"/>
        <v>1.9512195121951219E-2</v>
      </c>
      <c r="W19" s="159" t="s">
        <v>12</v>
      </c>
      <c r="X19" s="20" t="s">
        <v>30</v>
      </c>
      <c r="Y19" s="125" t="s">
        <v>78</v>
      </c>
      <c r="Z19" s="127" t="s">
        <v>78</v>
      </c>
      <c r="AA19" s="28">
        <f>$D$136*$B$24*1000</f>
        <v>922682.92682926822</v>
      </c>
      <c r="AB19" s="28">
        <f>$E$136*$E$24*1000</f>
        <v>3877317.0731707318</v>
      </c>
      <c r="AC19" s="28">
        <f>$E$136*$H$24*1000</f>
        <v>0</v>
      </c>
      <c r="AD19" s="28">
        <f t="shared" si="17"/>
        <v>4800000</v>
      </c>
      <c r="AE19" s="19">
        <f>AA19/$V19</f>
        <v>47287500</v>
      </c>
      <c r="AF19" s="19">
        <f>AB19/$V19</f>
        <v>198712500</v>
      </c>
      <c r="AG19" s="19">
        <f>AC19/$V19</f>
        <v>0</v>
      </c>
      <c r="AH19" s="19">
        <f t="shared" si="18"/>
        <v>246000000</v>
      </c>
      <c r="AI19" s="25">
        <f t="shared" si="19"/>
        <v>1.9512195121951219E-2</v>
      </c>
      <c r="AJ19" s="56">
        <f t="shared" si="20"/>
        <v>262.70800000000003</v>
      </c>
      <c r="AK19" s="56">
        <f t="shared" si="21"/>
        <v>3010.7950000000001</v>
      </c>
      <c r="AL19" s="56">
        <f t="shared" si="22"/>
        <v>0</v>
      </c>
      <c r="AM19" s="384" t="e">
        <f t="shared" si="23"/>
        <v>#REF!</v>
      </c>
      <c r="AN19" s="384" t="e">
        <f t="shared" si="24"/>
        <v>#REF!</v>
      </c>
      <c r="AO19" s="384" t="e">
        <f t="shared" si="24"/>
        <v>#REF!</v>
      </c>
      <c r="AP19" s="384" t="e">
        <f t="shared" si="24"/>
        <v>#REF!</v>
      </c>
    </row>
    <row r="20" spans="1:42">
      <c r="A20" s="192" t="s">
        <v>170</v>
      </c>
      <c r="B20" s="326">
        <f t="shared" ref="B20:D20" si="27">SUM(B14:B19)</f>
        <v>3.8741832453085781E-2</v>
      </c>
      <c r="C20" s="23">
        <f t="shared" si="27"/>
        <v>5.2630943240323705E-2</v>
      </c>
      <c r="D20" s="315">
        <f t="shared" si="27"/>
        <v>3.0527843819436469E-2</v>
      </c>
      <c r="E20" s="326">
        <f>SUM(E14:E19)</f>
        <v>9.2363044574297892E-2</v>
      </c>
      <c r="F20" s="23">
        <f t="shared" ref="F20" si="28">SUM(F14:F19)</f>
        <v>0.20246299374737131</v>
      </c>
      <c r="G20" s="315">
        <f>SUM(G14:G19)</f>
        <v>0.12281419565048</v>
      </c>
      <c r="H20" s="326">
        <f>SUM(H14:H19)</f>
        <v>0</v>
      </c>
      <c r="I20" s="23">
        <f t="shared" ref="I20" si="29">SUM(I14:I19)</f>
        <v>0.19596467213108704</v>
      </c>
      <c r="J20" s="315">
        <f>SUM(J14:J19)</f>
        <v>0.12281419565048</v>
      </c>
      <c r="K20" s="23"/>
      <c r="L20" s="23"/>
      <c r="M20" s="326">
        <f>SUM(M14:M19)</f>
        <v>5.3128011314874393E-2</v>
      </c>
      <c r="N20" s="23">
        <f t="shared" ref="N20:P20" si="30">SUM(N14:N19)</f>
        <v>3.8670304789550067E-2</v>
      </c>
      <c r="O20" s="23" t="e">
        <f t="shared" si="30"/>
        <v>#REF!</v>
      </c>
      <c r="P20" s="315" t="e">
        <f t="shared" si="30"/>
        <v>#REF!</v>
      </c>
      <c r="Q20" s="1">
        <f>SUM(Q14:Q19)</f>
        <v>13069.490783459101</v>
      </c>
      <c r="R20" s="32">
        <f>SUM(R14:R19)</f>
        <v>13069491</v>
      </c>
      <c r="S20" s="32">
        <f>SUM(S14:S19)</f>
        <v>198832</v>
      </c>
      <c r="T20" s="32">
        <f>SUM(T14:T19)</f>
        <v>13268323</v>
      </c>
      <c r="U20" s="19"/>
      <c r="V20" s="19"/>
      <c r="W20" s="265"/>
      <c r="X20" s="21"/>
      <c r="Y20" s="125"/>
      <c r="Z20" s="127"/>
      <c r="AA20" s="32">
        <f>SUM(AA14:AA19)</f>
        <v>6973529.8415554399</v>
      </c>
      <c r="AB20" s="32">
        <f>SUM(AB14:AB19)</f>
        <v>6095960.9419036619</v>
      </c>
      <c r="AC20" s="32">
        <f>SUM(AC14:AC19)</f>
        <v>0</v>
      </c>
      <c r="AD20" s="32">
        <f>SUM(AD14:AD19)</f>
        <v>13069490.783459101</v>
      </c>
      <c r="AE20" s="19"/>
      <c r="AF20" s="19"/>
      <c r="AG20" s="19"/>
      <c r="AH20" s="19"/>
      <c r="AI20" s="19"/>
      <c r="AJ20" s="19"/>
      <c r="AK20" s="19"/>
      <c r="AL20" s="19"/>
      <c r="AM20" s="385" t="e">
        <f>SUM(AM14:AM19)</f>
        <v>#REF!</v>
      </c>
      <c r="AN20" s="385" t="e">
        <f t="shared" ref="AN20:AP20" si="31">SUM(AN14:AN19)</f>
        <v>#REF!</v>
      </c>
      <c r="AO20" s="385" t="e">
        <f t="shared" si="31"/>
        <v>#REF!</v>
      </c>
      <c r="AP20" s="385" t="e">
        <f t="shared" si="31"/>
        <v>#REF!</v>
      </c>
    </row>
    <row r="21" spans="1:42" ht="15">
      <c r="A21" s="26"/>
      <c r="B21" s="326"/>
      <c r="C21" s="23"/>
      <c r="D21" s="315"/>
      <c r="E21" s="326"/>
      <c r="F21" s="23"/>
      <c r="G21" s="315"/>
      <c r="H21" s="326"/>
      <c r="I21" s="23"/>
      <c r="J21" s="315"/>
      <c r="K21" s="23"/>
      <c r="L21" s="23"/>
      <c r="M21" s="326"/>
      <c r="N21" s="23"/>
      <c r="O21" s="23"/>
      <c r="P21" s="315"/>
      <c r="Q21" s="1">
        <f>Q12+Q20</f>
        <v>24071.416435459101</v>
      </c>
      <c r="R21" s="247">
        <f>R12+R20</f>
        <v>24731417</v>
      </c>
      <c r="S21" s="247">
        <f>S12+S20</f>
        <v>198832</v>
      </c>
      <c r="T21" s="247">
        <f>T12+T20</f>
        <v>24930249</v>
      </c>
      <c r="U21" s="19"/>
      <c r="V21" s="19"/>
      <c r="W21" s="265"/>
      <c r="X21" s="2"/>
      <c r="Y21" s="125"/>
      <c r="Z21" s="127"/>
      <c r="AA21" s="33">
        <f>AA12+AA20</f>
        <v>13429593.519604221</v>
      </c>
      <c r="AB21" s="33">
        <f>AB12+AB20</f>
        <v>10641823.123854881</v>
      </c>
      <c r="AC21" s="33">
        <f>AC12+AC20</f>
        <v>0</v>
      </c>
      <c r="AD21" s="33">
        <f>AD12+AD20</f>
        <v>24071416.6434591</v>
      </c>
      <c r="AE21" s="19"/>
      <c r="AF21" s="19"/>
      <c r="AG21" s="19"/>
      <c r="AH21" s="19"/>
      <c r="AI21" s="19"/>
      <c r="AJ21" s="19"/>
      <c r="AK21" s="19"/>
      <c r="AL21" s="19"/>
      <c r="AM21" s="386" t="e">
        <f>AM12+AM20</f>
        <v>#REF!</v>
      </c>
      <c r="AN21" s="386" t="e">
        <f t="shared" ref="AN21:AP21" si="32">AN12+AN20</f>
        <v>#REF!</v>
      </c>
      <c r="AO21" s="386" t="e">
        <f t="shared" si="32"/>
        <v>#REF!</v>
      </c>
      <c r="AP21" s="386" t="e">
        <f t="shared" si="32"/>
        <v>#REF!</v>
      </c>
    </row>
    <row r="22" spans="1:42">
      <c r="A22" s="192" t="s">
        <v>171</v>
      </c>
      <c r="B22" s="34" t="e">
        <f t="shared" ref="B22:D22" si="33">B12+B20</f>
        <v>#REF!</v>
      </c>
      <c r="C22" s="332">
        <f t="shared" si="33"/>
        <v>0.16319470734125502</v>
      </c>
      <c r="D22" s="333">
        <f t="shared" si="33"/>
        <v>0.11424608116299201</v>
      </c>
      <c r="E22" s="34" t="e">
        <f>E12+E20</f>
        <v>#REF!</v>
      </c>
      <c r="F22" s="332">
        <f t="shared" ref="F22" si="34">F12+F20</f>
        <v>0.45809389170667603</v>
      </c>
      <c r="G22" s="334">
        <f>G12+G20</f>
        <v>0.28748254016760622</v>
      </c>
      <c r="H22" s="34">
        <f>H12+H20</f>
        <v>0</v>
      </c>
      <c r="I22" s="332">
        <f t="shared" ref="I22" si="35">I12+I20</f>
        <v>0.82900767399108322</v>
      </c>
      <c r="J22" s="334">
        <f>J12+J20</f>
        <v>0.54575023231046338</v>
      </c>
      <c r="K22" s="18"/>
      <c r="L22" s="18"/>
      <c r="M22" s="34" t="e">
        <f>M12+M20</f>
        <v>#REF!</v>
      </c>
      <c r="N22" s="332" t="e">
        <f t="shared" ref="N22:P22" si="36">N12+N20</f>
        <v>#REF!</v>
      </c>
      <c r="O22" s="332" t="e">
        <f t="shared" si="36"/>
        <v>#REF!</v>
      </c>
      <c r="P22" s="334" t="e">
        <f t="shared" si="36"/>
        <v>#REF!</v>
      </c>
      <c r="Q22" s="1" t="e">
        <f>Q6+Q21</f>
        <v>#REF!</v>
      </c>
      <c r="R22" s="37"/>
      <c r="S22" s="37"/>
      <c r="T22" s="37"/>
      <c r="U22" s="19"/>
      <c r="V22" s="19"/>
      <c r="W22" s="265"/>
      <c r="X22" s="36"/>
      <c r="Y22" s="1026" t="s">
        <v>31</v>
      </c>
      <c r="Z22" s="1026"/>
      <c r="AA22" s="38">
        <f>ROUND(AA21/AA24,5)</f>
        <v>7.4609999999999996E-2</v>
      </c>
      <c r="AB22" s="38">
        <f>ROUND(AB21/AB24,5)</f>
        <v>0.16123999999999999</v>
      </c>
      <c r="AC22" s="38">
        <f>IF(AC24&lt;&gt;0,ROUND(AC21/AC24,5),0)</f>
        <v>0</v>
      </c>
      <c r="AD22" s="38">
        <f>ROUND(AD21/AD24,5)</f>
        <v>9.7850000000000006E-2</v>
      </c>
      <c r="AE22" s="19"/>
      <c r="AF22" s="19"/>
      <c r="AG22" s="19"/>
      <c r="AH22" s="19"/>
      <c r="AI22" s="19"/>
      <c r="AJ22" s="19"/>
      <c r="AK22" s="19"/>
      <c r="AL22" s="19"/>
    </row>
    <row r="23" spans="1:42">
      <c r="A23" s="26"/>
      <c r="B23" s="44"/>
      <c r="C23" s="26"/>
      <c r="D23" s="318"/>
      <c r="E23" s="44"/>
      <c r="F23" s="26"/>
      <c r="G23" s="330"/>
      <c r="H23" s="48"/>
      <c r="I23" s="26"/>
      <c r="J23" s="318"/>
      <c r="K23" s="17"/>
      <c r="L23" s="17"/>
      <c r="M23" s="48"/>
      <c r="N23" s="26"/>
      <c r="O23" s="26"/>
      <c r="P23" s="318"/>
      <c r="R23" s="37"/>
      <c r="S23" s="37"/>
      <c r="T23" s="37"/>
      <c r="U23" s="19"/>
      <c r="V23" s="19"/>
      <c r="W23" s="265"/>
      <c r="X23" s="36"/>
      <c r="Y23" s="1026" t="s">
        <v>32</v>
      </c>
      <c r="Z23" s="1026"/>
      <c r="AA23" s="38" t="e">
        <f>ROUND(AA22+B6,5)</f>
        <v>#REF!</v>
      </c>
      <c r="AB23" s="38" t="e">
        <f>ROUND(AB22+E6,5)</f>
        <v>#REF!</v>
      </c>
      <c r="AC23" s="38">
        <f>IF(AC24&lt;&gt;0,ROUND(AC22+H6,5),0)</f>
        <v>0</v>
      </c>
      <c r="AD23" s="38" t="e">
        <f>ROUND(AD22+(B6*B24+E6*E24+H6*H24)/B25,5)</f>
        <v>#REF!</v>
      </c>
      <c r="AE23" s="19"/>
      <c r="AF23" s="19"/>
      <c r="AG23" s="19"/>
      <c r="AH23" s="19"/>
      <c r="AI23" s="19"/>
      <c r="AJ23" s="19"/>
      <c r="AK23" s="19"/>
      <c r="AL23" s="19"/>
    </row>
    <row r="24" spans="1:42">
      <c r="A24" s="192" t="s">
        <v>264</v>
      </c>
      <c r="B24" s="331">
        <f>$B$30+$B$31</f>
        <v>180000</v>
      </c>
      <c r="C24" s="26">
        <v>46860.38</v>
      </c>
      <c r="D24" s="77">
        <v>158900</v>
      </c>
      <c r="E24" s="331">
        <f>$B$32</f>
        <v>66000</v>
      </c>
      <c r="F24" s="26">
        <v>21908.955000000002</v>
      </c>
      <c r="G24" s="77">
        <v>58500</v>
      </c>
      <c r="H24" s="331">
        <f>$B$33</f>
        <v>0</v>
      </c>
      <c r="I24" s="26">
        <v>8127.9740000000002</v>
      </c>
      <c r="J24" s="77">
        <v>0</v>
      </c>
      <c r="K24" s="26"/>
      <c r="L24" s="26"/>
      <c r="M24" s="331">
        <f>B25</f>
        <v>246000</v>
      </c>
      <c r="N24" s="26"/>
      <c r="O24" s="26"/>
      <c r="P24" s="77"/>
      <c r="R24" s="41"/>
      <c r="S24" s="41"/>
      <c r="T24" s="41"/>
      <c r="U24" s="19"/>
      <c r="V24" s="19"/>
      <c r="W24" s="265"/>
      <c r="X24" s="5"/>
      <c r="Y24" s="1026" t="s">
        <v>33</v>
      </c>
      <c r="Z24" s="1026"/>
      <c r="AA24" s="41">
        <f>ROUND(B24*1000,0)</f>
        <v>180000000</v>
      </c>
      <c r="AB24" s="41">
        <f>ROUND(E24*1000,0)</f>
        <v>66000000</v>
      </c>
      <c r="AC24" s="41">
        <f>ROUND(H24*1000,0)</f>
        <v>0</v>
      </c>
      <c r="AD24" s="41">
        <f>SUM(AA24:AC24)</f>
        <v>246000000</v>
      </c>
      <c r="AE24" s="19"/>
      <c r="AF24" s="19"/>
      <c r="AG24" s="19"/>
      <c r="AH24" s="19"/>
      <c r="AI24" s="19"/>
      <c r="AJ24" s="19"/>
      <c r="AK24" s="19"/>
      <c r="AL24" s="19"/>
    </row>
    <row r="25" spans="1:42">
      <c r="A25" s="192" t="s">
        <v>265</v>
      </c>
      <c r="B25" s="337">
        <f>$B$24+$E$24+$H$24</f>
        <v>246000</v>
      </c>
      <c r="C25" s="113">
        <f>$C$24+$F$24+$I$24</f>
        <v>76897.308999999994</v>
      </c>
      <c r="D25" s="338">
        <f>D24+G24+J24</f>
        <v>217400</v>
      </c>
      <c r="E25" s="99"/>
      <c r="F25" s="72"/>
      <c r="G25" s="75"/>
      <c r="H25" s="99"/>
      <c r="I25" s="72"/>
      <c r="J25" s="75"/>
      <c r="M25" s="99"/>
      <c r="N25" s="72"/>
      <c r="O25" s="72"/>
      <c r="P25" s="75"/>
    </row>
    <row r="27" spans="1:42" ht="15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  <c r="M27" s="17"/>
      <c r="N27" s="199" t="s">
        <v>107</v>
      </c>
      <c r="O27" s="199" t="s">
        <v>310</v>
      </c>
      <c r="P27" s="199" t="s">
        <v>311</v>
      </c>
    </row>
    <row r="28" spans="1:42">
      <c r="A28" s="44"/>
      <c r="H28" s="45"/>
      <c r="M28" s="371" t="s">
        <v>318</v>
      </c>
      <c r="N28" s="1027" t="s">
        <v>312</v>
      </c>
      <c r="O28" s="1027"/>
      <c r="P28" s="1027"/>
    </row>
    <row r="29" spans="1:42">
      <c r="A29" s="190" t="s">
        <v>176</v>
      </c>
      <c r="B29" s="46" t="s">
        <v>168</v>
      </c>
      <c r="C29" s="46" t="s">
        <v>36</v>
      </c>
      <c r="D29" s="47"/>
      <c r="F29" s="47"/>
      <c r="H29" s="45"/>
      <c r="M29" s="17" t="s">
        <v>315</v>
      </c>
      <c r="N29" s="366" t="e">
        <f>SUM(O29:P29)</f>
        <v>#REF!</v>
      </c>
      <c r="O29" s="366" t="e">
        <f>O12*$M$24</f>
        <v>#REF!</v>
      </c>
      <c r="P29" s="366" t="e">
        <f>O20*$M$24</f>
        <v>#REF!</v>
      </c>
    </row>
    <row r="30" spans="1:42" ht="15">
      <c r="A30" s="48" t="s">
        <v>188</v>
      </c>
      <c r="B30" s="342">
        <f>'17 Std'!B10*12</f>
        <v>180000</v>
      </c>
      <c r="C30" s="183">
        <f>+B30/$B$34</f>
        <v>0.73170731707317072</v>
      </c>
      <c r="D30" s="50"/>
      <c r="F30" s="51"/>
      <c r="H30" s="45"/>
      <c r="M30" s="17" t="s">
        <v>316</v>
      </c>
      <c r="N30" s="367" t="e">
        <f>SUM(O30:P30)</f>
        <v>#REF!</v>
      </c>
      <c r="O30" s="367" t="e">
        <f>P12*M24</f>
        <v>#REF!</v>
      </c>
      <c r="P30" s="367" t="e">
        <f>P20*M24</f>
        <v>#REF!</v>
      </c>
      <c r="AL30" s="39"/>
    </row>
    <row r="31" spans="1:42" ht="16.5">
      <c r="A31" s="48" t="s">
        <v>187</v>
      </c>
      <c r="B31" s="342">
        <v>0</v>
      </c>
      <c r="C31" s="183">
        <f>+B31/$B$34</f>
        <v>0</v>
      </c>
      <c r="D31" s="50"/>
      <c r="F31" s="51"/>
      <c r="H31" s="45"/>
      <c r="M31" s="17" t="s">
        <v>314</v>
      </c>
      <c r="N31" s="213">
        <f>SUM(O31:P31)</f>
        <v>0</v>
      </c>
      <c r="O31" s="213">
        <f>IF(C95&lt;&gt;0,0,(((((D94/1.06564)-0.33)*0.974)-D95)*(480000-C94))/1000)</f>
        <v>0</v>
      </c>
      <c r="P31" s="213">
        <v>0</v>
      </c>
      <c r="AL31" s="39"/>
    </row>
    <row r="32" spans="1:42" ht="15">
      <c r="A32" s="48" t="s">
        <v>280</v>
      </c>
      <c r="B32" s="342">
        <f>'17 Std'!B9*12</f>
        <v>66000</v>
      </c>
      <c r="C32" s="183">
        <f>+B32/$B$34</f>
        <v>0.26829268292682928</v>
      </c>
      <c r="D32" s="50"/>
      <c r="F32" s="51"/>
      <c r="H32" s="45"/>
      <c r="M32" s="192" t="s">
        <v>3</v>
      </c>
      <c r="N32" s="368" t="e">
        <f>SUM(N29:N31)</f>
        <v>#REF!</v>
      </c>
      <c r="O32" s="368" t="e">
        <f>SUM(O29:O31)</f>
        <v>#REF!</v>
      </c>
      <c r="P32" s="368" t="e">
        <f>SUM(P29:P31)</f>
        <v>#REF!</v>
      </c>
      <c r="AL32" s="39"/>
    </row>
    <row r="33" spans="1:42" ht="16.5">
      <c r="A33" s="48" t="s">
        <v>281</v>
      </c>
      <c r="B33" s="342">
        <v>0</v>
      </c>
      <c r="C33" s="184">
        <f>+B33/$B$34</f>
        <v>0</v>
      </c>
      <c r="D33" s="50"/>
      <c r="F33" s="51"/>
      <c r="H33" s="45"/>
      <c r="M33" s="192" t="s">
        <v>317</v>
      </c>
      <c r="N33" s="369">
        <f>SUM(O33:P33)</f>
        <v>-4800</v>
      </c>
      <c r="O33" s="369">
        <v>0</v>
      </c>
      <c r="P33" s="369">
        <f>-M19*M24</f>
        <v>-4800</v>
      </c>
      <c r="AL33" s="39"/>
    </row>
    <row r="34" spans="1:42" ht="15">
      <c r="A34" s="141" t="s">
        <v>107</v>
      </c>
      <c r="B34" s="49">
        <f>SUM(B30:B33)</f>
        <v>246000</v>
      </c>
      <c r="C34" s="183">
        <f>SUM(C30:C33)</f>
        <v>1</v>
      </c>
      <c r="D34" s="50"/>
      <c r="F34" s="51"/>
      <c r="H34" s="45"/>
      <c r="M34" s="192" t="s">
        <v>313</v>
      </c>
      <c r="N34" s="370" t="e">
        <f>SUM(N32:N33)</f>
        <v>#REF!</v>
      </c>
      <c r="O34" s="370" t="e">
        <f>SUM(O32:O33)</f>
        <v>#REF!</v>
      </c>
      <c r="P34" s="370" t="e">
        <f>SUM(P32:P33)</f>
        <v>#REF!</v>
      </c>
      <c r="AL34" s="39"/>
    </row>
    <row r="35" spans="1:42">
      <c r="A35" s="141"/>
      <c r="B35" s="49"/>
      <c r="C35" s="183"/>
      <c r="D35" s="50"/>
      <c r="F35" s="51"/>
      <c r="H35" s="45"/>
      <c r="AL35" s="39"/>
    </row>
    <row r="36" spans="1:42" ht="15">
      <c r="A36" s="43"/>
      <c r="B36" s="147"/>
      <c r="C36" s="1009" t="s">
        <v>292</v>
      </c>
      <c r="D36" s="1009"/>
      <c r="E36" s="1009" t="s">
        <v>177</v>
      </c>
      <c r="F36" s="1009"/>
      <c r="G36" s="1009" t="s">
        <v>282</v>
      </c>
      <c r="H36" s="1010"/>
      <c r="M36" s="371" t="s">
        <v>319</v>
      </c>
      <c r="AL36" s="39"/>
    </row>
    <row r="37" spans="1:42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M37" s="17" t="s">
        <v>315</v>
      </c>
      <c r="N37" s="366" t="e">
        <f>SUM(O37:P37)</f>
        <v>#REF!</v>
      </c>
      <c r="O37" s="366" t="e">
        <f>O29/12</f>
        <v>#REF!</v>
      </c>
      <c r="P37" s="366" t="e">
        <f>P29/12</f>
        <v>#REF!</v>
      </c>
      <c r="W37" s="13"/>
      <c r="X37" s="46"/>
      <c r="AJ37" s="11"/>
    </row>
    <row r="38" spans="1:42" ht="15">
      <c r="A38" s="176" t="s">
        <v>173</v>
      </c>
      <c r="B38" s="347" t="e">
        <f>#REF!-3.57</f>
        <v>#REF!</v>
      </c>
      <c r="C38" s="343">
        <v>0.5</v>
      </c>
      <c r="D38" s="134"/>
      <c r="E38" s="343">
        <v>0.5</v>
      </c>
      <c r="F38" s="134"/>
      <c r="G38" s="343">
        <v>0</v>
      </c>
      <c r="H38" s="186"/>
      <c r="M38" s="17" t="s">
        <v>316</v>
      </c>
      <c r="N38" s="367" t="e">
        <f>SUM(O38:P38)</f>
        <v>#REF!</v>
      </c>
      <c r="O38" s="367" t="e">
        <f t="shared" ref="O38:P39" si="37">O30/12</f>
        <v>#REF!</v>
      </c>
      <c r="P38" s="367" t="e">
        <f t="shared" si="37"/>
        <v>#REF!</v>
      </c>
      <c r="W38" s="13"/>
      <c r="X38" s="250"/>
      <c r="AJ38" s="251"/>
      <c r="AK38" s="251"/>
    </row>
    <row r="39" spans="1:42" ht="16.5">
      <c r="A39" s="176" t="s">
        <v>178</v>
      </c>
      <c r="B39" s="355" t="e">
        <f>#REF!-3.09</f>
        <v>#REF!</v>
      </c>
      <c r="C39" s="343">
        <v>0.5</v>
      </c>
      <c r="D39" s="134"/>
      <c r="E39" s="343">
        <v>0.5</v>
      </c>
      <c r="F39" s="134"/>
      <c r="G39" s="343">
        <v>0</v>
      </c>
      <c r="H39" s="186"/>
      <c r="M39" s="17" t="s">
        <v>314</v>
      </c>
      <c r="N39" s="213">
        <f>SUM(O39:P39)</f>
        <v>0</v>
      </c>
      <c r="O39" s="213">
        <f t="shared" si="37"/>
        <v>0</v>
      </c>
      <c r="P39" s="213">
        <f t="shared" si="37"/>
        <v>0</v>
      </c>
      <c r="W39" s="13"/>
      <c r="X39" s="250"/>
      <c r="AJ39" s="252"/>
      <c r="AK39" s="252"/>
    </row>
    <row r="40" spans="1:42">
      <c r="A40" s="141" t="s">
        <v>174</v>
      </c>
      <c r="B40" s="157" t="e">
        <f>+B38*C38+B39*C39</f>
        <v>#REF!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M40" s="192" t="s">
        <v>3</v>
      </c>
      <c r="N40" s="368" t="e">
        <f>SUM(N37:N39)</f>
        <v>#REF!</v>
      </c>
      <c r="O40" s="368" t="e">
        <f>SUM(O37:O39)</f>
        <v>#REF!</v>
      </c>
      <c r="P40" s="368" t="e">
        <f>SUM(P37:P39)</f>
        <v>#REF!</v>
      </c>
      <c r="W40" s="13"/>
      <c r="X40" s="250"/>
      <c r="AJ40" s="251"/>
      <c r="AK40" s="251"/>
    </row>
    <row r="41" spans="1:42" ht="15">
      <c r="A41" s="43"/>
      <c r="B41" s="50"/>
      <c r="C41" s="60"/>
      <c r="D41" s="59"/>
      <c r="E41" s="60"/>
      <c r="F41" s="59"/>
      <c r="G41" s="60"/>
      <c r="H41" s="187"/>
      <c r="M41" s="192" t="s">
        <v>317</v>
      </c>
      <c r="N41" s="369">
        <f>SUM(O41:P41)</f>
        <v>-400</v>
      </c>
      <c r="O41" s="369">
        <f>O33/12</f>
        <v>0</v>
      </c>
      <c r="P41" s="369">
        <f>P33/12</f>
        <v>-400</v>
      </c>
      <c r="U41" s="39"/>
      <c r="V41" s="39"/>
      <c r="W41" s="13"/>
      <c r="X41" s="62"/>
    </row>
    <row r="42" spans="1:42" ht="18" customHeight="1">
      <c r="A42" s="198" t="s">
        <v>39</v>
      </c>
      <c r="B42" s="61" t="s">
        <v>40</v>
      </c>
      <c r="C42" s="185" t="s">
        <v>299</v>
      </c>
      <c r="D42" s="61" t="s">
        <v>179</v>
      </c>
      <c r="E42" s="185" t="s">
        <v>299</v>
      </c>
      <c r="F42" s="61" t="s">
        <v>179</v>
      </c>
      <c r="G42" s="185" t="s">
        <v>299</v>
      </c>
      <c r="H42" s="188" t="s">
        <v>179</v>
      </c>
      <c r="J42" s="62"/>
      <c r="K42" s="62"/>
      <c r="L42" s="62"/>
      <c r="M42" s="192" t="s">
        <v>313</v>
      </c>
      <c r="N42" s="370" t="e">
        <f>SUM(N40:N41)</f>
        <v>#REF!</v>
      </c>
      <c r="O42" s="370" t="e">
        <f>SUM(O40:O41)</f>
        <v>#REF!</v>
      </c>
      <c r="P42" s="370" t="e">
        <f>SUM(P40:P41)</f>
        <v>#REF!</v>
      </c>
      <c r="W42" s="13"/>
      <c r="X42" s="46"/>
      <c r="AJ42" s="11"/>
      <c r="AK42" s="11"/>
      <c r="AL42" s="11"/>
      <c r="AM42" s="52" t="s">
        <v>291</v>
      </c>
      <c r="AN42" s="52" t="s">
        <v>294</v>
      </c>
      <c r="AO42" s="52" t="s">
        <v>295</v>
      </c>
      <c r="AP42" s="52" t="s">
        <v>296</v>
      </c>
    </row>
    <row r="43" spans="1:42" ht="15">
      <c r="A43" s="176" t="s">
        <v>404</v>
      </c>
      <c r="B43" s="488" t="e">
        <f>$B$40/2000-0.00426</f>
        <v>#REF!</v>
      </c>
      <c r="C43" s="345">
        <v>1.81</v>
      </c>
      <c r="D43" s="307" t="e">
        <f t="shared" ref="D43:D49" si="38">B43*C43</f>
        <v>#REF!</v>
      </c>
      <c r="E43" s="345">
        <v>3</v>
      </c>
      <c r="F43" s="446" t="e">
        <f>B43*E43</f>
        <v>#REF!</v>
      </c>
      <c r="G43" s="345">
        <v>0</v>
      </c>
      <c r="H43" s="311" t="e">
        <f>B43*G43</f>
        <v>#REF!</v>
      </c>
      <c r="J43" s="65"/>
      <c r="K43" s="65"/>
      <c r="L43" s="65"/>
      <c r="M43" s="65"/>
      <c r="N43" s="65"/>
      <c r="O43" s="65"/>
      <c r="P43" s="65"/>
      <c r="V43" s="312" t="e">
        <f>B43*1000</f>
        <v>#REF!</v>
      </c>
      <c r="W43" s="256" t="s">
        <v>12</v>
      </c>
      <c r="X43" s="255" t="s">
        <v>154</v>
      </c>
      <c r="AJ43" s="56" t="e">
        <f t="shared" ref="AJ43:AJ49" si="39">IF(B43&lt;&gt;0,D43/B43*1000,0)</f>
        <v>#REF!</v>
      </c>
      <c r="AK43" s="56" t="e">
        <f t="shared" ref="AK43:AK49" si="40">IF(B43&lt;&gt;0,F43/B43*1000,0)</f>
        <v>#REF!</v>
      </c>
      <c r="AL43" s="56" t="e">
        <f>IF(B43&lt;&gt;0,H43/B43*1000,0)</f>
        <v>#REF!</v>
      </c>
      <c r="AM43" s="26" t="e">
        <f t="shared" ref="AM43:AM49" si="41">AJ43*$B$24+AK43*$E$24+AL43*$H$24</f>
        <v>#REF!</v>
      </c>
      <c r="AN43" s="26">
        <v>202343432</v>
      </c>
      <c r="AO43" s="183" t="e">
        <f t="shared" ref="AO43:AO49" si="42">AN43/AM43</f>
        <v>#REF!</v>
      </c>
      <c r="AP43" s="341">
        <f>343597.02/24291676.299</f>
        <v>1.414464015454317E-2</v>
      </c>
    </row>
    <row r="44" spans="1:42" ht="15">
      <c r="A44" s="176" t="s">
        <v>403</v>
      </c>
      <c r="B44" s="344">
        <v>0.1525</v>
      </c>
      <c r="C44" s="345">
        <v>0</v>
      </c>
      <c r="D44" s="307">
        <f t="shared" si="38"/>
        <v>0</v>
      </c>
      <c r="E44" s="345">
        <v>0</v>
      </c>
      <c r="F44" s="307">
        <f t="shared" ref="F44:F47" si="43">B44*E44</f>
        <v>0</v>
      </c>
      <c r="G44" s="345">
        <v>2.8</v>
      </c>
      <c r="H44" s="311">
        <f t="shared" ref="H44:H49" si="44">B44*G44</f>
        <v>0.42699999999999999</v>
      </c>
      <c r="J44" s="65"/>
      <c r="K44" s="65"/>
      <c r="L44" s="65"/>
      <c r="M44" s="65"/>
      <c r="N44" s="65"/>
      <c r="O44" s="65"/>
      <c r="P44" s="65"/>
      <c r="V44" s="312">
        <f t="shared" ref="V44:V49" si="45">B44*1000</f>
        <v>152.5</v>
      </c>
      <c r="W44" s="256" t="s">
        <v>12</v>
      </c>
      <c r="X44" s="256" t="s">
        <v>298</v>
      </c>
      <c r="AJ44" s="56">
        <f t="shared" si="39"/>
        <v>0</v>
      </c>
      <c r="AK44" s="56">
        <f t="shared" si="40"/>
        <v>0</v>
      </c>
      <c r="AL44" s="56">
        <f t="shared" ref="AL44:AL49" si="46">IF(B44&lt;&gt;0,H44/B44*1000,0)</f>
        <v>2800</v>
      </c>
      <c r="AM44" s="26">
        <f t="shared" si="41"/>
        <v>0</v>
      </c>
      <c r="AN44" s="26">
        <v>0</v>
      </c>
      <c r="AO44" s="183" t="e">
        <f t="shared" si="42"/>
        <v>#DIV/0!</v>
      </c>
      <c r="AP44" s="341">
        <v>6.2740000000000004E-2</v>
      </c>
    </row>
    <row r="45" spans="1:42" ht="15">
      <c r="A45" s="176" t="s">
        <v>405</v>
      </c>
      <c r="B45" s="344">
        <v>1.4107000000000001</v>
      </c>
      <c r="C45" s="345">
        <v>1.0999999999999999E-2</v>
      </c>
      <c r="D45" s="307">
        <f t="shared" si="38"/>
        <v>1.5517700000000001E-2</v>
      </c>
      <c r="E45" s="345">
        <v>0</v>
      </c>
      <c r="F45" s="307">
        <f t="shared" si="43"/>
        <v>0</v>
      </c>
      <c r="G45" s="345">
        <v>0</v>
      </c>
      <c r="H45" s="311">
        <f t="shared" si="44"/>
        <v>0</v>
      </c>
      <c r="J45" s="65"/>
      <c r="K45" s="65"/>
      <c r="L45" s="65"/>
      <c r="M45" s="65"/>
      <c r="N45" s="65"/>
      <c r="O45" s="65"/>
      <c r="P45" s="65"/>
      <c r="V45" s="312">
        <f t="shared" si="45"/>
        <v>1410.7</v>
      </c>
      <c r="W45" s="256" t="s">
        <v>12</v>
      </c>
      <c r="X45" s="255" t="s">
        <v>155</v>
      </c>
      <c r="AJ45" s="56">
        <f t="shared" si="39"/>
        <v>11</v>
      </c>
      <c r="AK45" s="56">
        <f t="shared" si="40"/>
        <v>0</v>
      </c>
      <c r="AL45" s="56">
        <f t="shared" si="46"/>
        <v>0</v>
      </c>
      <c r="AM45" s="26">
        <f t="shared" si="41"/>
        <v>1980000</v>
      </c>
      <c r="AN45" s="26">
        <v>101933</v>
      </c>
      <c r="AO45" s="183">
        <f t="shared" si="42"/>
        <v>5.1481313131313135E-2</v>
      </c>
      <c r="AP45" s="341">
        <f>143105.19/AN45</f>
        <v>1.4039142377836422</v>
      </c>
    </row>
    <row r="46" spans="1:42" ht="15">
      <c r="A46" s="176" t="s">
        <v>406</v>
      </c>
      <c r="B46" s="344">
        <v>0.46</v>
      </c>
      <c r="C46" s="345">
        <v>5.0000000000000001E-3</v>
      </c>
      <c r="D46" s="307">
        <f t="shared" si="38"/>
        <v>2.3E-3</v>
      </c>
      <c r="E46" s="345">
        <v>1.2999999999999999E-2</v>
      </c>
      <c r="F46" s="307">
        <f t="shared" si="43"/>
        <v>5.9800000000000001E-3</v>
      </c>
      <c r="G46" s="345">
        <v>0.02</v>
      </c>
      <c r="H46" s="311">
        <f t="shared" si="44"/>
        <v>9.1999999999999998E-3</v>
      </c>
      <c r="I46" s="62"/>
      <c r="J46" s="65"/>
      <c r="K46" s="65"/>
      <c r="L46" s="65"/>
      <c r="M46" s="65"/>
      <c r="N46" s="65"/>
      <c r="O46" s="65"/>
      <c r="P46" s="65"/>
      <c r="V46" s="312">
        <f t="shared" si="45"/>
        <v>460</v>
      </c>
      <c r="W46" s="256" t="s">
        <v>12</v>
      </c>
      <c r="X46" s="255" t="s">
        <v>156</v>
      </c>
      <c r="AJ46" s="56">
        <f t="shared" si="39"/>
        <v>5</v>
      </c>
      <c r="AK46" s="56">
        <f t="shared" si="40"/>
        <v>13</v>
      </c>
      <c r="AL46" s="56">
        <f t="shared" si="46"/>
        <v>20</v>
      </c>
      <c r="AM46" s="26">
        <f t="shared" si="41"/>
        <v>1758000</v>
      </c>
      <c r="AN46" s="26">
        <v>84108</v>
      </c>
      <c r="AO46" s="183">
        <f t="shared" si="42"/>
        <v>4.7843003412969286E-2</v>
      </c>
      <c r="AP46" s="341">
        <f>38613.79/AN46</f>
        <v>0.45909770770913588</v>
      </c>
    </row>
    <row r="47" spans="1:42" ht="15">
      <c r="A47" s="176" t="s">
        <v>407</v>
      </c>
      <c r="B47" s="344">
        <v>5.7000000000000002E-2</v>
      </c>
      <c r="C47" s="345">
        <v>1.2E-2</v>
      </c>
      <c r="D47" s="307">
        <f t="shared" si="38"/>
        <v>6.8400000000000004E-4</v>
      </c>
      <c r="E47" s="345">
        <v>8.9999999999999993E-3</v>
      </c>
      <c r="F47" s="307">
        <f t="shared" si="43"/>
        <v>5.13E-4</v>
      </c>
      <c r="G47" s="345">
        <v>4.0000000000000001E-3</v>
      </c>
      <c r="H47" s="311">
        <f t="shared" si="44"/>
        <v>2.2800000000000001E-4</v>
      </c>
      <c r="I47" s="62"/>
      <c r="J47" s="65"/>
      <c r="K47" s="65"/>
      <c r="L47" s="65"/>
      <c r="M47" s="65"/>
      <c r="N47" s="65"/>
      <c r="O47" s="65"/>
      <c r="P47" s="65"/>
      <c r="V47" s="312">
        <f t="shared" si="45"/>
        <v>57</v>
      </c>
      <c r="W47" s="256" t="s">
        <v>12</v>
      </c>
      <c r="X47" s="255" t="s">
        <v>157</v>
      </c>
      <c r="AJ47" s="56">
        <f t="shared" si="39"/>
        <v>12</v>
      </c>
      <c r="AK47" s="56">
        <f t="shared" si="40"/>
        <v>9</v>
      </c>
      <c r="AL47" s="56">
        <f t="shared" si="46"/>
        <v>4</v>
      </c>
      <c r="AM47" s="26">
        <f t="shared" si="41"/>
        <v>2754000</v>
      </c>
      <c r="AN47" s="26">
        <v>47388</v>
      </c>
      <c r="AO47" s="183">
        <f t="shared" si="42"/>
        <v>1.7206971677559912E-2</v>
      </c>
      <c r="AP47" s="341">
        <f>2705.86/AN47</f>
        <v>5.710010973242171E-2</v>
      </c>
    </row>
    <row r="48" spans="1:42" ht="15">
      <c r="A48" s="176" t="s">
        <v>408</v>
      </c>
      <c r="B48" s="489">
        <v>5.1499999999999997E-2</v>
      </c>
      <c r="C48" s="345">
        <v>0</v>
      </c>
      <c r="D48" s="307">
        <f t="shared" si="38"/>
        <v>0</v>
      </c>
      <c r="E48" s="345">
        <v>0.27800000000000002</v>
      </c>
      <c r="F48" s="446">
        <f>B48*E48</f>
        <v>1.4317E-2</v>
      </c>
      <c r="G48" s="345">
        <v>0.215</v>
      </c>
      <c r="H48" s="311">
        <f t="shared" si="44"/>
        <v>1.1072499999999999E-2</v>
      </c>
      <c r="I48" s="62"/>
      <c r="J48" s="65"/>
      <c r="K48" s="65"/>
      <c r="L48" s="65"/>
      <c r="M48" s="65"/>
      <c r="N48" s="65"/>
      <c r="O48" s="65"/>
      <c r="P48" s="65"/>
      <c r="V48" s="312">
        <f t="shared" si="45"/>
        <v>51.5</v>
      </c>
      <c r="W48" s="256" t="s">
        <v>12</v>
      </c>
      <c r="X48" s="255" t="s">
        <v>231</v>
      </c>
      <c r="AJ48" s="56">
        <f t="shared" si="39"/>
        <v>0</v>
      </c>
      <c r="AK48" s="56">
        <f t="shared" si="40"/>
        <v>278</v>
      </c>
      <c r="AL48" s="56">
        <f t="shared" si="46"/>
        <v>215</v>
      </c>
      <c r="AM48" s="26">
        <f t="shared" si="41"/>
        <v>18348000</v>
      </c>
      <c r="AN48" s="26">
        <v>560786</v>
      </c>
      <c r="AO48" s="183">
        <f t="shared" si="42"/>
        <v>3.056387617178984E-2</v>
      </c>
      <c r="AP48" s="341">
        <f>49077.4/AN48</f>
        <v>8.7515380198507103E-2</v>
      </c>
    </row>
    <row r="49" spans="1:42" ht="15">
      <c r="A49" s="176" t="s">
        <v>409</v>
      </c>
      <c r="B49" s="489">
        <v>4.2598000000000003</v>
      </c>
      <c r="C49" s="345">
        <v>0</v>
      </c>
      <c r="D49" s="307">
        <f t="shared" si="38"/>
        <v>0</v>
      </c>
      <c r="E49" s="345">
        <v>1.0999999999999999E-2</v>
      </c>
      <c r="F49" s="446">
        <f>B49*E49</f>
        <v>4.6857799999999998E-2</v>
      </c>
      <c r="G49" s="345">
        <v>1.2E-2</v>
      </c>
      <c r="H49" s="311">
        <f t="shared" si="44"/>
        <v>5.1117600000000006E-2</v>
      </c>
      <c r="I49" s="62"/>
      <c r="J49" s="65"/>
      <c r="K49" s="65"/>
      <c r="L49" s="65"/>
      <c r="M49" s="65"/>
      <c r="N49" s="65"/>
      <c r="O49" s="65"/>
      <c r="P49" s="65"/>
      <c r="V49" s="312">
        <f t="shared" si="45"/>
        <v>4259.8</v>
      </c>
      <c r="W49" s="256" t="s">
        <v>12</v>
      </c>
      <c r="X49" s="255" t="s">
        <v>232</v>
      </c>
      <c r="AJ49" s="56">
        <f t="shared" si="39"/>
        <v>0</v>
      </c>
      <c r="AK49" s="56">
        <f t="shared" si="40"/>
        <v>11</v>
      </c>
      <c r="AL49" s="56">
        <f t="shared" si="46"/>
        <v>12</v>
      </c>
      <c r="AM49" s="26">
        <f t="shared" si="41"/>
        <v>726000</v>
      </c>
      <c r="AN49" s="26">
        <v>208883</v>
      </c>
      <c r="AO49" s="183">
        <f t="shared" si="42"/>
        <v>0.28771763085399449</v>
      </c>
      <c r="AP49" s="341">
        <f>1269211.15/AN49</f>
        <v>6.0761821210917111</v>
      </c>
    </row>
    <row r="50" spans="1:42">
      <c r="A50" s="63"/>
      <c r="B50" s="67"/>
      <c r="C50" s="51"/>
      <c r="D50" s="68"/>
      <c r="E50" s="51"/>
      <c r="F50" s="68"/>
      <c r="G50" s="51"/>
      <c r="H50" s="98"/>
      <c r="I50" s="62"/>
      <c r="J50" s="65"/>
      <c r="K50" s="65"/>
      <c r="L50" s="65"/>
      <c r="M50" s="65"/>
      <c r="N50" s="65"/>
      <c r="O50" s="65"/>
      <c r="P50" s="65"/>
      <c r="X50" s="156"/>
      <c r="AL50" s="157"/>
    </row>
    <row r="51" spans="1:42" ht="15">
      <c r="A51" s="63" t="s">
        <v>42</v>
      </c>
      <c r="C51" s="69"/>
      <c r="D51" s="199" t="s">
        <v>43</v>
      </c>
      <c r="F51" s="199" t="s">
        <v>43</v>
      </c>
      <c r="H51" s="283" t="s">
        <v>43</v>
      </c>
    </row>
    <row r="52" spans="1:42">
      <c r="A52" s="63" t="s">
        <v>284</v>
      </c>
      <c r="C52" s="69"/>
      <c r="D52" s="64" t="e">
        <f>D43+D44</f>
        <v>#REF!</v>
      </c>
      <c r="F52" s="64" t="e">
        <f>F43+F44</f>
        <v>#REF!</v>
      </c>
      <c r="H52" s="189" t="e">
        <f>H43+H44</f>
        <v>#REF!</v>
      </c>
    </row>
    <row r="53" spans="1:42" ht="15">
      <c r="A53" s="63" t="s">
        <v>44</v>
      </c>
      <c r="C53" s="69"/>
      <c r="D53" s="70">
        <f>SUM(D45:D49)</f>
        <v>1.8501699999999999E-2</v>
      </c>
      <c r="F53" s="70">
        <f>SUM(F45:F49)</f>
        <v>6.76678E-2</v>
      </c>
      <c r="H53" s="310">
        <f>SUM(H45:H49)</f>
        <v>7.1618100000000004E-2</v>
      </c>
    </row>
    <row r="54" spans="1:42" ht="15">
      <c r="A54" s="63" t="s">
        <v>45</v>
      </c>
      <c r="C54" s="51"/>
      <c r="D54" s="339" t="e">
        <f>SUM(D52:D53)</f>
        <v>#REF!</v>
      </c>
      <c r="F54" s="339" t="e">
        <f>SUM(F52:F53)</f>
        <v>#REF!</v>
      </c>
      <c r="H54" s="340" t="e">
        <f>SUM(H52:H53)</f>
        <v>#REF!</v>
      </c>
    </row>
    <row r="55" spans="1:42">
      <c r="A55" s="71"/>
      <c r="B55" s="72"/>
      <c r="C55" s="72"/>
      <c r="D55" s="72"/>
      <c r="E55" s="73"/>
      <c r="F55" s="74"/>
      <c r="G55" s="72"/>
      <c r="H55" s="75"/>
      <c r="W55" s="69"/>
    </row>
    <row r="56" spans="1:42">
      <c r="A56" s="39"/>
      <c r="E56" s="51"/>
      <c r="F56" s="76"/>
      <c r="W56" s="69"/>
    </row>
    <row r="57" spans="1:42" ht="13.5" thickBot="1">
      <c r="F57" s="39"/>
      <c r="G57" s="39"/>
    </row>
    <row r="58" spans="1:42" ht="14.65" customHeight="1">
      <c r="A58" s="82" t="s">
        <v>269</v>
      </c>
      <c r="B58" s="1020" t="s">
        <v>18</v>
      </c>
      <c r="C58" s="1020"/>
      <c r="D58" s="1020"/>
      <c r="E58" s="93"/>
      <c r="F58" s="1020" t="s">
        <v>46</v>
      </c>
      <c r="G58" s="1020"/>
      <c r="H58" s="1021"/>
      <c r="AA58" s="1014" t="s">
        <v>253</v>
      </c>
      <c r="AB58" s="1015"/>
      <c r="AC58" s="1015"/>
      <c r="AD58" s="1015"/>
      <c r="AE58" s="1015"/>
      <c r="AF58" s="1015"/>
      <c r="AG58" s="1015"/>
      <c r="AH58" s="1015"/>
      <c r="AI58" s="1015"/>
      <c r="AJ58" s="1015"/>
      <c r="AK58" s="1016"/>
    </row>
    <row r="59" spans="1:42" ht="14.65" customHeight="1">
      <c r="A59" s="43"/>
      <c r="B59" s="199" t="s">
        <v>159</v>
      </c>
      <c r="C59" s="199" t="s">
        <v>109</v>
      </c>
      <c r="D59" s="199" t="s">
        <v>107</v>
      </c>
      <c r="E59" s="26"/>
      <c r="F59" s="199" t="s">
        <v>159</v>
      </c>
      <c r="G59" s="199" t="s">
        <v>109</v>
      </c>
      <c r="H59" s="283" t="s">
        <v>107</v>
      </c>
      <c r="R59" s="240"/>
      <c r="S59" s="240"/>
      <c r="T59" s="261">
        <f>$T$14*$Z59</f>
        <v>3406628.3</v>
      </c>
      <c r="U59" s="250"/>
      <c r="V59" s="250"/>
      <c r="W59" s="256"/>
      <c r="X59" s="20" t="s">
        <v>79</v>
      </c>
      <c r="Y59" s="128" t="s">
        <v>80</v>
      </c>
      <c r="Z59" s="206">
        <f>100%-D62</f>
        <v>0.85</v>
      </c>
      <c r="AA59" s="274"/>
      <c r="AB59" s="261"/>
      <c r="AC59" s="261"/>
      <c r="AD59" s="261" t="s">
        <v>159</v>
      </c>
      <c r="AE59" s="278">
        <f>($B$66+$B$68+$B$70+$B$73-$B$75)/$B$25*$B$24</f>
        <v>51423.695121951219</v>
      </c>
      <c r="AF59" s="278">
        <f>($B$66+$B$68+$B$70+$B$73-$B$75)/$B$25*($E$24+$H$24)</f>
        <v>18855.35487804878</v>
      </c>
      <c r="AG59" s="278"/>
      <c r="AH59" s="278">
        <f>SUM(AE59:AF59)</f>
        <v>70279.05</v>
      </c>
      <c r="AI59" s="25"/>
      <c r="AJ59" s="24"/>
      <c r="AK59" s="270"/>
      <c r="AL59" s="131"/>
    </row>
    <row r="60" spans="1:42" ht="14.65" customHeight="1">
      <c r="A60" s="48" t="s">
        <v>191</v>
      </c>
      <c r="B60" s="346">
        <f>'17 Std'!O9</f>
        <v>33</v>
      </c>
      <c r="C60" s="346">
        <f>'17 Std'!P9</f>
        <v>20</v>
      </c>
      <c r="D60" s="78">
        <f>SUM(B60:C60)</f>
        <v>53</v>
      </c>
      <c r="F60" s="346">
        <f>'17 Std'!Q9</f>
        <v>12</v>
      </c>
      <c r="G60" s="346">
        <f>'17 Std'!R9</f>
        <v>4</v>
      </c>
      <c r="H60" s="79">
        <f>SUM(F60:G60)</f>
        <v>16</v>
      </c>
      <c r="R60" s="269"/>
      <c r="S60" s="269"/>
      <c r="T60" s="262">
        <f>$T$14*$Z60</f>
        <v>601169.69999999995</v>
      </c>
      <c r="U60" s="250"/>
      <c r="V60" s="250"/>
      <c r="W60" s="256"/>
      <c r="X60" s="20" t="s">
        <v>81</v>
      </c>
      <c r="Y60" s="128" t="s">
        <v>82</v>
      </c>
      <c r="Z60" s="138">
        <f>D62</f>
        <v>0.15</v>
      </c>
      <c r="AA60" s="274"/>
      <c r="AB60" s="261"/>
      <c r="AC60" s="261"/>
      <c r="AD60" s="261" t="s">
        <v>109</v>
      </c>
      <c r="AE60" s="279">
        <v>0</v>
      </c>
      <c r="AF60" s="279">
        <f>($B$67+$B$69+$B$71)/$E$24*($E$24+$H$24)</f>
        <v>50232</v>
      </c>
      <c r="AG60" s="279"/>
      <c r="AH60" s="279">
        <f>SUM(AE60:AF60)</f>
        <v>50232</v>
      </c>
      <c r="AI60" s="25"/>
      <c r="AJ60" s="24"/>
      <c r="AK60" s="270"/>
      <c r="AL60" s="131"/>
    </row>
    <row r="61" spans="1:42" ht="14.65" customHeight="1" thickBot="1">
      <c r="A61" s="48" t="s">
        <v>192</v>
      </c>
      <c r="B61" s="347">
        <f>28.16*(1+$F$148)</f>
        <v>28.723200000000002</v>
      </c>
      <c r="C61" s="347">
        <f>30.44*(1+$F$148)</f>
        <v>31.048800000000004</v>
      </c>
      <c r="D61" s="80">
        <f>($B$60*B61+$C$60*C61)/$D$60</f>
        <v>29.60078490566038</v>
      </c>
      <c r="E61" s="26"/>
      <c r="F61" s="347">
        <f>32.42*(1+$F$148)</f>
        <v>33.068400000000004</v>
      </c>
      <c r="G61" s="347">
        <f>32.42*(1+$F$148)</f>
        <v>33.068400000000004</v>
      </c>
      <c r="H61" s="81">
        <f>($F$60*F61+$G$60*G61)/$H$60</f>
        <v>33.068400000000004</v>
      </c>
      <c r="R61" s="235"/>
      <c r="S61" s="235"/>
      <c r="T61" s="24">
        <f>SUM(T59:T60)</f>
        <v>4007798</v>
      </c>
      <c r="U61" s="268"/>
      <c r="V61" s="268"/>
      <c r="W61" s="256" t="s">
        <v>19</v>
      </c>
      <c r="X61" s="130" t="s">
        <v>20</v>
      </c>
      <c r="Y61" s="257" t="s">
        <v>107</v>
      </c>
      <c r="Z61" s="138"/>
      <c r="AA61" s="271">
        <f>$AI$61*AJ61*$B$24</f>
        <v>1657320.6989883576</v>
      </c>
      <c r="AB61" s="272">
        <f>$AI$61*AK61*($E$24+$H$24)</f>
        <v>2226598.1276959609</v>
      </c>
      <c r="AC61" s="272"/>
      <c r="AD61" s="273">
        <f>SUM(AA61:AB61)</f>
        <v>3883918.8266843185</v>
      </c>
      <c r="AE61" s="280">
        <f>SUM(AE59:AE60)</f>
        <v>51423.695121951219</v>
      </c>
      <c r="AF61" s="280">
        <f>SUM(AF59:AF60)</f>
        <v>69087.354878048776</v>
      </c>
      <c r="AG61" s="280"/>
      <c r="AH61" s="280">
        <f>SUM(AH59:AH60)</f>
        <v>120511.05</v>
      </c>
      <c r="AI61" s="277">
        <f>$AI$14</f>
        <v>32.228736092535236</v>
      </c>
      <c r="AJ61" s="275">
        <f>AE61/$B$24</f>
        <v>0.28568719512195123</v>
      </c>
      <c r="AK61" s="276">
        <f>AF61/($E$24+$H$24)</f>
        <v>1.0467781042128603</v>
      </c>
      <c r="AL61" s="131"/>
    </row>
    <row r="62" spans="1:42" ht="14.65" customHeight="1">
      <c r="A62" s="48" t="s">
        <v>193</v>
      </c>
      <c r="B62" s="343">
        <v>0.15</v>
      </c>
      <c r="C62" s="343">
        <v>0.15</v>
      </c>
      <c r="D62" s="203">
        <f>($B$60*B62+$C$60*C62)/$D$60</f>
        <v>0.15</v>
      </c>
      <c r="E62" s="26"/>
      <c r="F62" s="343">
        <v>0.12</v>
      </c>
      <c r="G62" s="343">
        <v>0.16</v>
      </c>
      <c r="H62" s="211">
        <f>($F$60*F62+$G$60*G62)/$H$60</f>
        <v>0.13</v>
      </c>
      <c r="AA62" s="1014" t="s">
        <v>254</v>
      </c>
      <c r="AB62" s="1015"/>
      <c r="AC62" s="1015"/>
      <c r="AD62" s="1015"/>
      <c r="AE62" s="1015"/>
      <c r="AF62" s="1015"/>
      <c r="AG62" s="1015"/>
      <c r="AH62" s="1015"/>
      <c r="AI62" s="1015"/>
      <c r="AJ62" s="1015"/>
      <c r="AK62" s="1016"/>
    </row>
    <row r="63" spans="1:42" ht="14.65" customHeight="1">
      <c r="A63" s="43"/>
      <c r="H63" s="45"/>
      <c r="R63" s="240"/>
      <c r="S63" s="240"/>
      <c r="T63" s="261">
        <f>$T$15*$Z63</f>
        <v>1201359.51</v>
      </c>
      <c r="U63" s="250"/>
      <c r="V63" s="250"/>
      <c r="W63" s="256"/>
      <c r="X63" s="20" t="s">
        <v>83</v>
      </c>
      <c r="Y63" s="128" t="s">
        <v>84</v>
      </c>
      <c r="Z63" s="138">
        <f>100%-H62</f>
        <v>0.87</v>
      </c>
      <c r="AA63" s="274"/>
      <c r="AB63" s="261"/>
      <c r="AC63" s="261"/>
      <c r="AD63" s="261" t="s">
        <v>159</v>
      </c>
      <c r="AE63" s="278">
        <f>($F$66+$F$68+$F$70+$F$73-$F$75)/$B$25*$B$24</f>
        <v>21477.775609756096</v>
      </c>
      <c r="AF63" s="278">
        <f>($F$66+$F$68+$F$70+$F$73-$F$75)/$B$25*($E$24+$H$24)</f>
        <v>7875.1843902439023</v>
      </c>
      <c r="AG63" s="278"/>
      <c r="AH63" s="278">
        <f>SUM(AE63:AF63)</f>
        <v>29352.959999999999</v>
      </c>
      <c r="AI63" s="25"/>
      <c r="AJ63" s="24"/>
      <c r="AK63" s="270"/>
      <c r="AL63" s="131"/>
    </row>
    <row r="64" spans="1:42" ht="14.65" customHeight="1">
      <c r="A64" s="48"/>
      <c r="B64" s="1017" t="s">
        <v>18</v>
      </c>
      <c r="C64" s="1017"/>
      <c r="D64" s="1017"/>
      <c r="F64" s="1017" t="s">
        <v>47</v>
      </c>
      <c r="G64" s="1017"/>
      <c r="H64" s="1018"/>
      <c r="R64" s="269"/>
      <c r="S64" s="269"/>
      <c r="T64" s="262">
        <f>$T$15*$Z64</f>
        <v>179513.49000000002</v>
      </c>
      <c r="U64" s="250"/>
      <c r="V64" s="250"/>
      <c r="W64" s="256"/>
      <c r="X64" s="20" t="s">
        <v>85</v>
      </c>
      <c r="Y64" s="128" t="s">
        <v>86</v>
      </c>
      <c r="Z64" s="138">
        <f>H62</f>
        <v>0.13</v>
      </c>
      <c r="AA64" s="274"/>
      <c r="AB64" s="261"/>
      <c r="AC64" s="261"/>
      <c r="AD64" s="261" t="s">
        <v>109</v>
      </c>
      <c r="AE64" s="279">
        <v>0</v>
      </c>
      <c r="AF64" s="279">
        <f>($F$67+$F$69+$F$71)/$E$24*($E$24+$H$24)</f>
        <v>10133.76</v>
      </c>
      <c r="AG64" s="279"/>
      <c r="AH64" s="279">
        <f>SUM(AE64:AF64)</f>
        <v>10133.76</v>
      </c>
      <c r="AI64" s="25"/>
      <c r="AJ64" s="24"/>
      <c r="AK64" s="270"/>
      <c r="AL64" s="131"/>
    </row>
    <row r="65" spans="1:37" ht="14.65" customHeight="1" thickBot="1">
      <c r="A65" s="48"/>
      <c r="B65" s="83" t="s">
        <v>48</v>
      </c>
      <c r="C65" s="83" t="s">
        <v>49</v>
      </c>
      <c r="D65" s="84" t="s">
        <v>50</v>
      </c>
      <c r="E65" s="52"/>
      <c r="F65" s="83" t="s">
        <v>48</v>
      </c>
      <c r="G65" s="83" t="s">
        <v>49</v>
      </c>
      <c r="H65" s="85" t="s">
        <v>50</v>
      </c>
      <c r="I65" s="52"/>
      <c r="R65" s="235"/>
      <c r="S65" s="235"/>
      <c r="T65" s="24">
        <f>SUM(T63:T64)</f>
        <v>1380873</v>
      </c>
      <c r="U65" s="268"/>
      <c r="V65" s="268"/>
      <c r="W65" s="256" t="s">
        <v>19</v>
      </c>
      <c r="X65" s="130" t="s">
        <v>22</v>
      </c>
      <c r="Y65" s="257" t="s">
        <v>107</v>
      </c>
      <c r="Z65" s="138"/>
      <c r="AA65" s="271">
        <f>$AI$65*AJ65*$B$24</f>
        <v>751089.93946329376</v>
      </c>
      <c r="AB65" s="272">
        <f>$AI$65*AK65*($E$24+$H$24)</f>
        <v>629782.95320870623</v>
      </c>
      <c r="AC65" s="272"/>
      <c r="AD65" s="273">
        <f>SUM(AA65:AB65)</f>
        <v>1380872.892672</v>
      </c>
      <c r="AE65" s="280">
        <f>SUM(AE63:AE64)</f>
        <v>21477.775609756096</v>
      </c>
      <c r="AF65" s="280">
        <f>SUM(AF63:AF64)</f>
        <v>18008.944390243902</v>
      </c>
      <c r="AG65" s="280"/>
      <c r="AH65" s="280">
        <f>SUM(AH63:AH64)</f>
        <v>39486.720000000001</v>
      </c>
      <c r="AI65" s="277">
        <f>$AI$15</f>
        <v>34.970564601769915</v>
      </c>
      <c r="AJ65" s="275">
        <f>AE65/$B$24</f>
        <v>0.11932097560975609</v>
      </c>
      <c r="AK65" s="276">
        <f>AF65/($E$24+$H$24)</f>
        <v>0.27286279379157424</v>
      </c>
    </row>
    <row r="66" spans="1:37" ht="14.65" customHeight="1">
      <c r="A66" s="48" t="s">
        <v>195</v>
      </c>
      <c r="B66" s="49">
        <f>$D$148*$D$149*B$60</f>
        <v>72072</v>
      </c>
      <c r="C66" s="86">
        <f>B$61</f>
        <v>28.723200000000002</v>
      </c>
      <c r="D66" s="87">
        <f>B66*C66</f>
        <v>2070138.4704000002</v>
      </c>
      <c r="F66" s="49">
        <f>$D$148*$D$149*F$60</f>
        <v>26208</v>
      </c>
      <c r="G66" s="86">
        <f>F$61</f>
        <v>33.068400000000004</v>
      </c>
      <c r="H66" s="88">
        <f>F66*G66</f>
        <v>866656.6272000001</v>
      </c>
      <c r="I66" s="26"/>
      <c r="R66"/>
      <c r="S66"/>
      <c r="T66"/>
      <c r="U66" s="131"/>
      <c r="V66" s="131"/>
      <c r="W66" s="146"/>
      <c r="X66" s="131"/>
      <c r="Y66" s="132"/>
      <c r="Z66"/>
      <c r="AA66" s="260" t="s">
        <v>398</v>
      </c>
      <c r="AB66" s="131"/>
      <c r="AC66" s="131"/>
      <c r="AD66" s="131"/>
      <c r="AE66" s="162"/>
    </row>
    <row r="67" spans="1:37" ht="14.65" customHeight="1">
      <c r="A67" s="48" t="s">
        <v>196</v>
      </c>
      <c r="B67" s="49">
        <f>$D$148*$D$149*C$60</f>
        <v>43680</v>
      </c>
      <c r="C67" s="205">
        <f>C$61</f>
        <v>31.048800000000004</v>
      </c>
      <c r="D67" s="78">
        <f>B67*C67</f>
        <v>1356211.5840000003</v>
      </c>
      <c r="F67" s="49">
        <f>$D$148*$D$149*G$60</f>
        <v>8736</v>
      </c>
      <c r="G67" s="205">
        <f>G$61</f>
        <v>33.068400000000004</v>
      </c>
      <c r="H67" s="79">
        <f>F67*G67</f>
        <v>288885.54240000003</v>
      </c>
      <c r="I67" s="26"/>
      <c r="R67" s="240"/>
      <c r="S67" s="240"/>
      <c r="T67" s="261">
        <f t="shared" ref="T67:T72" si="47">$T$16*$Z67</f>
        <v>215080.25097696795</v>
      </c>
      <c r="U67" s="250"/>
      <c r="V67" s="250"/>
      <c r="W67" s="159"/>
      <c r="X67" s="20" t="s">
        <v>87</v>
      </c>
      <c r="Y67" s="128" t="s">
        <v>88</v>
      </c>
      <c r="Z67" s="138">
        <f t="shared" ref="Z67:Z72" si="48">AA67/$AA$73</f>
        <v>8.8696471435533455E-2</v>
      </c>
      <c r="AA67" s="143">
        <v>113854.1</v>
      </c>
      <c r="AB67" s="133"/>
      <c r="AC67" s="133"/>
      <c r="AD67" s="133"/>
      <c r="AE67" s="143"/>
      <c r="AI67" s="240"/>
      <c r="AJ67" s="240"/>
    </row>
    <row r="68" spans="1:37" ht="14.65" customHeight="1">
      <c r="A68" s="48" t="s">
        <v>197</v>
      </c>
      <c r="B68" s="49">
        <f>B66*B62</f>
        <v>10810.8</v>
      </c>
      <c r="C68" s="89">
        <f>B61*D150</f>
        <v>43.084800000000001</v>
      </c>
      <c r="D68" s="78">
        <f>B68*C68</f>
        <v>465781.15583999996</v>
      </c>
      <c r="F68" s="49">
        <f>F66*F62</f>
        <v>3144.96</v>
      </c>
      <c r="G68" s="89">
        <f>F61*D150</f>
        <v>49.60260000000001</v>
      </c>
      <c r="H68" s="79">
        <f>F68*G68</f>
        <v>155998.19289600002</v>
      </c>
      <c r="I68" s="26"/>
      <c r="R68" s="240"/>
      <c r="S68" s="240"/>
      <c r="T68" s="261">
        <f t="shared" si="47"/>
        <v>201675.99165525968</v>
      </c>
      <c r="U68" s="250"/>
      <c r="V68" s="250"/>
      <c r="W68" s="159"/>
      <c r="X68" s="20" t="s">
        <v>89</v>
      </c>
      <c r="Y68" s="128" t="s">
        <v>90</v>
      </c>
      <c r="Z68" s="138">
        <f t="shared" si="48"/>
        <v>8.3168718428728125E-2</v>
      </c>
      <c r="AA68" s="143">
        <v>106758.47</v>
      </c>
      <c r="AB68" s="133"/>
      <c r="AC68" s="133"/>
      <c r="AD68" s="133"/>
      <c r="AE68" s="143"/>
      <c r="AI68" s="240"/>
      <c r="AJ68" s="240"/>
    </row>
    <row r="69" spans="1:37" ht="14.65" customHeight="1">
      <c r="A69" s="48" t="s">
        <v>198</v>
      </c>
      <c r="B69" s="49">
        <f>B67*C62</f>
        <v>6552</v>
      </c>
      <c r="C69" s="89">
        <f>C61*D150</f>
        <v>46.573200000000007</v>
      </c>
      <c r="D69" s="78">
        <f>B69*C69</f>
        <v>305147.60640000005</v>
      </c>
      <c r="F69" s="49">
        <f>F67*G62</f>
        <v>1397.76</v>
      </c>
      <c r="G69" s="89">
        <f>G61*D150</f>
        <v>49.60260000000001</v>
      </c>
      <c r="H69" s="79">
        <f>F69*G69</f>
        <v>69332.530176000015</v>
      </c>
      <c r="I69" s="26"/>
      <c r="R69" s="240"/>
      <c r="S69" s="240"/>
      <c r="T69" s="261">
        <f t="shared" si="47"/>
        <v>200153.63346302236</v>
      </c>
      <c r="U69" s="250"/>
      <c r="V69" s="250"/>
      <c r="W69" s="159"/>
      <c r="X69" s="20" t="s">
        <v>91</v>
      </c>
      <c r="Y69" s="128" t="s">
        <v>92</v>
      </c>
      <c r="Z69" s="138">
        <f t="shared" si="48"/>
        <v>8.2540916483644436E-2</v>
      </c>
      <c r="AA69" s="143">
        <v>105952.6</v>
      </c>
      <c r="AB69" s="133"/>
      <c r="AC69" s="133"/>
      <c r="AD69" s="133"/>
      <c r="AE69" s="143"/>
      <c r="AI69" s="240"/>
      <c r="AJ69" s="240"/>
    </row>
    <row r="70" spans="1:37" ht="14.65" customHeight="1">
      <c r="A70" s="48" t="s">
        <v>199</v>
      </c>
      <c r="B70" s="49">
        <v>0</v>
      </c>
      <c r="C70" s="90"/>
      <c r="D70" s="78">
        <f>96*(34.91*1.03)*12*1.5</f>
        <v>62134.21439999999</v>
      </c>
      <c r="F70" s="49">
        <v>0</v>
      </c>
      <c r="G70" s="89"/>
      <c r="H70" s="79">
        <v>0</v>
      </c>
      <c r="I70" s="26"/>
      <c r="R70" s="240"/>
      <c r="S70" s="240"/>
      <c r="T70" s="261">
        <f t="shared" si="47"/>
        <v>1209891.5049458479</v>
      </c>
      <c r="U70" s="250"/>
      <c r="V70" s="250"/>
      <c r="W70" s="159"/>
      <c r="X70" s="20" t="s">
        <v>93</v>
      </c>
      <c r="Y70" s="128" t="s">
        <v>94</v>
      </c>
      <c r="Z70" s="138">
        <f t="shared" si="48"/>
        <v>0.49894449546655822</v>
      </c>
      <c r="AA70" s="143">
        <v>640463.77</v>
      </c>
      <c r="AB70" s="133"/>
      <c r="AC70" s="133"/>
      <c r="AD70" s="133"/>
      <c r="AE70" s="143"/>
      <c r="AI70" s="240"/>
      <c r="AJ70" s="240"/>
    </row>
    <row r="71" spans="1:37" ht="14.65" customHeight="1">
      <c r="A71" s="48" t="s">
        <v>200</v>
      </c>
      <c r="B71" s="170">
        <v>0</v>
      </c>
      <c r="C71" s="177"/>
      <c r="D71" s="178">
        <v>0</v>
      </c>
      <c r="E71" s="163"/>
      <c r="F71" s="170">
        <v>0</v>
      </c>
      <c r="G71" s="177"/>
      <c r="H71" s="194">
        <v>0</v>
      </c>
      <c r="I71" s="26"/>
      <c r="R71" s="240"/>
      <c r="S71" s="240"/>
      <c r="T71" s="261">
        <f t="shared" si="47"/>
        <v>553380.34820740751</v>
      </c>
      <c r="U71" s="250"/>
      <c r="V71" s="250"/>
      <c r="W71" s="159"/>
      <c r="X71" s="20" t="s">
        <v>95</v>
      </c>
      <c r="Y71" s="128" t="s">
        <v>96</v>
      </c>
      <c r="Z71" s="138">
        <f t="shared" si="48"/>
        <v>0.22820730413328355</v>
      </c>
      <c r="AA71" s="143">
        <v>292935.40999999997</v>
      </c>
      <c r="AB71" s="133"/>
      <c r="AC71" s="133"/>
      <c r="AD71" s="133"/>
      <c r="AE71" s="143"/>
      <c r="AI71" s="240"/>
      <c r="AJ71" s="240"/>
    </row>
    <row r="72" spans="1:37" ht="14.65" customHeight="1">
      <c r="A72" s="176" t="s">
        <v>161</v>
      </c>
      <c r="B72" s="49">
        <f>SUM(B66:B71)</f>
        <v>133114.79999999999</v>
      </c>
      <c r="C72" s="80">
        <f>D72/B72</f>
        <v>31.998042524497659</v>
      </c>
      <c r="D72" s="167">
        <f>SUM(D66:D71)</f>
        <v>4259413.0310400007</v>
      </c>
      <c r="E72" s="163"/>
      <c r="F72" s="49">
        <f>SUM(F66:F71)</f>
        <v>39486.720000000001</v>
      </c>
      <c r="G72" s="80">
        <f>H72/F72</f>
        <v>34.970564601769915</v>
      </c>
      <c r="H72" s="91">
        <f>SUM(H66:H71)</f>
        <v>1380872.8926720002</v>
      </c>
      <c r="I72" s="26"/>
      <c r="R72" s="269"/>
      <c r="S72" s="269"/>
      <c r="T72" s="262">
        <f t="shared" si="47"/>
        <v>44720.270751494434</v>
      </c>
      <c r="U72" s="250"/>
      <c r="V72" s="250"/>
      <c r="W72" s="159"/>
      <c r="X72" s="20" t="s">
        <v>97</v>
      </c>
      <c r="Y72" s="128" t="s">
        <v>98</v>
      </c>
      <c r="Z72" s="258">
        <f t="shared" si="48"/>
        <v>1.8442094052252188E-2</v>
      </c>
      <c r="AA72" s="161">
        <v>23672.959999999999</v>
      </c>
      <c r="AB72" s="133"/>
      <c r="AC72" s="133"/>
      <c r="AD72" s="133"/>
      <c r="AE72" s="161"/>
      <c r="AI72" s="240"/>
      <c r="AJ72" s="240"/>
    </row>
    <row r="73" spans="1:37" ht="14.65" customHeight="1">
      <c r="A73" s="176" t="s">
        <v>217</v>
      </c>
      <c r="B73" s="170">
        <f>-H82</f>
        <v>-8760</v>
      </c>
      <c r="C73" s="209">
        <f>D73/B73</f>
        <v>28.723173515981735</v>
      </c>
      <c r="D73" s="179">
        <f>ROUND(B73*B61,0)</f>
        <v>-251615</v>
      </c>
      <c r="E73" s="163"/>
      <c r="F73" s="170">
        <v>0</v>
      </c>
      <c r="G73" s="210"/>
      <c r="H73" s="195">
        <v>0</v>
      </c>
      <c r="I73" s="163"/>
      <c r="R73" s="235"/>
      <c r="S73" s="235"/>
      <c r="T73" s="24">
        <f>SUM(T67:T72)</f>
        <v>2424902</v>
      </c>
      <c r="U73" s="268"/>
      <c r="V73" s="268"/>
      <c r="W73" s="256" t="s">
        <v>19</v>
      </c>
      <c r="X73" s="130" t="s">
        <v>24</v>
      </c>
      <c r="Y73" s="257" t="s">
        <v>107</v>
      </c>
      <c r="Z73" s="138">
        <f>SUM(Z67:Z72)</f>
        <v>0.99999999999999989</v>
      </c>
      <c r="AA73" s="259">
        <f>SUM(AA67:AA72)</f>
        <v>1283637.31</v>
      </c>
      <c r="AB73"/>
      <c r="AC73"/>
      <c r="AD73"/>
      <c r="AE73" s="160"/>
      <c r="AI73" s="241"/>
      <c r="AJ73" s="241"/>
    </row>
    <row r="74" spans="1:37" ht="14.65" customHeight="1">
      <c r="A74" s="176" t="s">
        <v>162</v>
      </c>
      <c r="B74" s="165">
        <f>SUM(B72:B73)</f>
        <v>124354.79999999999</v>
      </c>
      <c r="C74" s="166">
        <f>D74/B74</f>
        <v>32.228736092535236</v>
      </c>
      <c r="D74" s="169">
        <f>SUM(D72:D73)</f>
        <v>4007798.0310400007</v>
      </c>
      <c r="E74" s="163"/>
      <c r="F74" s="165">
        <f>SUM(F72:F73)</f>
        <v>39486.720000000001</v>
      </c>
      <c r="G74" s="196">
        <f>H74/F74</f>
        <v>34.970564601769915</v>
      </c>
      <c r="H74" s="164">
        <f>SUM(H72:H73)</f>
        <v>1380872.8926720002</v>
      </c>
    </row>
    <row r="75" spans="1:37" ht="14.65" customHeight="1">
      <c r="A75" s="141" t="s">
        <v>163</v>
      </c>
      <c r="B75" s="165">
        <f>H83</f>
        <v>3843.75</v>
      </c>
      <c r="C75" s="166"/>
      <c r="D75" s="169">
        <f>B75*C74</f>
        <v>123879.20435568232</v>
      </c>
      <c r="E75" s="163"/>
      <c r="F75" s="165">
        <v>0</v>
      </c>
      <c r="G75" s="40"/>
      <c r="H75" s="164">
        <f>F75*G74</f>
        <v>0</v>
      </c>
    </row>
    <row r="76" spans="1:37" ht="14.65" customHeight="1">
      <c r="A76" s="141" t="s">
        <v>164</v>
      </c>
      <c r="B76" s="165">
        <f>B74-B75</f>
        <v>120511.04999999999</v>
      </c>
      <c r="C76" s="166"/>
      <c r="D76" s="169">
        <f>B76*C74</f>
        <v>3883918.826684318</v>
      </c>
      <c r="E76" s="163"/>
      <c r="F76" s="165">
        <f>F74-F75</f>
        <v>39486.720000000001</v>
      </c>
      <c r="G76" s="196"/>
      <c r="H76" s="197">
        <f>F76*G74</f>
        <v>1380872.8926720002</v>
      </c>
    </row>
    <row r="77" spans="1:37" ht="14.65" customHeight="1" thickBot="1">
      <c r="A77" s="48"/>
      <c r="B77" s="59"/>
      <c r="H77" s="45"/>
    </row>
    <row r="78" spans="1:37" ht="14.65" customHeight="1">
      <c r="A78" s="48" t="str">
        <f>CONCATENATE("Indirect Payroll Cost (IPC) at ",$D$151*100,"% (NIRO)")</f>
        <v>Indirect Payroll Cost (IPC) at 45% (NIRO)</v>
      </c>
      <c r="B78" s="49">
        <f>B66+B68+B70</f>
        <v>82882.8</v>
      </c>
      <c r="C78" s="80">
        <f>D78/B78</f>
        <v>19.658106354167572</v>
      </c>
      <c r="D78" s="204">
        <f>((D66+D68+D70)*$D$151)+((H66+H68+H70)*$D$151)</f>
        <v>1629318.8973312001</v>
      </c>
      <c r="E78" s="1019" t="s">
        <v>300</v>
      </c>
      <c r="F78" s="1019"/>
      <c r="G78" s="1019"/>
      <c r="H78" s="357">
        <f>B61*(1+D151)*H81</f>
        <v>524929.04639999999</v>
      </c>
      <c r="AA78" s="1014" t="s">
        <v>255</v>
      </c>
      <c r="AB78" s="1015"/>
      <c r="AC78" s="1015"/>
      <c r="AD78" s="1015"/>
      <c r="AE78" s="1015"/>
      <c r="AF78" s="1015"/>
      <c r="AG78" s="1015"/>
      <c r="AH78" s="1015"/>
      <c r="AI78" s="1015"/>
      <c r="AJ78" s="1015"/>
      <c r="AK78" s="1016"/>
    </row>
    <row r="79" spans="1:37" ht="14.65" customHeight="1">
      <c r="A79" s="48" t="str">
        <f>CONCATENATE("Indirect Payroll Cost (IPC) at ",$D$151*100,"% (KS)")</f>
        <v>Indirect Payroll Cost (IPC) at 45% (KS)</v>
      </c>
      <c r="B79" s="170">
        <f>B67+B69+B71</f>
        <v>50232</v>
      </c>
      <c r="C79" s="209">
        <f>D79/B79</f>
        <v>18.092247339130434</v>
      </c>
      <c r="D79" s="179">
        <f>((D67+D69+D71)*$D$151)+((H67+H69+H71)*$D$151)</f>
        <v>908809.76833920006</v>
      </c>
      <c r="E79" s="1019" t="s">
        <v>301</v>
      </c>
      <c r="F79" s="1022"/>
      <c r="G79" s="356">
        <v>0.2</v>
      </c>
      <c r="H79" s="292">
        <f>B25*G79*1000</f>
        <v>49200000</v>
      </c>
      <c r="AA79" s="274"/>
      <c r="AB79" s="261"/>
      <c r="AC79" s="261"/>
      <c r="AD79" s="261" t="s">
        <v>159</v>
      </c>
      <c r="AE79" s="278">
        <f>($B$66+$B$68+$B$70+$B$73-$B$75)/$B$25*$B$24</f>
        <v>51423.695121951219</v>
      </c>
      <c r="AF79" s="278">
        <f>($B$66+$B$68+$B$70+$B$73-$B$75)/$B$25*($E$24+$H$24)</f>
        <v>18855.35487804878</v>
      </c>
      <c r="AG79" s="278"/>
      <c r="AH79" s="278">
        <f>SUM(AE79:AF79)</f>
        <v>70279.05</v>
      </c>
      <c r="AI79" s="25"/>
      <c r="AJ79" s="24"/>
      <c r="AK79" s="270"/>
    </row>
    <row r="80" spans="1:37" ht="14.65" customHeight="1">
      <c r="A80" s="176" t="str">
        <f>CONCATENATE("Total IPC at ",$D$151*100,"% (KS)")</f>
        <v>Total IPC at 45% (KS)</v>
      </c>
      <c r="B80" s="49">
        <f>SUM(B78:B79)</f>
        <v>133114.79999999999</v>
      </c>
      <c r="C80" s="80">
        <f>D80/B80</f>
        <v>19.067216159813938</v>
      </c>
      <c r="D80" s="207">
        <f>SUM(D78:D79)</f>
        <v>2538128.6656704</v>
      </c>
      <c r="E80" s="293" t="s">
        <v>158</v>
      </c>
      <c r="F80" s="294" t="s">
        <v>50</v>
      </c>
      <c r="G80" s="294" t="s">
        <v>52</v>
      </c>
      <c r="H80" s="295" t="s">
        <v>53</v>
      </c>
      <c r="AA80" s="274"/>
      <c r="AB80" s="261"/>
      <c r="AC80" s="261"/>
      <c r="AD80" s="261" t="s">
        <v>109</v>
      </c>
      <c r="AE80" s="279">
        <v>0</v>
      </c>
      <c r="AF80" s="279">
        <f>($B$67+$B$69+$B$71)/($E$24+$H$24)*($E$24+$H$24)</f>
        <v>50232</v>
      </c>
      <c r="AG80" s="279"/>
      <c r="AH80" s="279">
        <f>SUM(AE80:AF80)</f>
        <v>50232</v>
      </c>
      <c r="AI80" s="25"/>
      <c r="AJ80" s="24"/>
      <c r="AK80" s="270"/>
    </row>
    <row r="81" spans="1:37" ht="14.65" customHeight="1" thickBot="1">
      <c r="A81" s="176" t="s">
        <v>201</v>
      </c>
      <c r="B81" s="147">
        <f>B73</f>
        <v>-8760</v>
      </c>
      <c r="C81" s="208">
        <f>D81/B81</f>
        <v>12.925456621004566</v>
      </c>
      <c r="D81" s="168">
        <f>ROUND(B81*$B$61*D151,0)</f>
        <v>-113227</v>
      </c>
      <c r="E81" s="298" t="s">
        <v>151</v>
      </c>
      <c r="F81" s="296">
        <f>SUM(F82:F83)</f>
        <v>362020.03200000001</v>
      </c>
      <c r="G81" s="296">
        <f>SUM(G82:G83)</f>
        <v>162909.01440000001</v>
      </c>
      <c r="H81" s="297">
        <f>SUM(H82:H83)</f>
        <v>12603.75</v>
      </c>
      <c r="AA81" s="271">
        <f>$AI$81*AJ81*$B$24</f>
        <v>1002755.0521262254</v>
      </c>
      <c r="AB81" s="272">
        <f>$AI$81*AK81*($E$24+$H$24)</f>
        <v>1347194.0119765585</v>
      </c>
      <c r="AC81" s="272"/>
      <c r="AD81" s="273">
        <f>SUM(AA81:AB81)</f>
        <v>2349949.0641027838</v>
      </c>
      <c r="AE81" s="280">
        <f>SUM(AE79:AE80)</f>
        <v>51423.695121951219</v>
      </c>
      <c r="AF81" s="280">
        <f>SUM(AF79:AF80)</f>
        <v>69087.354878048776</v>
      </c>
      <c r="AG81" s="280"/>
      <c r="AH81" s="280">
        <f>SUM(AH79:AH80)</f>
        <v>120511.05</v>
      </c>
      <c r="AI81" s="277">
        <f>$AI$16</f>
        <v>19.499863822469258</v>
      </c>
      <c r="AJ81" s="275">
        <f>AE81/$B$24</f>
        <v>0.28568719512195123</v>
      </c>
      <c r="AK81" s="276">
        <f>AF81/($E$24+$H$24)</f>
        <v>1.0467781042128603</v>
      </c>
    </row>
    <row r="82" spans="1:37" ht="14.65" customHeight="1">
      <c r="A82" s="176" t="s">
        <v>165</v>
      </c>
      <c r="B82" s="165">
        <f>SUM(B80:B81)</f>
        <v>124354.79999999999</v>
      </c>
      <c r="C82" s="166">
        <f>D82/B82</f>
        <v>19.499863822469258</v>
      </c>
      <c r="D82" s="169">
        <f>SUM(D80:D81)</f>
        <v>2424901.6656704</v>
      </c>
      <c r="E82" s="298" t="s">
        <v>54</v>
      </c>
      <c r="F82" s="296">
        <f>$H82*$B$61</f>
        <v>251615.23200000002</v>
      </c>
      <c r="G82" s="296">
        <f>$H82*$B$61*$D$151</f>
        <v>113226.85440000001</v>
      </c>
      <c r="H82" s="297">
        <f>1*365*24</f>
        <v>8760</v>
      </c>
    </row>
    <row r="83" spans="1:37" ht="14.65" customHeight="1">
      <c r="A83" s="141" t="s">
        <v>166</v>
      </c>
      <c r="B83" s="165">
        <f>H83</f>
        <v>3843.75</v>
      </c>
      <c r="C83" s="166"/>
      <c r="D83" s="169">
        <f>B83*C82</f>
        <v>74952.601567616206</v>
      </c>
      <c r="E83" s="298" t="s">
        <v>55</v>
      </c>
      <c r="F83" s="296">
        <f>$H83*$B$61</f>
        <v>110404.8</v>
      </c>
      <c r="G83" s="296">
        <f>$H83*$B$61*$D$151</f>
        <v>49682.16</v>
      </c>
      <c r="H83" s="297">
        <f>H79/12800</f>
        <v>3843.75</v>
      </c>
    </row>
    <row r="84" spans="1:37" ht="14.65" customHeight="1">
      <c r="A84" s="141" t="s">
        <v>167</v>
      </c>
      <c r="B84" s="165">
        <f>B82-B83</f>
        <v>120511.04999999999</v>
      </c>
      <c r="C84" s="196"/>
      <c r="D84" s="169">
        <f>B84*C82</f>
        <v>2349949.0641027838</v>
      </c>
      <c r="E84" s="26"/>
      <c r="F84" s="26"/>
      <c r="G84" s="26"/>
      <c r="H84" s="77"/>
    </row>
    <row r="85" spans="1:37" ht="14.65" customHeight="1">
      <c r="A85" s="48"/>
      <c r="B85" s="26"/>
      <c r="C85" s="26"/>
      <c r="D85" s="299"/>
      <c r="E85" s="1009" t="s">
        <v>186</v>
      </c>
      <c r="F85" s="1009"/>
      <c r="G85" s="1009" t="s">
        <v>259</v>
      </c>
      <c r="H85" s="1010"/>
    </row>
    <row r="86" spans="1:37" ht="14.65" customHeight="1">
      <c r="A86" s="48"/>
      <c r="B86" s="26"/>
      <c r="C86" s="26"/>
      <c r="D86" s="299"/>
      <c r="E86" s="199" t="s">
        <v>53</v>
      </c>
      <c r="F86" s="199" t="s">
        <v>273</v>
      </c>
      <c r="G86" s="199" t="s">
        <v>53</v>
      </c>
      <c r="H86" s="305" t="s">
        <v>273</v>
      </c>
    </row>
    <row r="87" spans="1:37" ht="14.65" customHeight="1">
      <c r="A87" s="48" t="s">
        <v>274</v>
      </c>
      <c r="B87" s="26"/>
      <c r="C87" s="26"/>
      <c r="D87" s="299"/>
      <c r="E87" s="49">
        <f>IF(AND($B$130&lt;&gt;0,$C$130&lt;&gt;0),$B$76/$D$130*$B$130,IF(AND($B$130&lt;&gt;0,$C$130=0),$B$76,0))</f>
        <v>88178.817073170721</v>
      </c>
      <c r="F87" s="102">
        <f>E87*$C$74</f>
        <v>2841891.8244031593</v>
      </c>
      <c r="G87" s="49">
        <f>IF(AND($B$130&lt;&gt;0,$C$130&lt;&gt;0),$B$76/$D$130*$C$130,IF(AND($B$130=0,$C$130&lt;&gt;0),$B$76,0))</f>
        <v>32332.232926829267</v>
      </c>
      <c r="H87" s="303">
        <f>G87*$C$74</f>
        <v>1042027.0022811586</v>
      </c>
    </row>
    <row r="88" spans="1:37" ht="14.65" customHeight="1">
      <c r="A88" s="48" t="s">
        <v>275</v>
      </c>
      <c r="B88" s="26"/>
      <c r="C88" s="26"/>
      <c r="D88" s="299"/>
      <c r="E88" s="49">
        <f>IF(AND($B$130&lt;&gt;0,$C$130&lt;&gt;0),$F$76/$D$130*$B$130,IF(AND($B$130&lt;&gt;0,$C$130=0),$F$76,0))</f>
        <v>28892.721951219515</v>
      </c>
      <c r="F88" s="102">
        <f>E88*$G$74</f>
        <v>1010394.7995160978</v>
      </c>
      <c r="G88" s="49">
        <f>IF(AND($B$130&lt;&gt;0,$C$130&lt;&gt;0),$F$76/$D$130*$C$130,IF(AND($B$130=0,$C$130&lt;&gt;0),$F$76,0))</f>
        <v>10593.99804878049</v>
      </c>
      <c r="H88" s="303">
        <f>G88*$G$74</f>
        <v>370478.09315590252</v>
      </c>
    </row>
    <row r="89" spans="1:37" ht="14.65" customHeight="1">
      <c r="A89" s="112" t="s">
        <v>276</v>
      </c>
      <c r="B89" s="113"/>
      <c r="C89" s="113"/>
      <c r="D89" s="300"/>
      <c r="E89" s="170">
        <f>(E87+E88)/($B$76+$F$76)*$B$84</f>
        <v>88178.817073170721</v>
      </c>
      <c r="F89" s="302">
        <f>E89*$C$82</f>
        <v>1719474.9249532563</v>
      </c>
      <c r="G89" s="170">
        <f>(G87+G88)/($B$76+$F$76)*$B$84</f>
        <v>32332.232926829267</v>
      </c>
      <c r="H89" s="304">
        <f>G89*$C$82</f>
        <v>630474.13914952741</v>
      </c>
    </row>
    <row r="90" spans="1:37" ht="14.65" customHeight="1">
      <c r="D90" s="92"/>
      <c r="H90" s="92"/>
    </row>
    <row r="91" spans="1:37" ht="14.65" customHeight="1"/>
    <row r="92" spans="1:37" ht="14.65" customHeight="1">
      <c r="A92" s="82" t="s">
        <v>56</v>
      </c>
      <c r="B92" s="93"/>
      <c r="C92" s="93"/>
      <c r="D92" s="94"/>
      <c r="E92" s="94"/>
      <c r="F92" s="93"/>
      <c r="G92" s="93"/>
      <c r="H92" s="95"/>
    </row>
    <row r="93" spans="1:37" ht="15">
      <c r="A93" s="48"/>
      <c r="B93" s="147" t="s">
        <v>8</v>
      </c>
      <c r="C93" s="213" t="s">
        <v>207</v>
      </c>
      <c r="D93" s="213" t="s">
        <v>213</v>
      </c>
      <c r="F93" s="147" t="s">
        <v>5</v>
      </c>
      <c r="G93" s="213" t="s">
        <v>6</v>
      </c>
      <c r="H93" s="214" t="s">
        <v>214</v>
      </c>
    </row>
    <row r="94" spans="1:37" ht="15">
      <c r="A94" s="48"/>
      <c r="B94" s="49" t="s">
        <v>202</v>
      </c>
      <c r="C94" s="49">
        <f>IF(($B$107*$B$24+$F$107*$E$24+$F$107*$H$24)*1000&lt;=480000,($B$107*$B$24+$F$107*$E$24+$F$107*$H$24)*1000,480000)</f>
        <v>480000</v>
      </c>
      <c r="D94" s="347">
        <v>5.1124999999999998</v>
      </c>
      <c r="F94" s="49" t="s">
        <v>159</v>
      </c>
      <c r="G94" s="49">
        <f>(B100*$B$24+F100*$E$24+F100*$H$24)*1000</f>
        <v>15744000</v>
      </c>
      <c r="H94" s="349">
        <v>0.1</v>
      </c>
    </row>
    <row r="95" spans="1:37" ht="16.5">
      <c r="A95" s="48"/>
      <c r="B95" s="49" t="s">
        <v>203</v>
      </c>
      <c r="C95" s="147">
        <f>IF(C94&gt;=480000,(((B104+B105+B106)*$B$24*1000)+((F104+F105+F106)*($E$24+$H$24)*1000))-480000,0)</f>
        <v>469440.00000000012</v>
      </c>
      <c r="D95" s="347">
        <v>3.0468000000000002</v>
      </c>
      <c r="F95" s="49" t="s">
        <v>109</v>
      </c>
      <c r="G95" s="147">
        <f>(B101*$B$24+F101*$E$24+F101*$H$24)*1000</f>
        <v>45434400</v>
      </c>
      <c r="H95" s="349">
        <v>6.5000000000000002E-2</v>
      </c>
    </row>
    <row r="96" spans="1:37">
      <c r="A96" s="48"/>
      <c r="B96" s="49"/>
      <c r="C96" s="49">
        <f>SUM(C94:C95)</f>
        <v>949440.00000000012</v>
      </c>
      <c r="D96" s="80">
        <f>(C94*D94+C95*D95)/C96</f>
        <v>4.091137714863498</v>
      </c>
      <c r="F96" s="49"/>
      <c r="G96" s="49">
        <f>SUM(G94:G95)</f>
        <v>61178400</v>
      </c>
      <c r="H96" s="173">
        <f>(G94*H94+G95*H95)/G96</f>
        <v>7.40071005452905E-2</v>
      </c>
    </row>
    <row r="97" spans="1:36">
      <c r="A97" s="43"/>
      <c r="C97" s="359"/>
      <c r="G97" s="359"/>
      <c r="H97" s="96"/>
    </row>
    <row r="98" spans="1:36">
      <c r="A98" s="48"/>
      <c r="B98" s="1023" t="s">
        <v>194</v>
      </c>
      <c r="C98" s="1023"/>
      <c r="D98" s="1023"/>
      <c r="F98" s="1023" t="s">
        <v>285</v>
      </c>
      <c r="G98" s="1023"/>
      <c r="H98" s="1024"/>
    </row>
    <row r="99" spans="1:36" ht="26.25">
      <c r="A99" s="48"/>
      <c r="B99" s="97" t="s">
        <v>152</v>
      </c>
      <c r="C99" s="13" t="s">
        <v>215</v>
      </c>
      <c r="D99" s="97" t="s">
        <v>153</v>
      </c>
      <c r="F99" s="97" t="s">
        <v>152</v>
      </c>
      <c r="G99" s="13" t="s">
        <v>215</v>
      </c>
      <c r="H99" s="101" t="s">
        <v>153</v>
      </c>
      <c r="Y99"/>
      <c r="Z99"/>
      <c r="AA99"/>
      <c r="AB99"/>
      <c r="AC99"/>
      <c r="AD99"/>
      <c r="AE99" s="136"/>
    </row>
    <row r="100" spans="1:36" ht="15">
      <c r="A100" s="48" t="s">
        <v>204</v>
      </c>
      <c r="B100" s="350">
        <f>0.064</f>
        <v>6.4000000000000001E-2</v>
      </c>
      <c r="C100" s="172">
        <f>$H$96</f>
        <v>7.40071005452905E-2</v>
      </c>
      <c r="D100" s="174">
        <f>B100*C100</f>
        <v>4.7364544348985922E-3</v>
      </c>
      <c r="F100" s="350">
        <f>0.064</f>
        <v>6.4000000000000001E-2</v>
      </c>
      <c r="G100" s="172">
        <f>$H$96</f>
        <v>7.40071005452905E-2</v>
      </c>
      <c r="H100" s="175">
        <f>F100*G100</f>
        <v>4.7364544348985922E-3</v>
      </c>
      <c r="W100" s="97"/>
      <c r="Y100"/>
      <c r="Z100"/>
      <c r="AA100"/>
      <c r="AB100"/>
      <c r="AC100"/>
      <c r="AD100"/>
      <c r="AE100" s="136"/>
    </row>
    <row r="101" spans="1:36" ht="15">
      <c r="A101" s="48" t="s">
        <v>205</v>
      </c>
      <c r="B101" s="350">
        <v>0</v>
      </c>
      <c r="C101" s="172">
        <f>$H$96</f>
        <v>7.40071005452905E-2</v>
      </c>
      <c r="D101" s="174">
        <f>B101*C101</f>
        <v>0</v>
      </c>
      <c r="F101" s="350">
        <f>0.6884</f>
        <v>0.68840000000000001</v>
      </c>
      <c r="G101" s="172">
        <f>$H$96</f>
        <v>7.40071005452905E-2</v>
      </c>
      <c r="H101" s="175">
        <f>F101*G101</f>
        <v>5.0946488015377982E-2</v>
      </c>
      <c r="W101" s="266"/>
      <c r="Y101"/>
      <c r="Z101"/>
      <c r="AA101"/>
      <c r="AB101"/>
      <c r="AC101"/>
      <c r="AD101"/>
      <c r="AE101" s="136"/>
      <c r="AJ101" s="158"/>
    </row>
    <row r="102" spans="1:36" ht="15">
      <c r="A102" s="176" t="s">
        <v>210</v>
      </c>
      <c r="B102" s="222">
        <f>SUM(B100:B101)</f>
        <v>6.4000000000000001E-2</v>
      </c>
      <c r="C102" s="223">
        <f>D102/B102</f>
        <v>7.40071005452905E-2</v>
      </c>
      <c r="D102" s="224">
        <f>SUM(D100:D101)</f>
        <v>4.7364544348985922E-3</v>
      </c>
      <c r="F102" s="222">
        <f>SUM(F100:F101)</f>
        <v>0.75239999999999996</v>
      </c>
      <c r="G102" s="223">
        <f>H102/F102</f>
        <v>6.0716297780803528E-2</v>
      </c>
      <c r="H102" s="448">
        <f>SUM(H100:H101)-0.01</f>
        <v>4.568294245027657E-2</v>
      </c>
      <c r="W102" s="266"/>
      <c r="Y102"/>
      <c r="Z102"/>
      <c r="AA102"/>
      <c r="AB102"/>
      <c r="AC102"/>
      <c r="AD102"/>
      <c r="AE102" s="136"/>
      <c r="AJ102" s="158"/>
    </row>
    <row r="103" spans="1:36" ht="15">
      <c r="A103" s="176"/>
      <c r="B103" s="217"/>
      <c r="C103" s="221"/>
      <c r="D103" s="174"/>
      <c r="F103" s="217"/>
      <c r="G103" s="221"/>
      <c r="H103" s="175"/>
      <c r="W103" s="266"/>
      <c r="Y103"/>
      <c r="Z103"/>
      <c r="AA103"/>
      <c r="AB103"/>
      <c r="AC103"/>
      <c r="AD103"/>
      <c r="AE103" s="136"/>
    </row>
    <row r="104" spans="1:36" ht="15">
      <c r="A104" s="48" t="s">
        <v>208</v>
      </c>
      <c r="B104" s="350">
        <v>2.1900000000000001E-3</v>
      </c>
      <c r="C104" s="212">
        <f>$D$96</f>
        <v>4.091137714863498</v>
      </c>
      <c r="D104" s="174">
        <f>B104*C104</f>
        <v>8.959591595551061E-3</v>
      </c>
      <c r="F104" s="350">
        <v>2.1900000000000001E-3</v>
      </c>
      <c r="G104" s="212">
        <f>$D$96</f>
        <v>4.091137714863498</v>
      </c>
      <c r="H104" s="175">
        <f>F104*G104</f>
        <v>8.959591595551061E-3</v>
      </c>
      <c r="W104" s="266"/>
      <c r="Y104"/>
      <c r="Z104"/>
      <c r="AA104"/>
      <c r="AB104"/>
      <c r="AC104"/>
      <c r="AD104"/>
      <c r="AE104" s="136"/>
    </row>
    <row r="105" spans="1:36" ht="15">
      <c r="A105" s="48" t="s">
        <v>206</v>
      </c>
      <c r="B105" s="350">
        <v>2.1900000000000001E-3</v>
      </c>
      <c r="C105" s="212">
        <f>$D$96</f>
        <v>4.091137714863498</v>
      </c>
      <c r="D105" s="174">
        <f>B105*C105</f>
        <v>8.959591595551061E-3</v>
      </c>
      <c r="F105" s="350">
        <v>0</v>
      </c>
      <c r="G105" s="212">
        <f>$D$96</f>
        <v>4.091137714863498</v>
      </c>
      <c r="H105" s="175">
        <f>F105*G105</f>
        <v>0</v>
      </c>
      <c r="Y105"/>
      <c r="Z105"/>
      <c r="AA105"/>
      <c r="AB105"/>
      <c r="AC105"/>
      <c r="AD105"/>
      <c r="AE105" s="136"/>
    </row>
    <row r="106" spans="1:36" ht="15">
      <c r="A106" s="48" t="s">
        <v>209</v>
      </c>
      <c r="B106" s="350">
        <v>0</v>
      </c>
      <c r="C106" s="212">
        <f>$D$96</f>
        <v>4.091137714863498</v>
      </c>
      <c r="D106" s="219">
        <f>B106*C106</f>
        <v>0</v>
      </c>
      <c r="F106" s="350">
        <v>2.5000000000000001E-4</v>
      </c>
      <c r="G106" s="212">
        <f>$D$96</f>
        <v>4.091137714863498</v>
      </c>
      <c r="H106" s="220">
        <f>F106*G106</f>
        <v>1.0227844287158745E-3</v>
      </c>
      <c r="Y106"/>
      <c r="Z106"/>
      <c r="AA106"/>
      <c r="AB106"/>
      <c r="AC106"/>
      <c r="AD106"/>
      <c r="AE106" s="136"/>
    </row>
    <row r="107" spans="1:36" ht="15">
      <c r="A107" s="176" t="s">
        <v>211</v>
      </c>
      <c r="B107" s="228">
        <f>SUM(B104:B106)</f>
        <v>4.3800000000000002E-3</v>
      </c>
      <c r="C107" s="229">
        <f>D107/B107</f>
        <v>4.091137714863498</v>
      </c>
      <c r="D107" s="226">
        <f>SUM(D104:D106)</f>
        <v>1.7919183191102122E-2</v>
      </c>
      <c r="F107" s="222">
        <f>SUM(F104:F106)</f>
        <v>2.4400000000000003E-3</v>
      </c>
      <c r="G107" s="229">
        <f>H107/F107</f>
        <v>4.0911377148634971</v>
      </c>
      <c r="H107" s="227">
        <f>SUM(H104:H106)</f>
        <v>9.9823760242669351E-3</v>
      </c>
      <c r="Y107"/>
      <c r="Z107"/>
      <c r="AA107"/>
      <c r="AB107"/>
      <c r="AC107"/>
      <c r="AD107"/>
      <c r="AE107" s="136"/>
    </row>
    <row r="108" spans="1:36" ht="15">
      <c r="A108" s="176"/>
      <c r="B108" s="124"/>
      <c r="C108" s="212"/>
      <c r="D108" s="230"/>
      <c r="F108" s="217"/>
      <c r="G108" s="212"/>
      <c r="H108" s="231"/>
      <c r="Y108"/>
      <c r="Z108"/>
      <c r="AA108"/>
      <c r="AB108"/>
      <c r="AC108"/>
      <c r="AD108"/>
      <c r="AE108" s="136"/>
    </row>
    <row r="109" spans="1:36" ht="15.75" thickBot="1">
      <c r="A109" s="141" t="s">
        <v>212</v>
      </c>
      <c r="B109" s="218"/>
      <c r="C109" s="13"/>
      <c r="D109" s="232">
        <f>D102+D107</f>
        <v>2.2655637626000716E-2</v>
      </c>
      <c r="F109" s="218"/>
      <c r="G109" s="13"/>
      <c r="H109" s="233">
        <f>H102+H107</f>
        <v>5.5665318474543507E-2</v>
      </c>
      <c r="Y109"/>
      <c r="Z109"/>
      <c r="AA109"/>
      <c r="AB109"/>
      <c r="AC109"/>
      <c r="AD109"/>
      <c r="AE109" s="136"/>
    </row>
    <row r="110" spans="1:36" ht="15">
      <c r="A110" s="99"/>
      <c r="B110" s="72"/>
      <c r="C110" s="72"/>
      <c r="D110" s="72"/>
      <c r="E110" s="72"/>
      <c r="F110" s="72"/>
      <c r="G110" s="72"/>
      <c r="H110" s="75"/>
      <c r="Y110"/>
      <c r="Z110"/>
      <c r="AA110"/>
      <c r="AB110"/>
      <c r="AC110"/>
      <c r="AD110"/>
      <c r="AE110" s="136"/>
    </row>
    <row r="111" spans="1:36" ht="15">
      <c r="Y111"/>
      <c r="Z111"/>
      <c r="AA111"/>
      <c r="AB111"/>
      <c r="AC111"/>
      <c r="AD111"/>
      <c r="AE111" s="136"/>
    </row>
    <row r="112" spans="1:36" ht="15">
      <c r="G112" s="100"/>
      <c r="Y112"/>
      <c r="Z112"/>
      <c r="AA112"/>
      <c r="AB112"/>
      <c r="AC112"/>
      <c r="AD112"/>
      <c r="AE112" s="136"/>
    </row>
    <row r="113" spans="1:36" ht="15">
      <c r="A113" s="82" t="s">
        <v>218</v>
      </c>
      <c r="B113" s="93"/>
      <c r="C113" s="93"/>
      <c r="D113" s="93"/>
      <c r="E113" s="93"/>
      <c r="F113" s="93"/>
      <c r="G113" s="93"/>
      <c r="H113" s="148"/>
      <c r="Y113"/>
      <c r="Z113"/>
      <c r="AA113"/>
      <c r="AB113"/>
      <c r="AC113"/>
      <c r="AD113"/>
      <c r="AE113" s="136"/>
    </row>
    <row r="114" spans="1:36" ht="16.5">
      <c r="A114" s="48"/>
      <c r="B114" s="147" t="s">
        <v>107</v>
      </c>
      <c r="C114" s="147" t="s">
        <v>220</v>
      </c>
      <c r="D114" s="147" t="s">
        <v>219</v>
      </c>
      <c r="E114" s="26"/>
      <c r="F114" s="26"/>
      <c r="G114" s="26"/>
      <c r="H114" s="77"/>
      <c r="Y114"/>
      <c r="Z114"/>
      <c r="AA114"/>
      <c r="AB114"/>
      <c r="AC114"/>
      <c r="AD114"/>
      <c r="AE114" s="136"/>
    </row>
    <row r="115" spans="1:36" ht="30">
      <c r="A115" s="48" t="s">
        <v>57</v>
      </c>
      <c r="B115" s="87">
        <f>SUM(C115:D115)</f>
        <v>104400000</v>
      </c>
      <c r="C115" s="87">
        <f>37300000+20000000</f>
        <v>57300000</v>
      </c>
      <c r="D115" s="87">
        <f>47100000</f>
        <v>47100000</v>
      </c>
      <c r="E115" s="1009" t="s">
        <v>277</v>
      </c>
      <c r="F115" s="1009"/>
      <c r="G115" s="199" t="s">
        <v>3</v>
      </c>
      <c r="H115" s="308" t="s">
        <v>69</v>
      </c>
      <c r="Y115"/>
      <c r="Z115"/>
      <c r="AA115"/>
      <c r="AB115"/>
      <c r="AC115"/>
      <c r="AD115"/>
      <c r="AE115" s="136"/>
    </row>
    <row r="116" spans="1:36" ht="16.5">
      <c r="A116" s="48" t="s">
        <v>58</v>
      </c>
      <c r="B116" s="343">
        <v>2.2030649999999999E-2</v>
      </c>
      <c r="E116" s="306" t="s">
        <v>186</v>
      </c>
      <c r="F116" s="306" t="s">
        <v>259</v>
      </c>
      <c r="H116" s="45"/>
      <c r="Y116"/>
      <c r="Z116"/>
      <c r="AA116" s="260" t="s">
        <v>398</v>
      </c>
      <c r="AD116"/>
      <c r="AE116" s="234"/>
    </row>
    <row r="117" spans="1:36" ht="16.5">
      <c r="A117" s="48" t="s">
        <v>59</v>
      </c>
      <c r="B117" s="26"/>
      <c r="C117" s="26"/>
      <c r="D117" s="26"/>
      <c r="E117" s="102">
        <f>($C$115/$B$25*$B$24)*$B$116</f>
        <v>923675.30121951224</v>
      </c>
      <c r="F117" s="102">
        <f>($C$115/$B$25*($E$24+$H$24)+D115)*$B$116</f>
        <v>1376324.5587804879</v>
      </c>
      <c r="G117" s="358">
        <f>SUM(E117:F117)</f>
        <v>2299999.8600000003</v>
      </c>
      <c r="H117" s="103">
        <f>G117/(B$25*1000)</f>
        <v>9.3495929268292699E-3</v>
      </c>
      <c r="R117" s="240"/>
      <c r="S117" s="240"/>
      <c r="T117" s="261">
        <f t="shared" ref="T117:T125" si="49">ROUND($T$11*$Z117,0)</f>
        <v>21549</v>
      </c>
      <c r="W117" s="265"/>
      <c r="X117" s="20" t="s">
        <v>235</v>
      </c>
      <c r="Y117" s="128">
        <v>631040</v>
      </c>
      <c r="Z117" s="138">
        <f t="shared" ref="Z117:Z125" si="50">AA117/$AA$126</f>
        <v>2.8732014048368993E-2</v>
      </c>
      <c r="AA117" s="143">
        <v>30387.07</v>
      </c>
      <c r="AB117" s="136"/>
      <c r="AC117" s="136"/>
      <c r="AI117" s="236"/>
      <c r="AJ117" s="236"/>
    </row>
    <row r="118" spans="1:36" ht="15">
      <c r="A118" s="48"/>
      <c r="B118" s="26"/>
      <c r="C118" s="26"/>
      <c r="D118" s="26"/>
      <c r="E118" s="307">
        <f>E117/B24/1000</f>
        <v>5.1315294512195133E-3</v>
      </c>
      <c r="F118" s="307">
        <f>F117/($E$24+$H$24)/1000</f>
        <v>2.0853402405764967E-2</v>
      </c>
      <c r="G118" s="11"/>
      <c r="H118" s="77"/>
      <c r="R118" s="240"/>
      <c r="S118" s="240"/>
      <c r="T118" s="261">
        <f t="shared" si="49"/>
        <v>23088</v>
      </c>
      <c r="W118" s="265"/>
      <c r="X118" s="20" t="s">
        <v>236</v>
      </c>
      <c r="Y118" s="128">
        <v>631060</v>
      </c>
      <c r="Z118" s="138">
        <f t="shared" si="50"/>
        <v>3.0784541877331692E-2</v>
      </c>
      <c r="AA118" s="143">
        <v>32557.83</v>
      </c>
      <c r="AB118" s="136"/>
      <c r="AC118" s="136"/>
      <c r="AI118" s="235"/>
      <c r="AJ118" s="235"/>
    </row>
    <row r="119" spans="1:36" ht="15">
      <c r="A119" s="48" t="s">
        <v>172</v>
      </c>
      <c r="B119" s="26"/>
      <c r="C119" s="26"/>
      <c r="D119" s="26"/>
      <c r="E119" s="26"/>
      <c r="F119" s="104"/>
      <c r="G119" s="26"/>
      <c r="H119" s="77"/>
      <c r="R119" s="240"/>
      <c r="S119" s="240"/>
      <c r="T119" s="261">
        <f t="shared" si="49"/>
        <v>0</v>
      </c>
      <c r="W119" s="265"/>
      <c r="X119" s="20" t="s">
        <v>237</v>
      </c>
      <c r="Y119" s="128">
        <v>631900</v>
      </c>
      <c r="Z119" s="138">
        <f t="shared" si="50"/>
        <v>0</v>
      </c>
      <c r="AA119" s="143">
        <v>0</v>
      </c>
      <c r="AB119" s="136"/>
      <c r="AC119" s="136"/>
      <c r="AI119" s="235"/>
      <c r="AJ119" s="235"/>
    </row>
    <row r="120" spans="1:36" ht="15">
      <c r="A120" s="48" t="s">
        <v>60</v>
      </c>
      <c r="B120" s="26"/>
      <c r="C120" s="26"/>
      <c r="D120" s="26"/>
      <c r="E120" s="26"/>
      <c r="F120" s="26"/>
      <c r="G120" s="26"/>
      <c r="H120" s="77"/>
      <c r="R120" s="240"/>
      <c r="S120" s="240"/>
      <c r="T120" s="261">
        <f t="shared" si="49"/>
        <v>68702</v>
      </c>
      <c r="W120" s="265"/>
      <c r="X120" s="20" t="s">
        <v>238</v>
      </c>
      <c r="Y120" s="128">
        <v>630020</v>
      </c>
      <c r="Z120" s="138">
        <f t="shared" si="50"/>
        <v>9.1602521626258315E-2</v>
      </c>
      <c r="AA120" s="143">
        <v>96879.12</v>
      </c>
      <c r="AB120" s="136"/>
      <c r="AC120" s="136"/>
      <c r="AI120" s="235"/>
      <c r="AJ120" s="235"/>
    </row>
    <row r="121" spans="1:36" ht="16.5">
      <c r="A121" s="48" t="s">
        <v>61</v>
      </c>
      <c r="B121" s="26"/>
      <c r="C121" s="26"/>
      <c r="D121" s="26"/>
      <c r="E121" s="26"/>
      <c r="F121" s="26"/>
      <c r="G121" s="348">
        <v>200000</v>
      </c>
      <c r="H121" s="103">
        <f>G121/(B$25*1000)</f>
        <v>8.1300813008130081E-4</v>
      </c>
      <c r="R121" s="240"/>
      <c r="S121" s="240"/>
      <c r="T121" s="261">
        <f t="shared" si="49"/>
        <v>0</v>
      </c>
      <c r="W121" s="265"/>
      <c r="X121" s="20" t="s">
        <v>239</v>
      </c>
      <c r="Y121" s="128">
        <v>630030</v>
      </c>
      <c r="Z121" s="138">
        <f t="shared" si="50"/>
        <v>0</v>
      </c>
      <c r="AA121" s="143">
        <v>0</v>
      </c>
      <c r="AB121" s="136"/>
      <c r="AC121" s="136"/>
      <c r="AI121" s="235"/>
      <c r="AJ121" s="235"/>
    </row>
    <row r="122" spans="1:36" ht="15">
      <c r="A122" s="48"/>
      <c r="B122" s="26"/>
      <c r="C122" s="26"/>
      <c r="D122" s="26"/>
      <c r="E122" s="26"/>
      <c r="F122" s="26"/>
      <c r="G122" s="26"/>
      <c r="H122" s="77"/>
      <c r="R122" s="240"/>
      <c r="S122" s="240"/>
      <c r="T122" s="261">
        <f t="shared" si="49"/>
        <v>93843</v>
      </c>
      <c r="W122" s="265"/>
      <c r="X122" s="20" t="s">
        <v>240</v>
      </c>
      <c r="Y122" s="128">
        <v>630070</v>
      </c>
      <c r="Z122" s="138">
        <f t="shared" si="50"/>
        <v>0.12512342057966541</v>
      </c>
      <c r="AA122" s="143">
        <v>132330.93</v>
      </c>
      <c r="AB122" s="136"/>
      <c r="AC122" s="136"/>
      <c r="AI122" s="235"/>
      <c r="AJ122" s="235"/>
    </row>
    <row r="123" spans="1:36" ht="15">
      <c r="A123" s="48" t="s">
        <v>62</v>
      </c>
      <c r="B123" s="26"/>
      <c r="C123" s="26"/>
      <c r="D123" s="26"/>
      <c r="E123" s="26"/>
      <c r="F123" s="26"/>
      <c r="G123" s="26"/>
      <c r="H123" s="77"/>
      <c r="R123" s="240"/>
      <c r="S123" s="240"/>
      <c r="T123" s="261">
        <f t="shared" si="49"/>
        <v>459068</v>
      </c>
      <c r="W123" s="265"/>
      <c r="X123" s="20" t="s">
        <v>241</v>
      </c>
      <c r="Y123" s="128">
        <v>630080</v>
      </c>
      <c r="Z123" s="138">
        <f t="shared" si="50"/>
        <v>0.61209054586824252</v>
      </c>
      <c r="AA123" s="143">
        <v>647348.92000000004</v>
      </c>
      <c r="AB123" s="136"/>
      <c r="AC123" s="136"/>
      <c r="AI123" s="235"/>
      <c r="AJ123" s="235"/>
    </row>
    <row r="124" spans="1:36" ht="16.5">
      <c r="A124" s="48" t="s">
        <v>63</v>
      </c>
      <c r="B124" s="26"/>
      <c r="C124" s="26"/>
      <c r="D124" s="26"/>
      <c r="E124" s="26"/>
      <c r="F124" s="26"/>
      <c r="G124" s="348">
        <v>750000</v>
      </c>
      <c r="H124" s="103">
        <f>G124/(B$25*1000)</f>
        <v>3.0487804878048782E-3</v>
      </c>
      <c r="R124" s="240"/>
      <c r="S124" s="240"/>
      <c r="T124" s="261">
        <f t="shared" si="49"/>
        <v>83750</v>
      </c>
      <c r="W124" s="265"/>
      <c r="X124" s="20" t="s">
        <v>242</v>
      </c>
      <c r="Y124" s="128">
        <v>633000</v>
      </c>
      <c r="Z124" s="138">
        <f t="shared" si="50"/>
        <v>0.11166695600013314</v>
      </c>
      <c r="AA124" s="143">
        <v>118099.33</v>
      </c>
      <c r="AB124" s="136"/>
      <c r="AC124" s="136"/>
      <c r="AI124" s="235"/>
      <c r="AJ124" s="235"/>
    </row>
    <row r="125" spans="1:36" ht="17.25">
      <c r="A125" s="99"/>
      <c r="B125" s="72"/>
      <c r="C125" s="105"/>
      <c r="D125" s="72"/>
      <c r="E125" s="72"/>
      <c r="F125" s="72"/>
      <c r="G125" s="72"/>
      <c r="H125" s="75"/>
      <c r="R125" s="240"/>
      <c r="S125" s="240"/>
      <c r="T125" s="262">
        <f t="shared" si="49"/>
        <v>0</v>
      </c>
      <c r="W125" s="265"/>
      <c r="X125" s="20" t="s">
        <v>243</v>
      </c>
      <c r="Y125" s="128">
        <v>660000</v>
      </c>
      <c r="Z125" s="258">
        <f t="shared" si="50"/>
        <v>0</v>
      </c>
      <c r="AA125" s="161">
        <v>0</v>
      </c>
      <c r="AB125" s="136"/>
      <c r="AC125" s="136"/>
      <c r="AI125" s="235"/>
      <c r="AJ125" s="235"/>
    </row>
    <row r="126" spans="1:36" ht="15">
      <c r="R126" s="160"/>
      <c r="S126" s="160"/>
      <c r="T126" s="264">
        <f>SUM(T117:T125)</f>
        <v>750000</v>
      </c>
      <c r="W126" s="256" t="s">
        <v>12</v>
      </c>
      <c r="X126" s="130" t="s">
        <v>17</v>
      </c>
      <c r="Y126" s="257" t="s">
        <v>107</v>
      </c>
      <c r="Z126" s="138">
        <f>SUM(Z117:Z125)</f>
        <v>1</v>
      </c>
      <c r="AA126" s="259">
        <f>SUM(AA117:AA125)</f>
        <v>1057603.2</v>
      </c>
      <c r="AE126" s="137"/>
    </row>
    <row r="128" spans="1:36">
      <c r="A128" s="82" t="s">
        <v>64</v>
      </c>
      <c r="B128" s="1012" t="s">
        <v>65</v>
      </c>
      <c r="C128" s="1012"/>
      <c r="D128" s="1012"/>
      <c r="E128" s="1012"/>
      <c r="F128" s="1012"/>
      <c r="G128" s="1012"/>
      <c r="H128" s="1013"/>
    </row>
    <row r="129" spans="1:36" ht="14.65" customHeight="1">
      <c r="A129" s="48"/>
      <c r="B129" s="199" t="s">
        <v>159</v>
      </c>
      <c r="C129" s="199" t="s">
        <v>109</v>
      </c>
      <c r="D129" s="199" t="s">
        <v>107</v>
      </c>
      <c r="E129" s="26"/>
      <c r="F129" s="26"/>
      <c r="G129" s="26"/>
      <c r="H129" s="77"/>
      <c r="AA129" s="1007" t="s">
        <v>398</v>
      </c>
      <c r="AB129" s="1007"/>
    </row>
    <row r="130" spans="1:36" ht="14.65" customHeight="1">
      <c r="A130" s="48" t="s">
        <v>262</v>
      </c>
      <c r="B130" s="207">
        <f>B30+B31</f>
        <v>180000</v>
      </c>
      <c r="C130" s="207">
        <f>B32+B33</f>
        <v>66000</v>
      </c>
      <c r="D130" s="207">
        <f>SUM(B130:C130)</f>
        <v>246000</v>
      </c>
      <c r="E130" s="26"/>
      <c r="F130" s="1008" t="s">
        <v>66</v>
      </c>
      <c r="G130" s="1008"/>
      <c r="H130" s="106">
        <f>D130/D131</f>
        <v>0.94615384615384612</v>
      </c>
      <c r="R130" s="240"/>
      <c r="S130" s="240"/>
      <c r="T130" s="261">
        <f>$T$18*$Z130</f>
        <v>142500</v>
      </c>
      <c r="W130" s="265"/>
      <c r="X130" s="20" t="s">
        <v>244</v>
      </c>
      <c r="Y130" s="128" t="s">
        <v>100</v>
      </c>
      <c r="Z130" s="138">
        <v>0.5</v>
      </c>
      <c r="AA130" s="143">
        <v>120244.49</v>
      </c>
      <c r="AB130" s="144">
        <f>AA130/$AA$132</f>
        <v>0.50750815162970342</v>
      </c>
      <c r="AC130" s="136"/>
      <c r="AD130"/>
    </row>
    <row r="131" spans="1:36" ht="14.65" customHeight="1">
      <c r="A131" s="48" t="s">
        <v>263</v>
      </c>
      <c r="B131" s="207"/>
      <c r="C131" s="207"/>
      <c r="D131" s="207">
        <v>260000</v>
      </c>
      <c r="E131" s="26"/>
      <c r="F131" s="26"/>
      <c r="G131" s="26"/>
      <c r="H131" s="107"/>
      <c r="R131" s="240"/>
      <c r="S131" s="240"/>
      <c r="T131" s="262">
        <f>$T$18*$Z131</f>
        <v>142500</v>
      </c>
      <c r="W131" s="265"/>
      <c r="X131" s="20" t="s">
        <v>245</v>
      </c>
      <c r="Y131" s="128">
        <v>630040</v>
      </c>
      <c r="Z131" s="138">
        <v>0.5</v>
      </c>
      <c r="AA131" s="161">
        <v>116686.66</v>
      </c>
      <c r="AB131" s="378">
        <f>AA131/$AA$132</f>
        <v>0.49249184837029658</v>
      </c>
      <c r="AC131" s="136"/>
      <c r="AD131"/>
    </row>
    <row r="132" spans="1:36" ht="14.65" customHeight="1">
      <c r="A132" s="43"/>
      <c r="D132" s="108"/>
      <c r="F132" s="1009" t="s">
        <v>290</v>
      </c>
      <c r="G132" s="1009"/>
      <c r="H132" s="1010"/>
      <c r="R132" s="160"/>
      <c r="S132" s="160"/>
      <c r="T132" s="264">
        <f>SUM(T130:T131)</f>
        <v>285000</v>
      </c>
      <c r="W132" s="256" t="s">
        <v>12</v>
      </c>
      <c r="X132" s="130" t="s">
        <v>28</v>
      </c>
      <c r="Y132" s="257" t="s">
        <v>107</v>
      </c>
      <c r="Z132" s="138">
        <f>SUM(Z130:Z131)</f>
        <v>1</v>
      </c>
      <c r="AA132" s="259">
        <f>SUM(AA130:AA131)</f>
        <v>236931.15000000002</v>
      </c>
      <c r="AB132" s="144">
        <f>SUM(AB130:AB131)</f>
        <v>1</v>
      </c>
    </row>
    <row r="133" spans="1:36" ht="28.15" customHeight="1">
      <c r="A133" s="48"/>
      <c r="B133" s="97" t="s">
        <v>67</v>
      </c>
      <c r="C133" s="97" t="s">
        <v>68</v>
      </c>
      <c r="D133" s="97" t="s">
        <v>257</v>
      </c>
      <c r="E133" s="97" t="s">
        <v>258</v>
      </c>
      <c r="F133" s="49"/>
      <c r="G133" s="286" t="s">
        <v>260</v>
      </c>
      <c r="H133" s="287" t="s">
        <v>261</v>
      </c>
    </row>
    <row r="134" spans="1:36" ht="15">
      <c r="A134" s="48" t="s">
        <v>25</v>
      </c>
      <c r="B134" s="104">
        <f>C134/12</f>
        <v>30812.5</v>
      </c>
      <c r="C134" s="351">
        <f>90625*'17 Std'!S9*(1+$F$148)</f>
        <v>369750</v>
      </c>
      <c r="D134" s="64">
        <f>$C134/$D$130/1000</f>
        <v>1.5030487804878047E-3</v>
      </c>
      <c r="E134" s="64">
        <f>$C134/$D$130/1000</f>
        <v>1.5030487804878047E-3</v>
      </c>
      <c r="F134" s="156" t="s">
        <v>270</v>
      </c>
      <c r="G134" s="348">
        <v>1220000</v>
      </c>
      <c r="H134" s="238">
        <f>G134/$D$130/1000</f>
        <v>4.9593495934959347E-3</v>
      </c>
      <c r="I134" s="253"/>
      <c r="X134" s="139"/>
      <c r="Y134"/>
      <c r="Z134"/>
      <c r="AA134" s="260" t="s">
        <v>398</v>
      </c>
      <c r="AB134"/>
      <c r="AC134"/>
      <c r="AD134"/>
    </row>
    <row r="135" spans="1:36" ht="14.65" customHeight="1">
      <c r="A135" s="48" t="s">
        <v>27</v>
      </c>
      <c r="B135" s="26">
        <f>C135/12</f>
        <v>23750</v>
      </c>
      <c r="C135" s="346">
        <f>285000</f>
        <v>285000</v>
      </c>
      <c r="D135" s="109">
        <f>$C135/$D$130/1000</f>
        <v>1.1585365853658536E-3</v>
      </c>
      <c r="E135" s="109">
        <f>$C135/$D$130/1000</f>
        <v>1.1585365853658536E-3</v>
      </c>
      <c r="F135" s="156" t="s">
        <v>271</v>
      </c>
      <c r="G135" s="348">
        <f>30000</f>
        <v>30000</v>
      </c>
      <c r="H135" s="238">
        <f>IF($B$130&lt;&gt;0,G135/$B$130/1000,G135/D130/1000)</f>
        <v>1.6666666666666666E-4</v>
      </c>
      <c r="I135" s="253"/>
      <c r="R135" s="240"/>
      <c r="S135" s="240"/>
      <c r="T135" s="261">
        <f t="shared" ref="T135:T142" si="51">ROUND($T$19*$Z135,0)</f>
        <v>148897</v>
      </c>
      <c r="W135" s="265"/>
      <c r="X135" s="20" t="s">
        <v>399</v>
      </c>
      <c r="Y135" s="128" t="s">
        <v>400</v>
      </c>
      <c r="Z135" s="138">
        <f t="shared" ref="Z135:Z142" si="52">AA135/$AA$143</f>
        <v>3.1020278092671626E-2</v>
      </c>
      <c r="AA135" s="143">
        <v>140030.43</v>
      </c>
      <c r="AB135" s="136"/>
      <c r="AC135" s="136"/>
      <c r="AD135"/>
    </row>
    <row r="136" spans="1:36" ht="14.65" customHeight="1">
      <c r="A136" s="48" t="s">
        <v>29</v>
      </c>
      <c r="B136" s="26">
        <f>C136/12</f>
        <v>400000</v>
      </c>
      <c r="C136" s="78">
        <f>G137</f>
        <v>4800000</v>
      </c>
      <c r="D136" s="110">
        <f>H140</f>
        <v>5.1260162601626013E-3</v>
      </c>
      <c r="E136" s="110">
        <f>H141</f>
        <v>5.8747228381374722E-2</v>
      </c>
      <c r="F136" s="156" t="s">
        <v>272</v>
      </c>
      <c r="G136" s="352">
        <f>3550000</f>
        <v>3550000</v>
      </c>
      <c r="H136" s="238">
        <f>IF(C130&lt;&gt;0,G136/$C$130/1000,G136/D130/1000)</f>
        <v>5.3787878787878787E-2</v>
      </c>
      <c r="I136" s="253"/>
      <c r="J136" s="281"/>
      <c r="K136" s="281"/>
      <c r="L136" s="281"/>
      <c r="M136" s="281"/>
      <c r="N136" s="281"/>
      <c r="O136" s="281"/>
      <c r="P136" s="281"/>
      <c r="R136" s="240"/>
      <c r="S136" s="240"/>
      <c r="T136" s="261">
        <f t="shared" si="51"/>
        <v>7396</v>
      </c>
      <c r="W136" s="265"/>
      <c r="X136" s="20" t="s">
        <v>246</v>
      </c>
      <c r="Y136" s="128" t="s">
        <v>101</v>
      </c>
      <c r="Z136" s="138">
        <f t="shared" si="52"/>
        <v>1.5409319575424053E-3</v>
      </c>
      <c r="AA136" s="143">
        <v>6956.01</v>
      </c>
      <c r="AB136" s="136"/>
      <c r="AC136" s="136"/>
      <c r="AD136"/>
      <c r="AI136" s="235"/>
      <c r="AJ136" s="235"/>
    </row>
    <row r="137" spans="1:36" ht="14.65" customHeight="1">
      <c r="A137" s="48" t="s">
        <v>70</v>
      </c>
      <c r="D137" s="64">
        <f>SUM(D134:D136)</f>
        <v>7.7876016260162596E-3</v>
      </c>
      <c r="E137" s="64">
        <f>SUM(E134:E136)</f>
        <v>6.1408813747228383E-2</v>
      </c>
      <c r="F137" s="301" t="s">
        <v>268</v>
      </c>
      <c r="G137" s="285">
        <f>SUM(G134:G136)</f>
        <v>4800000</v>
      </c>
      <c r="H137" s="238">
        <f>G137/D130/1000</f>
        <v>1.9512195121951219E-2</v>
      </c>
      <c r="J137" s="282"/>
      <c r="K137" s="282"/>
      <c r="L137" s="282"/>
      <c r="M137" s="282"/>
      <c r="N137" s="282"/>
      <c r="O137" s="282"/>
      <c r="P137" s="282"/>
      <c r="R137" s="240"/>
      <c r="S137" s="240"/>
      <c r="T137" s="261">
        <f t="shared" si="51"/>
        <v>379435</v>
      </c>
      <c r="W137" s="265"/>
      <c r="X137" s="20" t="s">
        <v>247</v>
      </c>
      <c r="Y137" s="128">
        <v>640010</v>
      </c>
      <c r="Z137" s="138">
        <f t="shared" si="52"/>
        <v>7.9049062217207061E-2</v>
      </c>
      <c r="AA137" s="143">
        <v>356839.94</v>
      </c>
      <c r="AB137" s="136"/>
      <c r="AC137" s="136"/>
      <c r="AD137"/>
      <c r="AI137" s="235"/>
      <c r="AJ137" s="235"/>
    </row>
    <row r="138" spans="1:36" ht="14.65" customHeight="1">
      <c r="A138" s="48"/>
      <c r="B138" s="26"/>
      <c r="C138" s="26"/>
      <c r="D138" s="64"/>
      <c r="E138" s="64"/>
      <c r="F138" s="26"/>
      <c r="G138" s="204"/>
      <c r="H138" s="238"/>
      <c r="R138" s="240"/>
      <c r="S138" s="240"/>
      <c r="T138" s="261">
        <f t="shared" si="51"/>
        <v>3980171</v>
      </c>
      <c r="W138" s="265"/>
      <c r="X138" s="20" t="s">
        <v>248</v>
      </c>
      <c r="Y138" s="128">
        <v>640020</v>
      </c>
      <c r="Z138" s="138">
        <f t="shared" si="52"/>
        <v>0.82920233056363746</v>
      </c>
      <c r="AA138" s="143">
        <v>3743150.16</v>
      </c>
      <c r="AB138" s="136"/>
      <c r="AC138" s="136"/>
      <c r="AD138"/>
    </row>
    <row r="139" spans="1:36" ht="14.65" customHeight="1">
      <c r="A139" s="48"/>
      <c r="B139" s="26"/>
      <c r="C139" s="26"/>
      <c r="D139" s="288" t="s">
        <v>266</v>
      </c>
      <c r="E139" s="288" t="s">
        <v>267</v>
      </c>
      <c r="F139" s="26"/>
      <c r="G139" s="204"/>
      <c r="H139" s="238"/>
      <c r="R139" s="240"/>
      <c r="S139" s="240"/>
      <c r="T139" s="261">
        <f t="shared" si="51"/>
        <v>263981</v>
      </c>
      <c r="W139" s="265"/>
      <c r="X139" s="20" t="s">
        <v>401</v>
      </c>
      <c r="Y139" s="128" t="s">
        <v>402</v>
      </c>
      <c r="Z139" s="138">
        <f t="shared" si="52"/>
        <v>5.4995959722533301E-2</v>
      </c>
      <c r="AA139" s="143">
        <v>248260.44</v>
      </c>
      <c r="AB139" s="136"/>
      <c r="AC139" s="136"/>
      <c r="AD139"/>
      <c r="AI139" s="235"/>
      <c r="AJ139" s="235"/>
    </row>
    <row r="140" spans="1:36" ht="14.65" customHeight="1">
      <c r="A140" s="48"/>
      <c r="B140" s="26"/>
      <c r="C140" s="26"/>
      <c r="D140" s="290">
        <f>G140/$G$142</f>
        <v>0.19222560975609754</v>
      </c>
      <c r="E140" s="207">
        <f>ROUND(G140/$H$137,0)</f>
        <v>47287500</v>
      </c>
      <c r="F140" s="156" t="s">
        <v>186</v>
      </c>
      <c r="G140" s="204">
        <f>$H140*$B$130*1000</f>
        <v>922682.92682926822</v>
      </c>
      <c r="H140" s="238">
        <f>IF(AND($B$130&lt;&gt;0,$C$130&lt;&gt;0),H134+H135,$H$137)</f>
        <v>5.1260162601626013E-3</v>
      </c>
      <c r="R140" s="240"/>
      <c r="S140" s="240"/>
      <c r="T140" s="261">
        <f t="shared" si="51"/>
        <v>7264</v>
      </c>
      <c r="W140" s="265"/>
      <c r="X140" s="20" t="s">
        <v>249</v>
      </c>
      <c r="Y140" s="128">
        <v>640040</v>
      </c>
      <c r="Z140" s="138">
        <f t="shared" si="52"/>
        <v>1.5133299095422179E-3</v>
      </c>
      <c r="AA140" s="143">
        <v>6831.41</v>
      </c>
      <c r="AB140" s="136"/>
      <c r="AC140" s="136"/>
      <c r="AD140"/>
      <c r="AI140" s="235"/>
      <c r="AJ140" s="235"/>
    </row>
    <row r="141" spans="1:36" ht="14.65" customHeight="1">
      <c r="A141" s="48"/>
      <c r="B141" s="26"/>
      <c r="C141" s="26"/>
      <c r="D141" s="290">
        <f>G141/$G$142</f>
        <v>0.80777439024390241</v>
      </c>
      <c r="E141" s="168">
        <f>ROUND(G141/$H$137,0)</f>
        <v>198712500</v>
      </c>
      <c r="F141" s="156" t="s">
        <v>286</v>
      </c>
      <c r="G141" s="239">
        <f>$H141*$C$130*1000</f>
        <v>3877317.0731707318</v>
      </c>
      <c r="H141" s="238">
        <f>IF(AND($B$130&lt;&gt;0,$C$130&lt;&gt;0),H134+H136,$H$137)</f>
        <v>5.8747228381374722E-2</v>
      </c>
      <c r="R141" s="160"/>
      <c r="S141" s="160"/>
      <c r="T141" s="261">
        <f t="shared" si="51"/>
        <v>1111</v>
      </c>
      <c r="W141" s="265"/>
      <c r="X141" s="20" t="s">
        <v>250</v>
      </c>
      <c r="Y141" s="128">
        <v>640070</v>
      </c>
      <c r="Z141" s="138">
        <f t="shared" si="52"/>
        <v>2.3147396449338557E-4</v>
      </c>
      <c r="AA141" s="143">
        <v>1044.9100000000001</v>
      </c>
      <c r="AB141"/>
      <c r="AC141"/>
      <c r="AD141"/>
      <c r="AI141" s="235"/>
      <c r="AJ141" s="235"/>
    </row>
    <row r="142" spans="1:36" ht="14.65" customHeight="1">
      <c r="A142" s="48"/>
      <c r="B142" s="26"/>
      <c r="C142" s="26"/>
      <c r="D142" s="290">
        <f>G142/$G$142</f>
        <v>1</v>
      </c>
      <c r="E142" s="289">
        <f>SUM(E140:E141)</f>
        <v>246000000</v>
      </c>
      <c r="F142" s="156" t="s">
        <v>107</v>
      </c>
      <c r="G142" s="285">
        <f>SUM(G140:G141)</f>
        <v>4800000</v>
      </c>
      <c r="H142" s="238"/>
      <c r="T142" s="262">
        <f t="shared" si="51"/>
        <v>11744</v>
      </c>
      <c r="W142" s="265"/>
      <c r="X142" s="20" t="s">
        <v>251</v>
      </c>
      <c r="Y142" s="128">
        <v>640080</v>
      </c>
      <c r="Z142" s="138">
        <f t="shared" si="52"/>
        <v>2.4466335723723111E-3</v>
      </c>
      <c r="AA142" s="161">
        <v>11044.49</v>
      </c>
      <c r="AI142" s="235"/>
      <c r="AJ142" s="235"/>
    </row>
    <row r="143" spans="1:36" ht="14.65" customHeight="1">
      <c r="A143" s="112"/>
      <c r="B143" s="113"/>
      <c r="C143" s="113"/>
      <c r="D143" s="113"/>
      <c r="E143" s="113"/>
      <c r="F143" s="113"/>
      <c r="G143" s="113"/>
      <c r="H143" s="284"/>
      <c r="T143" s="264">
        <f>SUM(T135:T142)</f>
        <v>4799999</v>
      </c>
      <c r="W143" s="256" t="s">
        <v>12</v>
      </c>
      <c r="X143" s="130" t="s">
        <v>30</v>
      </c>
      <c r="Y143" s="257" t="s">
        <v>107</v>
      </c>
      <c r="Z143" s="138">
        <f>SUM(Z135:Z142)</f>
        <v>0.99999999999999989</v>
      </c>
      <c r="AA143" s="259">
        <f>SUM(AA135:AA142)</f>
        <v>4514157.790000001</v>
      </c>
      <c r="AI143" s="235"/>
      <c r="AJ143" s="235"/>
    </row>
    <row r="144" spans="1:36">
      <c r="AI144" s="235"/>
      <c r="AJ144" s="235"/>
    </row>
    <row r="145" spans="1:8">
      <c r="A145" s="72"/>
      <c r="B145" s="72"/>
      <c r="C145" s="72"/>
      <c r="D145" s="72"/>
      <c r="E145" s="72"/>
      <c r="F145" s="72"/>
      <c r="G145" s="72"/>
      <c r="H145" s="72"/>
    </row>
    <row r="146" spans="1:8">
      <c r="A146" s="82" t="s">
        <v>71</v>
      </c>
      <c r="B146" s="93"/>
      <c r="C146" s="93"/>
      <c r="D146" s="93"/>
      <c r="E146" s="93"/>
      <c r="F146" s="93"/>
      <c r="G146" s="93"/>
      <c r="H146" s="148"/>
    </row>
    <row r="147" spans="1:8" ht="15">
      <c r="A147" s="82"/>
      <c r="B147" s="1011" t="s">
        <v>189</v>
      </c>
      <c r="C147" s="1011"/>
      <c r="D147" s="1011"/>
      <c r="E147" s="202"/>
      <c r="F147" s="93"/>
      <c r="G147" s="93"/>
      <c r="H147" s="148"/>
    </row>
    <row r="148" spans="1:8" ht="15">
      <c r="A148" s="48"/>
      <c r="B148" s="1004" t="s">
        <v>72</v>
      </c>
      <c r="C148" s="1004"/>
      <c r="D148" s="342">
        <v>52</v>
      </c>
      <c r="E148" s="49" t="s">
        <v>354</v>
      </c>
      <c r="F148" s="456">
        <f>'17 Std'!T9</f>
        <v>0.02</v>
      </c>
      <c r="G148" s="26"/>
      <c r="H148" s="77"/>
    </row>
    <row r="149" spans="1:8" ht="15">
      <c r="A149" s="48"/>
      <c r="B149" s="1004" t="s">
        <v>73</v>
      </c>
      <c r="C149" s="1004"/>
      <c r="D149" s="353">
        <v>42</v>
      </c>
      <c r="E149" s="200"/>
      <c r="F149" s="26"/>
      <c r="G149" s="26"/>
      <c r="H149" s="77"/>
    </row>
    <row r="150" spans="1:8" ht="15">
      <c r="A150" s="48"/>
      <c r="B150" s="1004" t="s">
        <v>74</v>
      </c>
      <c r="C150" s="1004"/>
      <c r="D150" s="353">
        <v>1.5</v>
      </c>
      <c r="E150" s="201"/>
      <c r="F150" s="26"/>
      <c r="G150" s="26"/>
      <c r="H150" s="111"/>
    </row>
    <row r="151" spans="1:8" ht="15">
      <c r="A151" s="112"/>
      <c r="B151" s="1005" t="s">
        <v>160</v>
      </c>
      <c r="C151" s="1005"/>
      <c r="D151" s="354">
        <v>0.45</v>
      </c>
      <c r="E151" s="180"/>
      <c r="F151" s="113"/>
      <c r="G151" s="113"/>
      <c r="H151" s="181"/>
    </row>
    <row r="152" spans="1:8">
      <c r="A152" s="82"/>
      <c r="B152" s="93"/>
      <c r="C152" s="93"/>
      <c r="D152" s="182"/>
      <c r="E152" s="93"/>
      <c r="F152" s="93"/>
      <c r="G152" s="93"/>
      <c r="H152" s="191"/>
    </row>
    <row r="154" spans="1:8">
      <c r="B154" s="1006"/>
      <c r="C154" s="1006"/>
      <c r="D154" s="1006"/>
      <c r="F154" s="1006"/>
      <c r="G154" s="1006"/>
      <c r="H154" s="1006"/>
    </row>
    <row r="155" spans="1:8">
      <c r="B155" s="114"/>
      <c r="C155" s="114"/>
      <c r="D155" s="115"/>
      <c r="E155" s="6"/>
      <c r="F155" s="114"/>
      <c r="G155" s="114"/>
      <c r="H155" s="115"/>
    </row>
    <row r="156" spans="1:8">
      <c r="C156" s="116"/>
      <c r="D156" s="117"/>
      <c r="G156" s="116"/>
      <c r="H156" s="117"/>
    </row>
    <row r="157" spans="1:8">
      <c r="C157" s="116"/>
      <c r="D157" s="108"/>
      <c r="G157" s="116"/>
      <c r="H157" s="108"/>
    </row>
    <row r="158" spans="1:8">
      <c r="C158" s="118"/>
      <c r="D158" s="108"/>
      <c r="G158" s="118"/>
      <c r="H158" s="108"/>
    </row>
    <row r="159" spans="1:8">
      <c r="C159" s="119"/>
      <c r="D159" s="108"/>
      <c r="G159" s="119"/>
      <c r="H159" s="108"/>
    </row>
    <row r="160" spans="1:8">
      <c r="C160" s="120"/>
      <c r="D160" s="108"/>
      <c r="G160" s="120"/>
      <c r="H160" s="108"/>
    </row>
    <row r="161" spans="3:8">
      <c r="C161" s="118"/>
      <c r="D161" s="108"/>
      <c r="G161" s="118"/>
      <c r="H161" s="108"/>
    </row>
    <row r="162" spans="3:8" ht="15">
      <c r="C162" s="121"/>
      <c r="D162" s="122"/>
      <c r="G162" s="121"/>
      <c r="H162" s="122"/>
    </row>
    <row r="163" spans="3:8" ht="15">
      <c r="D163" s="123"/>
      <c r="H163" s="123"/>
    </row>
  </sheetData>
  <mergeCells count="42">
    <mergeCell ref="B151:C151"/>
    <mergeCell ref="B154:D154"/>
    <mergeCell ref="F154:H154"/>
    <mergeCell ref="F130:G130"/>
    <mergeCell ref="F132:H132"/>
    <mergeCell ref="B147:D147"/>
    <mergeCell ref="B148:C148"/>
    <mergeCell ref="B149:C149"/>
    <mergeCell ref="B150:C150"/>
    <mergeCell ref="B128:H128"/>
    <mergeCell ref="AA62:AK62"/>
    <mergeCell ref="B64:D64"/>
    <mergeCell ref="F64:H64"/>
    <mergeCell ref="E78:G78"/>
    <mergeCell ref="AA78:AK78"/>
    <mergeCell ref="E79:F79"/>
    <mergeCell ref="E85:F85"/>
    <mergeCell ref="G85:H85"/>
    <mergeCell ref="B98:D98"/>
    <mergeCell ref="F98:H98"/>
    <mergeCell ref="E115:F115"/>
    <mergeCell ref="C36:D36"/>
    <mergeCell ref="E36:F36"/>
    <mergeCell ref="G36:H36"/>
    <mergeCell ref="B58:D58"/>
    <mergeCell ref="F58:H58"/>
    <mergeCell ref="AA129:AB129"/>
    <mergeCell ref="B27:H27"/>
    <mergeCell ref="N28:P28"/>
    <mergeCell ref="A1:J1"/>
    <mergeCell ref="R1:V1"/>
    <mergeCell ref="AA1:AI1"/>
    <mergeCell ref="A2:J2"/>
    <mergeCell ref="B3:D3"/>
    <mergeCell ref="E3:G3"/>
    <mergeCell ref="H3:J3"/>
    <mergeCell ref="M3:P3"/>
    <mergeCell ref="AA58:AK58"/>
    <mergeCell ref="AJ3:AL3"/>
    <mergeCell ref="Y22:Z22"/>
    <mergeCell ref="Y23:Z23"/>
    <mergeCell ref="Y24:Z24"/>
  </mergeCells>
  <printOptions horizontalCentered="1"/>
  <pageMargins left="0" right="0" top="1" bottom="1" header="0.5" footer="0.5"/>
  <pageSetup scale="83" fitToHeight="0" orientation="landscape" r:id="rId1"/>
  <headerFooter alignWithMargins="0">
    <oddHeader>&amp;R&amp;F
&amp;D  &amp;T</oddHeader>
    <oddFooter>Page &amp;P of &amp;N</oddFooter>
  </headerFooter>
  <rowBreaks count="5" manualBreakCount="5">
    <brk id="26" max="9" man="1"/>
    <brk id="57" max="9" man="1"/>
    <brk id="89" max="9" man="1"/>
    <brk id="111" max="9" man="1"/>
    <brk id="126" max="9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E163"/>
  <sheetViews>
    <sheetView zoomScaleNormal="10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B3" sqref="B3:D3"/>
    </sheetView>
  </sheetViews>
  <sheetFormatPr defaultColWidth="10.5703125" defaultRowHeight="12.75"/>
  <cols>
    <col min="1" max="1" width="45.5703125" style="1" bestFit="1" customWidth="1"/>
    <col min="2" max="2" width="13.5703125" style="1" bestFit="1" customWidth="1"/>
    <col min="3" max="3" width="12.7109375" style="1" bestFit="1" customWidth="1"/>
    <col min="4" max="4" width="12.5703125" style="1" bestFit="1" customWidth="1"/>
    <col min="5" max="5" width="13.42578125" style="1" bestFit="1" customWidth="1"/>
    <col min="6" max="6" width="15.5703125" style="1" bestFit="1" customWidth="1"/>
    <col min="7" max="8" width="12.28515625" style="1" bestFit="1" customWidth="1"/>
    <col min="9" max="9" width="8.7109375" style="1" bestFit="1" customWidth="1"/>
    <col min="10" max="10" width="11.42578125" style="1" bestFit="1" customWidth="1"/>
    <col min="11" max="11" width="12.42578125" style="1" customWidth="1"/>
    <col min="12" max="12" width="9.7109375" style="1" bestFit="1" customWidth="1"/>
    <col min="13" max="13" width="12.42578125" style="1" bestFit="1" customWidth="1"/>
    <col min="14" max="14" width="11.5703125" style="1" bestFit="1" customWidth="1"/>
    <col min="15" max="15" width="11.7109375" style="1" bestFit="1" customWidth="1"/>
    <col min="16" max="16" width="5.28515625" style="62" bestFit="1" customWidth="1"/>
    <col min="17" max="17" width="16.5703125" style="1" bestFit="1" customWidth="1"/>
    <col min="18" max="19" width="9" style="1" bestFit="1" customWidth="1"/>
    <col min="20" max="21" width="12.42578125" style="1" bestFit="1" customWidth="1"/>
    <col min="22" max="22" width="12.42578125" style="1" customWidth="1"/>
    <col min="23" max="23" width="12.42578125" style="1" bestFit="1" customWidth="1"/>
    <col min="24" max="24" width="11.5703125" style="135" bestFit="1" customWidth="1"/>
    <col min="25" max="25" width="11.5703125" style="1" bestFit="1" customWidth="1"/>
    <col min="26" max="26" width="11.5703125" style="1" customWidth="1"/>
    <col min="27" max="27" width="11.5703125" style="1" bestFit="1" customWidth="1"/>
    <col min="28" max="28" width="11.7109375" style="1" bestFit="1" customWidth="1"/>
    <col min="29" max="30" width="11.5703125" style="1" bestFit="1" customWidth="1"/>
    <col min="31" max="31" width="11.42578125" style="1" bestFit="1" customWidth="1"/>
    <col min="32" max="233" width="8.5703125" style="1" customWidth="1"/>
    <col min="234" max="16384" width="10.5703125" style="1"/>
  </cols>
  <sheetData>
    <row r="1" spans="1:31" ht="18.75" customHeight="1">
      <c r="A1" s="1028" t="s">
        <v>106</v>
      </c>
      <c r="B1" s="1028"/>
      <c r="C1" s="1028"/>
      <c r="D1" s="1028"/>
      <c r="E1" s="1028"/>
      <c r="F1" s="1028"/>
      <c r="G1" s="1028"/>
      <c r="H1" s="1028"/>
      <c r="K1" s="1029" t="s">
        <v>216</v>
      </c>
      <c r="L1" s="1029"/>
      <c r="M1" s="1029"/>
      <c r="N1" s="1029"/>
      <c r="O1" s="1029"/>
      <c r="P1" s="245"/>
      <c r="Q1" s="246"/>
      <c r="R1" s="128"/>
      <c r="S1" s="128"/>
      <c r="T1" s="1029" t="s">
        <v>225</v>
      </c>
      <c r="U1" s="1029"/>
      <c r="V1" s="1029"/>
      <c r="W1" s="1029"/>
      <c r="X1" s="1029"/>
      <c r="Y1" s="1029"/>
      <c r="Z1" s="1029"/>
      <c r="AA1" s="1029"/>
      <c r="AB1" s="1029"/>
      <c r="AC1" s="248" t="s">
        <v>194</v>
      </c>
      <c r="AD1" s="248" t="s">
        <v>177</v>
      </c>
      <c r="AE1" s="248" t="s">
        <v>282</v>
      </c>
    </row>
    <row r="2" spans="1:31" ht="18" customHeight="1">
      <c r="A2" s="1030" t="s">
        <v>0</v>
      </c>
      <c r="B2" s="1030"/>
      <c r="C2" s="1030"/>
      <c r="D2" s="1030"/>
      <c r="E2" s="1030"/>
      <c r="F2" s="1030"/>
      <c r="G2" s="1030"/>
      <c r="H2" s="1030"/>
      <c r="K2" s="10" t="s">
        <v>190</v>
      </c>
      <c r="L2" s="10" t="s">
        <v>55</v>
      </c>
      <c r="M2" s="10" t="s">
        <v>3</v>
      </c>
      <c r="N2" s="140" t="s">
        <v>1</v>
      </c>
      <c r="O2" s="140" t="s">
        <v>215</v>
      </c>
      <c r="P2" s="249" t="s">
        <v>2</v>
      </c>
      <c r="Q2" s="9" t="s">
        <v>223</v>
      </c>
      <c r="R2" s="129" t="s">
        <v>226</v>
      </c>
      <c r="S2" s="129" t="s">
        <v>227</v>
      </c>
      <c r="T2" s="10" t="s">
        <v>194</v>
      </c>
      <c r="U2" s="10" t="s">
        <v>177</v>
      </c>
      <c r="V2" s="10" t="s">
        <v>282</v>
      </c>
      <c r="W2" s="10" t="s">
        <v>3</v>
      </c>
      <c r="X2" s="140" t="s">
        <v>228</v>
      </c>
      <c r="Y2" s="140" t="s">
        <v>229</v>
      </c>
      <c r="Z2" s="140" t="s">
        <v>283</v>
      </c>
      <c r="AA2" s="140" t="s">
        <v>230</v>
      </c>
      <c r="AB2" s="140" t="s">
        <v>215</v>
      </c>
      <c r="AC2" s="249" t="s">
        <v>222</v>
      </c>
      <c r="AD2" s="249" t="s">
        <v>222</v>
      </c>
      <c r="AE2" s="249" t="s">
        <v>222</v>
      </c>
    </row>
    <row r="3" spans="1:31" ht="17.25" customHeight="1">
      <c r="B3" s="1066" t="s">
        <v>186</v>
      </c>
      <c r="C3" s="1066"/>
      <c r="D3" s="1066"/>
      <c r="F3" s="1066" t="s">
        <v>105</v>
      </c>
      <c r="G3" s="1066"/>
      <c r="H3" s="1066"/>
      <c r="K3" s="4"/>
      <c r="L3" s="4"/>
      <c r="M3" s="4"/>
      <c r="N3" s="4"/>
      <c r="O3" s="5"/>
      <c r="P3" s="265"/>
      <c r="Q3" s="3"/>
      <c r="R3" s="125"/>
      <c r="S3" s="126"/>
      <c r="T3" s="242"/>
      <c r="U3" s="242"/>
      <c r="V3" s="242"/>
      <c r="W3" s="4"/>
      <c r="X3" s="242"/>
      <c r="Y3" s="242"/>
      <c r="Z3" s="242"/>
      <c r="AA3" s="242"/>
      <c r="AB3" s="5"/>
      <c r="AC3" s="5"/>
      <c r="AD3" s="5"/>
      <c r="AE3" s="5"/>
    </row>
    <row r="4" spans="1:31" s="6" customFormat="1" ht="16.5">
      <c r="B4" s="7" t="s">
        <v>108</v>
      </c>
      <c r="C4" s="8" t="s">
        <v>104</v>
      </c>
      <c r="D4" s="8" t="s">
        <v>102</v>
      </c>
      <c r="E4" s="62"/>
      <c r="F4" s="7" t="s">
        <v>108</v>
      </c>
      <c r="G4" s="7" t="s">
        <v>108</v>
      </c>
      <c r="H4" s="8" t="s">
        <v>102</v>
      </c>
      <c r="I4" s="62"/>
      <c r="K4" s="10"/>
      <c r="L4" s="10"/>
      <c r="M4" s="10"/>
      <c r="N4" s="5"/>
      <c r="O4" s="5"/>
      <c r="P4" s="256"/>
      <c r="Q4" s="9"/>
      <c r="R4" s="125"/>
      <c r="S4" s="126"/>
      <c r="T4" s="243"/>
      <c r="U4" s="243"/>
      <c r="V4" s="243"/>
      <c r="W4" s="10"/>
      <c r="X4" s="244"/>
      <c r="Y4" s="244"/>
      <c r="Z4" s="244"/>
      <c r="AA4" s="244"/>
      <c r="AB4" s="5"/>
      <c r="AC4" s="5"/>
      <c r="AD4" s="5"/>
      <c r="AE4" s="5"/>
    </row>
    <row r="5" spans="1:31" s="6" customFormat="1" ht="15">
      <c r="A5" s="11"/>
      <c r="B5" s="12"/>
      <c r="C5" s="13" t="s">
        <v>103</v>
      </c>
      <c r="D5" s="12"/>
      <c r="F5" s="309" t="s">
        <v>278</v>
      </c>
      <c r="G5" s="309" t="s">
        <v>279</v>
      </c>
      <c r="H5" s="309" t="s">
        <v>278</v>
      </c>
      <c r="K5" s="15"/>
      <c r="L5" s="15"/>
      <c r="M5" s="15"/>
      <c r="N5" s="16"/>
      <c r="O5" s="16"/>
      <c r="P5" s="159"/>
      <c r="Q5" s="14"/>
      <c r="R5" s="125"/>
      <c r="S5" s="126"/>
      <c r="T5" s="15"/>
      <c r="U5" s="15"/>
      <c r="V5" s="15"/>
      <c r="W5" s="15"/>
      <c r="X5" s="16"/>
      <c r="Y5" s="16"/>
      <c r="Z5" s="16"/>
      <c r="AA5" s="16"/>
      <c r="AB5" s="16"/>
      <c r="AC5" s="16"/>
      <c r="AD5" s="16"/>
      <c r="AE5" s="16"/>
    </row>
    <row r="6" spans="1:31" ht="15">
      <c r="A6" s="17" t="s">
        <v>4</v>
      </c>
      <c r="B6" s="18" t="e">
        <f>$D$54</f>
        <v>#REF!</v>
      </c>
      <c r="C6" s="18">
        <v>4.0898119483163506E-2</v>
      </c>
      <c r="D6" s="18">
        <v>3.8799390000000003E-2</v>
      </c>
      <c r="E6" s="253"/>
      <c r="F6" s="18" t="e">
        <f>$F$54</f>
        <v>#REF!</v>
      </c>
      <c r="G6" s="18" t="e">
        <f>$H$54</f>
        <v>#REF!</v>
      </c>
      <c r="H6" s="18">
        <v>8.3319390000000007E-2</v>
      </c>
      <c r="I6" s="253"/>
      <c r="K6" s="21"/>
      <c r="L6" s="21"/>
      <c r="M6" s="21"/>
      <c r="N6" s="2"/>
      <c r="O6" s="2"/>
      <c r="P6" s="159"/>
      <c r="Q6" s="20"/>
      <c r="R6" s="125"/>
      <c r="S6" s="126"/>
      <c r="T6" s="21"/>
      <c r="U6" s="21"/>
      <c r="V6" s="21"/>
      <c r="W6" s="21"/>
      <c r="X6" s="2"/>
      <c r="Y6" s="2"/>
      <c r="Z6" s="2"/>
      <c r="AA6" s="2"/>
      <c r="AB6" s="2"/>
      <c r="AC6" s="2"/>
      <c r="AD6" s="2"/>
      <c r="AE6" s="2"/>
    </row>
    <row r="7" spans="1:31" ht="15">
      <c r="A7" s="17" t="s">
        <v>5</v>
      </c>
      <c r="B7" s="22">
        <f>$D$102</f>
        <v>4.2586033477899779E-3</v>
      </c>
      <c r="C7" s="23">
        <v>6.4909804142654374E-3</v>
      </c>
      <c r="D7" s="23">
        <v>4.4800000000000005E-3</v>
      </c>
      <c r="E7" s="67"/>
      <c r="F7" s="22">
        <f>$H$102</f>
        <v>5.0065205607455927E-2</v>
      </c>
      <c r="G7" s="22">
        <f>$H$102</f>
        <v>5.0065205607455927E-2</v>
      </c>
      <c r="H7" s="23">
        <v>2.4500000000000001E-2</v>
      </c>
      <c r="I7" s="67"/>
      <c r="K7" s="24">
        <f>ROUND($G$96*$H$96,0)</f>
        <v>3605507</v>
      </c>
      <c r="L7" s="24">
        <v>0</v>
      </c>
      <c r="M7" s="24">
        <f>SUM(K7:L7)</f>
        <v>3605507</v>
      </c>
      <c r="N7" s="19">
        <f>G96</f>
        <v>54185000</v>
      </c>
      <c r="O7" s="25">
        <f>M7/N7</f>
        <v>6.6540684691335242E-2</v>
      </c>
      <c r="P7" s="159" t="s">
        <v>6</v>
      </c>
      <c r="Q7" s="20" t="s">
        <v>7</v>
      </c>
      <c r="R7" s="125">
        <v>630010</v>
      </c>
      <c r="S7" s="126">
        <v>1</v>
      </c>
      <c r="T7" s="24">
        <f>ROUND($B$102*$C$102*$B$24*1000,0)</f>
        <v>676692</v>
      </c>
      <c r="U7" s="24">
        <f>ROUND($F$102*$G$102*$F$24*1000,0)</f>
        <v>2928815</v>
      </c>
      <c r="V7" s="24">
        <f>ROUND($F$102*$G$102*$G$24*1000,0)</f>
        <v>0</v>
      </c>
      <c r="W7" s="24">
        <f>SUM(T7:V7)</f>
        <v>3605507</v>
      </c>
      <c r="X7" s="19">
        <f>$B$102*$B$24*1000</f>
        <v>10169600</v>
      </c>
      <c r="Y7" s="19">
        <f>$F$102*$F$24*1000</f>
        <v>44015399.999999993</v>
      </c>
      <c r="Z7" s="19">
        <f>$F$102*$G$24*1000</f>
        <v>0</v>
      </c>
      <c r="AA7" s="19">
        <f>SUM(X7:Z7)</f>
        <v>54184999.999999993</v>
      </c>
      <c r="AB7" s="25">
        <f>W7/AA7</f>
        <v>6.6540684691335256E-2</v>
      </c>
      <c r="AC7" s="56">
        <f>ROUND(X7/$B$24,3)</f>
        <v>64</v>
      </c>
      <c r="AD7" s="56">
        <f>ROUND(Y7/$F$24,3)</f>
        <v>752.4</v>
      </c>
      <c r="AE7" s="56">
        <f>IF($G$24&lt;&gt;0,ROUND(Z7/$G$24,3),0)</f>
        <v>0</v>
      </c>
    </row>
    <row r="8" spans="1:31" ht="15">
      <c r="A8" s="26" t="s">
        <v>8</v>
      </c>
      <c r="B8" s="23">
        <f>$D$107</f>
        <v>2.1338942513967681E-2</v>
      </c>
      <c r="C8" s="23">
        <v>2.197757451841726E-2</v>
      </c>
      <c r="D8" s="23">
        <v>2.1488999999999998E-2</v>
      </c>
      <c r="E8" s="67"/>
      <c r="F8" s="23">
        <f>$H$107</f>
        <v>1.1887447427872407E-2</v>
      </c>
      <c r="G8" s="23">
        <f>$H$107</f>
        <v>1.1887447427872407E-2</v>
      </c>
      <c r="H8" s="23">
        <v>1.0744499999999999E-2</v>
      </c>
      <c r="I8" s="67"/>
      <c r="K8" s="24">
        <f>ROUND($D$96*$C$96,0)</f>
        <v>4086174</v>
      </c>
      <c r="L8" s="24">
        <v>0</v>
      </c>
      <c r="M8" s="24">
        <f>SUM(K8:L8)</f>
        <v>4086174</v>
      </c>
      <c r="N8" s="19">
        <f>C96*1000</f>
        <v>838722000.00000012</v>
      </c>
      <c r="O8" s="25">
        <f>M8/N8</f>
        <v>4.8719051127787266E-3</v>
      </c>
      <c r="P8" s="159" t="s">
        <v>9</v>
      </c>
      <c r="Q8" s="20" t="s">
        <v>10</v>
      </c>
      <c r="R8" s="125" t="s">
        <v>75</v>
      </c>
      <c r="S8" s="126">
        <v>1</v>
      </c>
      <c r="T8" s="24">
        <f>ROUND($B$107*$C$107*$B$24*1000,0)</f>
        <v>3390758</v>
      </c>
      <c r="U8" s="24">
        <f>ROUND($F$107*$G$107*$F$24*1000,0)</f>
        <v>695416</v>
      </c>
      <c r="V8" s="24">
        <f>ROUND($F$107*$G$107*$G$24*1000,0)</f>
        <v>0</v>
      </c>
      <c r="W8" s="24">
        <f t="shared" ref="W8:W11" si="0">SUM(T8:V8)</f>
        <v>4086174</v>
      </c>
      <c r="X8" s="19">
        <f>$B$107*$B$24*1000*1000</f>
        <v>695982000.00000012</v>
      </c>
      <c r="Y8" s="19">
        <f>$F$107*$F$24*1000*1000</f>
        <v>142740000</v>
      </c>
      <c r="Z8" s="19">
        <f>$F$107*$G$24*1000*1000</f>
        <v>0</v>
      </c>
      <c r="AA8" s="19">
        <f t="shared" ref="AA8:AA11" si="1">SUM(X8:Z8)</f>
        <v>838722000.00000012</v>
      </c>
      <c r="AB8" s="25">
        <f>W8/AA8</f>
        <v>4.8719051127787266E-3</v>
      </c>
      <c r="AC8" s="56">
        <f>ROUND(X8/$B$24,3)</f>
        <v>4380</v>
      </c>
      <c r="AD8" s="56">
        <f>ROUND(Y8/$F$24,3)</f>
        <v>2440</v>
      </c>
      <c r="AE8" s="56">
        <f t="shared" ref="AE8:AE11" si="2">IF($G$24&lt;&gt;0,ROUND(Z8/$G$24,3),0)</f>
        <v>0</v>
      </c>
    </row>
    <row r="9" spans="1:31" ht="15">
      <c r="A9" s="17" t="s">
        <v>11</v>
      </c>
      <c r="B9" s="23">
        <f>$H$117</f>
        <v>1.2419503219871205E-2</v>
      </c>
      <c r="C9" s="23">
        <v>8.9528163648736024E-3</v>
      </c>
      <c r="D9" s="23">
        <v>0.01</v>
      </c>
      <c r="E9" s="67"/>
      <c r="F9" s="23">
        <f>$H$117</f>
        <v>1.2419503219871205E-2</v>
      </c>
      <c r="G9" s="23">
        <f>$H$117</f>
        <v>1.2419503219871205E-2</v>
      </c>
      <c r="H9" s="23">
        <v>0.01</v>
      </c>
      <c r="I9" s="67"/>
      <c r="K9" s="24">
        <f>ROUND($G$117,0)</f>
        <v>2700000</v>
      </c>
      <c r="L9" s="24">
        <v>0</v>
      </c>
      <c r="M9" s="24">
        <f>SUM(K9:L9)</f>
        <v>2700000</v>
      </c>
      <c r="N9" s="19">
        <f>$B$25*1000</f>
        <v>217400000</v>
      </c>
      <c r="O9" s="25">
        <f>M9/N9</f>
        <v>1.2419503219871205E-2</v>
      </c>
      <c r="P9" s="159" t="s">
        <v>12</v>
      </c>
      <c r="Q9" s="20" t="s">
        <v>13</v>
      </c>
      <c r="R9" s="125" t="s">
        <v>76</v>
      </c>
      <c r="S9" s="126">
        <v>1</v>
      </c>
      <c r="T9" s="24">
        <f>$H$117*$B$24*1000</f>
        <v>1973459.0616375345</v>
      </c>
      <c r="U9" s="24">
        <f>$H$117*$F$24*1000</f>
        <v>726540.93836246547</v>
      </c>
      <c r="V9" s="24">
        <f>$H$117*$G$24*1000</f>
        <v>0</v>
      </c>
      <c r="W9" s="24">
        <f t="shared" si="0"/>
        <v>2700000</v>
      </c>
      <c r="X9" s="19">
        <f>$B$24*1000</f>
        <v>158900000</v>
      </c>
      <c r="Y9" s="19">
        <f>$F$24*1000</f>
        <v>58500000</v>
      </c>
      <c r="Z9" s="19">
        <f>$G$24*1000</f>
        <v>0</v>
      </c>
      <c r="AA9" s="19">
        <f t="shared" si="1"/>
        <v>217400000</v>
      </c>
      <c r="AB9" s="25">
        <f>W9/AA9</f>
        <v>1.2419503219871205E-2</v>
      </c>
      <c r="AC9" s="56">
        <f>ROUND(X9/$B$24,3)</f>
        <v>1000</v>
      </c>
      <c r="AD9" s="56">
        <f>ROUND(Y9/$F$24,3)</f>
        <v>1000</v>
      </c>
      <c r="AE9" s="56">
        <f t="shared" si="2"/>
        <v>0</v>
      </c>
    </row>
    <row r="10" spans="1:31" ht="15">
      <c r="A10" s="17" t="s">
        <v>14</v>
      </c>
      <c r="B10" s="23">
        <f>$H$121</f>
        <v>6.8997240110395589E-4</v>
      </c>
      <c r="C10" s="23">
        <v>4.7275009988681873E-4</v>
      </c>
      <c r="D10" s="23">
        <v>5.0000000000000001E-4</v>
      </c>
      <c r="E10" s="67"/>
      <c r="F10" s="23">
        <f>$H$121</f>
        <v>6.8997240110395589E-4</v>
      </c>
      <c r="G10" s="23">
        <f>$H$121</f>
        <v>6.8997240110395589E-4</v>
      </c>
      <c r="H10" s="23">
        <v>5.0000000000000001E-4</v>
      </c>
      <c r="I10" s="67"/>
      <c r="K10" s="24">
        <f>ROUND($G$121,0)</f>
        <v>150000</v>
      </c>
      <c r="L10" s="24">
        <v>0</v>
      </c>
      <c r="M10" s="24">
        <f>SUM(K10:L10)</f>
        <v>150000</v>
      </c>
      <c r="N10" s="19">
        <f>$B$25*1000</f>
        <v>217400000</v>
      </c>
      <c r="O10" s="25">
        <f>M10/N10</f>
        <v>6.8997240110395589E-4</v>
      </c>
      <c r="P10" s="159" t="s">
        <v>12</v>
      </c>
      <c r="Q10" s="20" t="s">
        <v>15</v>
      </c>
      <c r="R10" s="125" t="s">
        <v>77</v>
      </c>
      <c r="S10" s="126">
        <v>1</v>
      </c>
      <c r="T10" s="24">
        <f>$H$121*$B$24*1000</f>
        <v>109636.61453541859</v>
      </c>
      <c r="U10" s="24">
        <f>$H$121*$F$24*1000</f>
        <v>40363.385464581421</v>
      </c>
      <c r="V10" s="24">
        <f>$H$121*$G$24*1000</f>
        <v>0</v>
      </c>
      <c r="W10" s="24">
        <f t="shared" si="0"/>
        <v>150000</v>
      </c>
      <c r="X10" s="19">
        <f>$B$24*1000</f>
        <v>158900000</v>
      </c>
      <c r="Y10" s="19">
        <f>$F$24*1000</f>
        <v>58500000</v>
      </c>
      <c r="Z10" s="19">
        <f>$G$24*1000</f>
        <v>0</v>
      </c>
      <c r="AA10" s="19">
        <f t="shared" si="1"/>
        <v>217400000</v>
      </c>
      <c r="AB10" s="25">
        <f>W10/AA10</f>
        <v>6.8997240110395589E-4</v>
      </c>
      <c r="AC10" s="56">
        <f>ROUND(X10/$B$24,3)</f>
        <v>1000</v>
      </c>
      <c r="AD10" s="56">
        <f>ROUND(Y10/$F$24,3)</f>
        <v>1000</v>
      </c>
      <c r="AE10" s="56">
        <f t="shared" si="2"/>
        <v>0</v>
      </c>
    </row>
    <row r="11" spans="1:31" ht="15">
      <c r="A11" s="17" t="s">
        <v>16</v>
      </c>
      <c r="B11" s="27">
        <f>$H$124</f>
        <v>2.2999080036798527E-3</v>
      </c>
      <c r="C11" s="27">
        <v>2.5001793449420055E-3</v>
      </c>
      <c r="D11" s="27">
        <v>2.7000000000000001E-3</v>
      </c>
      <c r="E11" s="237"/>
      <c r="F11" s="31">
        <f>$H$124</f>
        <v>2.2999080036798527E-3</v>
      </c>
      <c r="G11" s="31">
        <f>$H$124</f>
        <v>2.2999080036798527E-3</v>
      </c>
      <c r="H11" s="31">
        <v>2.7000000000000001E-3</v>
      </c>
      <c r="I11" s="237"/>
      <c r="K11" s="28">
        <f>ROUND($G$124,0)</f>
        <v>500000</v>
      </c>
      <c r="L11" s="28">
        <v>0</v>
      </c>
      <c r="M11" s="28">
        <f>SUM(K11:L11)</f>
        <v>500000</v>
      </c>
      <c r="N11" s="19">
        <f>$B$25*1000</f>
        <v>217400000</v>
      </c>
      <c r="O11" s="25">
        <f>M11/N11</f>
        <v>2.2999080036798527E-3</v>
      </c>
      <c r="P11" s="159" t="s">
        <v>12</v>
      </c>
      <c r="Q11" s="20" t="s">
        <v>17</v>
      </c>
      <c r="R11" s="125" t="s">
        <v>78</v>
      </c>
      <c r="S11" s="127" t="s">
        <v>78</v>
      </c>
      <c r="T11" s="28">
        <f>$H$124*$B$24*1000</f>
        <v>365455.38178472861</v>
      </c>
      <c r="U11" s="28">
        <f>$H$124*$F$24*1000</f>
        <v>134544.61821527139</v>
      </c>
      <c r="V11" s="28">
        <f>$H$124*$G$24*1000</f>
        <v>0</v>
      </c>
      <c r="W11" s="28">
        <f t="shared" si="0"/>
        <v>500000</v>
      </c>
      <c r="X11" s="19">
        <f>$B$24*1000</f>
        <v>158900000</v>
      </c>
      <c r="Y11" s="19">
        <f>$F$24*1000</f>
        <v>58500000</v>
      </c>
      <c r="Z11" s="19">
        <f>$G$24*1000</f>
        <v>0</v>
      </c>
      <c r="AA11" s="19">
        <f t="shared" si="1"/>
        <v>217400000</v>
      </c>
      <c r="AB11" s="25">
        <f>W11/AA11</f>
        <v>2.2999080036798527E-3</v>
      </c>
      <c r="AC11" s="56">
        <f>ROUND(X11/$B$24,3)</f>
        <v>1000</v>
      </c>
      <c r="AD11" s="56">
        <f>ROUND(Y11/$F$24,3)</f>
        <v>1000</v>
      </c>
      <c r="AE11" s="56">
        <f t="shared" si="2"/>
        <v>0</v>
      </c>
    </row>
    <row r="12" spans="1:31">
      <c r="A12" s="192" t="s">
        <v>169</v>
      </c>
      <c r="B12" s="23" t="e">
        <f t="shared" ref="B12:H12" si="3">SUM(B6:B11)</f>
        <v>#REF!</v>
      </c>
      <c r="C12" s="23">
        <f t="shared" si="3"/>
        <v>8.1292420225548639E-2</v>
      </c>
      <c r="D12" s="23">
        <f t="shared" si="3"/>
        <v>7.7968389999999985E-2</v>
      </c>
      <c r="E12" s="67"/>
      <c r="F12" s="23" t="e">
        <f t="shared" si="3"/>
        <v>#REF!</v>
      </c>
      <c r="G12" s="23" t="e">
        <f t="shared" si="3"/>
        <v>#REF!</v>
      </c>
      <c r="H12" s="23">
        <f t="shared" si="3"/>
        <v>0.13176389000000002</v>
      </c>
      <c r="I12" s="67"/>
      <c r="K12" s="29">
        <f>SUM(K7:K11)</f>
        <v>11041681</v>
      </c>
      <c r="L12" s="29">
        <f>SUM(L7:L11)</f>
        <v>0</v>
      </c>
      <c r="M12" s="29">
        <f>SUM(M7:M11)</f>
        <v>11041681</v>
      </c>
      <c r="N12" s="19"/>
      <c r="O12" s="19"/>
      <c r="P12" s="159"/>
      <c r="Q12" s="20"/>
      <c r="R12" s="125"/>
      <c r="S12" s="127"/>
      <c r="T12" s="29">
        <f>SUM(T7:T11)</f>
        <v>6516001.0579576818</v>
      </c>
      <c r="U12" s="29">
        <f>SUM(U7:U11)</f>
        <v>4525679.9420423182</v>
      </c>
      <c r="V12" s="29">
        <f>SUM(V7:V11)</f>
        <v>0</v>
      </c>
      <c r="W12" s="29">
        <f>SUM(W7:W11)</f>
        <v>11041681</v>
      </c>
      <c r="X12" s="19"/>
      <c r="Y12" s="19"/>
      <c r="Z12" s="19"/>
      <c r="AA12" s="19"/>
      <c r="AB12" s="19"/>
      <c r="AC12" s="19"/>
      <c r="AD12" s="19"/>
      <c r="AE12" s="19"/>
    </row>
    <row r="13" spans="1:31">
      <c r="A13" s="17"/>
      <c r="B13" s="30"/>
      <c r="C13" s="23"/>
      <c r="D13" s="23"/>
      <c r="F13" s="30"/>
      <c r="G13" s="23"/>
      <c r="H13" s="23"/>
      <c r="K13" s="29"/>
      <c r="L13" s="29"/>
      <c r="M13" s="29"/>
      <c r="N13" s="19"/>
      <c r="O13" s="19"/>
      <c r="P13" s="159"/>
      <c r="Q13" s="20"/>
      <c r="R13" s="125"/>
      <c r="S13" s="127"/>
      <c r="T13" s="29"/>
      <c r="U13" s="29"/>
      <c r="V13" s="29"/>
      <c r="W13" s="29"/>
      <c r="X13" s="19"/>
      <c r="Y13" s="19"/>
      <c r="Z13" s="19"/>
      <c r="AA13" s="19"/>
      <c r="AB13" s="19"/>
      <c r="AC13" s="19"/>
      <c r="AD13" s="19"/>
      <c r="AE13" s="19"/>
    </row>
    <row r="14" spans="1:31">
      <c r="A14" s="17" t="s">
        <v>18</v>
      </c>
      <c r="B14" s="23">
        <f>$F$87/$B$24/1000</f>
        <v>8.0961335752693063E-3</v>
      </c>
      <c r="C14" s="23">
        <v>8.5144803026994224E-3</v>
      </c>
      <c r="D14" s="23">
        <v>7.3774236951620643E-3</v>
      </c>
      <c r="E14" s="67"/>
      <c r="F14" s="23">
        <f>$H$87/($F$24+$G$24)/1000</f>
        <v>3.542629887225493E-2</v>
      </c>
      <c r="G14" s="23">
        <f>$H$87/($F$24+$G$24)/1000</f>
        <v>3.542629887225493E-2</v>
      </c>
      <c r="H14" s="23">
        <v>1.1859323170645182E-2</v>
      </c>
      <c r="I14" s="67"/>
      <c r="K14" s="24">
        <f>ROUND($D$76,0)</f>
        <v>3358914</v>
      </c>
      <c r="L14" s="24">
        <f>ROUND($D$75,0)</f>
        <v>119482</v>
      </c>
      <c r="M14" s="24">
        <f t="shared" ref="M14:M19" si="4">SUM(K14:L14)</f>
        <v>3478396</v>
      </c>
      <c r="N14" s="19">
        <f>$B$74</f>
        <v>109285.2</v>
      </c>
      <c r="O14" s="25">
        <f t="shared" ref="O14:O19" si="5">M14/N14</f>
        <v>31.828609912412659</v>
      </c>
      <c r="P14" s="159" t="s">
        <v>19</v>
      </c>
      <c r="Q14" s="20" t="s">
        <v>20</v>
      </c>
      <c r="R14" s="125" t="s">
        <v>78</v>
      </c>
      <c r="S14" s="127" t="s">
        <v>78</v>
      </c>
      <c r="T14" s="24">
        <f>$F87</f>
        <v>1286475.6251102928</v>
      </c>
      <c r="U14" s="24">
        <f>$H87/($F$24+$G$24)*F24</f>
        <v>2072438.4840269135</v>
      </c>
      <c r="V14" s="24">
        <f>$H87/($F$24+$G$24)*G24</f>
        <v>0</v>
      </c>
      <c r="W14" s="24">
        <f t="shared" ref="W14:W19" si="6">SUM(T14:V14)</f>
        <v>3358914.1091372063</v>
      </c>
      <c r="X14" s="19">
        <f>$E87</f>
        <v>40418.845797585018</v>
      </c>
      <c r="Y14" s="19">
        <f>$G87/($F$24+$G$24)*F24</f>
        <v>65112.443544107773</v>
      </c>
      <c r="Z14" s="19">
        <f>$G87/($F$24+$G$24)*G24</f>
        <v>0</v>
      </c>
      <c r="AA14" s="19">
        <f t="shared" ref="AA14:AA19" si="7">SUM(X14:Z14)</f>
        <v>105531.28934169278</v>
      </c>
      <c r="AB14" s="25">
        <f t="shared" ref="AB14:AB19" si="8">W14/AA14</f>
        <v>31.828608653321769</v>
      </c>
      <c r="AC14" s="56">
        <f t="shared" ref="AC14:AC19" si="9">ROUND(X14/$B$24,3)</f>
        <v>0.254</v>
      </c>
      <c r="AD14" s="56">
        <f t="shared" ref="AD14:AD19" si="10">ROUND(Y14/$F$24,3)</f>
        <v>1.113</v>
      </c>
      <c r="AE14" s="56">
        <f t="shared" ref="AE14:AE19" si="11">IF($G$24&lt;&gt;0,ROUND(Z14/$G$24,3),0)</f>
        <v>0</v>
      </c>
    </row>
    <row r="15" spans="1:31">
      <c r="A15" s="17" t="s">
        <v>21</v>
      </c>
      <c r="B15" s="23">
        <f>$F$88/$B$24/1000</f>
        <v>4.6290815878076387E-3</v>
      </c>
      <c r="C15" s="23">
        <v>4.1178865580292932E-3</v>
      </c>
      <c r="D15" s="23">
        <v>4.3506120000000011E-3</v>
      </c>
      <c r="E15" s="67"/>
      <c r="F15" s="23">
        <f>$H$88/($F$24+$G$24)/1000</f>
        <v>1.0568134859784039E-2</v>
      </c>
      <c r="G15" s="23">
        <f>$H$88/($F$24+$G$24)/1000</f>
        <v>1.0568134859784039E-2</v>
      </c>
      <c r="H15" s="23">
        <v>5.3781145599999993E-3</v>
      </c>
      <c r="I15" s="67"/>
      <c r="K15" s="24">
        <f>ROUND($H$74,0)</f>
        <v>1353797</v>
      </c>
      <c r="L15" s="24">
        <v>0</v>
      </c>
      <c r="M15" s="24">
        <f t="shared" si="4"/>
        <v>1353797</v>
      </c>
      <c r="N15" s="19">
        <f>$F$74</f>
        <v>39486.720000000001</v>
      </c>
      <c r="O15" s="25">
        <f t="shared" si="5"/>
        <v>34.284868431715779</v>
      </c>
      <c r="P15" s="159" t="s">
        <v>19</v>
      </c>
      <c r="Q15" s="20" t="s">
        <v>22</v>
      </c>
      <c r="R15" s="125" t="s">
        <v>78</v>
      </c>
      <c r="S15" s="127" t="s">
        <v>78</v>
      </c>
      <c r="T15" s="24">
        <f>$F88</f>
        <v>735561.06430263375</v>
      </c>
      <c r="U15" s="24">
        <f>$H88/($F$24+$G$24)*F24</f>
        <v>618235.88929736626</v>
      </c>
      <c r="V15" s="24">
        <f>$H88/($F$24+$G$24)*G24</f>
        <v>0</v>
      </c>
      <c r="W15" s="24">
        <f t="shared" si="6"/>
        <v>1353796.9536000001</v>
      </c>
      <c r="X15" s="19">
        <f>$E88</f>
        <v>21454.394406623735</v>
      </c>
      <c r="Y15" s="19">
        <f>$G88/($F$24+$G$24)*F24</f>
        <v>18032.325593376263</v>
      </c>
      <c r="Z15" s="19">
        <f>$G88/($F$24+$G$24)*G24</f>
        <v>0</v>
      </c>
      <c r="AA15" s="19">
        <f t="shared" si="7"/>
        <v>39486.720000000001</v>
      </c>
      <c r="AB15" s="25">
        <f t="shared" si="8"/>
        <v>34.28486725663717</v>
      </c>
      <c r="AC15" s="56">
        <f t="shared" si="9"/>
        <v>0.13500000000000001</v>
      </c>
      <c r="AD15" s="56">
        <f t="shared" si="10"/>
        <v>0.308</v>
      </c>
      <c r="AE15" s="56">
        <f t="shared" si="11"/>
        <v>0</v>
      </c>
    </row>
    <row r="16" spans="1:31">
      <c r="A16" s="17" t="s">
        <v>23</v>
      </c>
      <c r="B16" s="22">
        <f>($F$89)/$B$24/1000</f>
        <v>5.0612222448845837E-3</v>
      </c>
      <c r="C16" s="23">
        <v>6.287158648773241E-3</v>
      </c>
      <c r="D16" s="23">
        <v>5.1471697011129967E-3</v>
      </c>
      <c r="E16" s="67"/>
      <c r="F16" s="22">
        <f>$H$89/($F$24+$G$24)/1000</f>
        <v>2.2146419675421691E-2</v>
      </c>
      <c r="G16" s="22">
        <f>$H$89/($F$24+$G$24)/1000</f>
        <v>2.2146419675421691E-2</v>
      </c>
      <c r="H16" s="23">
        <v>7.658658433958198E-3</v>
      </c>
      <c r="I16" s="67"/>
      <c r="K16" s="24">
        <f>ROUND($D$84,0)</f>
        <v>2099794</v>
      </c>
      <c r="L16" s="24">
        <f>ROUND($D$83,0)</f>
        <v>74693</v>
      </c>
      <c r="M16" s="24">
        <f t="shared" si="4"/>
        <v>2174487</v>
      </c>
      <c r="N16" s="19">
        <f>$B$82</f>
        <v>109285.2</v>
      </c>
      <c r="O16" s="25">
        <f t="shared" si="5"/>
        <v>19.89736030130338</v>
      </c>
      <c r="P16" s="159" t="s">
        <v>19</v>
      </c>
      <c r="Q16" s="20" t="s">
        <v>24</v>
      </c>
      <c r="R16" s="125" t="s">
        <v>78</v>
      </c>
      <c r="S16" s="127" t="s">
        <v>78</v>
      </c>
      <c r="T16" s="24">
        <f>$F89</f>
        <v>804228.21471216029</v>
      </c>
      <c r="U16" s="24">
        <f>$H89/($F$24+$G$24)*F24</f>
        <v>1295565.5510121689</v>
      </c>
      <c r="V16" s="24">
        <f>$H89/($F$24+$G$24)*G24</f>
        <v>0</v>
      </c>
      <c r="W16" s="24">
        <f t="shared" si="6"/>
        <v>2099793.7657243293</v>
      </c>
      <c r="X16" s="19">
        <f>$E89</f>
        <v>40418.845797585018</v>
      </c>
      <c r="Y16" s="19">
        <f>$G89/($F$24+$G$24)*F24</f>
        <v>65112.443544107773</v>
      </c>
      <c r="Z16" s="19">
        <f>$G89/($F$24+$G$24)*G24</f>
        <v>0</v>
      </c>
      <c r="AA16" s="19">
        <f t="shared" si="7"/>
        <v>105531.28934169278</v>
      </c>
      <c r="AB16" s="25">
        <f t="shared" si="8"/>
        <v>19.897357256060292</v>
      </c>
      <c r="AC16" s="56">
        <f t="shared" si="9"/>
        <v>0.254</v>
      </c>
      <c r="AD16" s="56">
        <f t="shared" si="10"/>
        <v>1.113</v>
      </c>
      <c r="AE16" s="56">
        <f t="shared" si="11"/>
        <v>0</v>
      </c>
    </row>
    <row r="17" spans="1:31">
      <c r="A17" s="26" t="s">
        <v>25</v>
      </c>
      <c r="B17" s="23">
        <f>$D$134</f>
        <v>1.6697332106715731E-3</v>
      </c>
      <c r="C17" s="23">
        <v>2.0929218212831216E-3</v>
      </c>
      <c r="D17" s="23">
        <v>1.4153846153846154E-3</v>
      </c>
      <c r="E17" s="67"/>
      <c r="F17" s="23">
        <f>$E$134</f>
        <v>1.6697332106715731E-3</v>
      </c>
      <c r="G17" s="23">
        <f>$E$134</f>
        <v>1.6697332106715731E-3</v>
      </c>
      <c r="H17" s="23">
        <v>1.4153846153846154E-3</v>
      </c>
      <c r="I17" s="67"/>
      <c r="K17" s="24">
        <f>ROUND($C$134,0)</f>
        <v>363000</v>
      </c>
      <c r="L17" s="24">
        <v>0</v>
      </c>
      <c r="M17" s="24">
        <f t="shared" si="4"/>
        <v>363000</v>
      </c>
      <c r="N17" s="19">
        <f>$B$25*1000</f>
        <v>217400000</v>
      </c>
      <c r="O17" s="25">
        <f t="shared" si="5"/>
        <v>1.6697332106715731E-3</v>
      </c>
      <c r="P17" s="159" t="s">
        <v>12</v>
      </c>
      <c r="Q17" s="20" t="s">
        <v>26</v>
      </c>
      <c r="R17" s="125" t="s">
        <v>99</v>
      </c>
      <c r="S17" s="127">
        <v>1</v>
      </c>
      <c r="T17" s="24">
        <f>$D$134*$B$24*1000</f>
        <v>265320.60717571294</v>
      </c>
      <c r="U17" s="24">
        <f>$E$134*$F$24*1000</f>
        <v>97679.392824287032</v>
      </c>
      <c r="V17" s="24">
        <f>$E$134*$G$24*1000</f>
        <v>0</v>
      </c>
      <c r="W17" s="24">
        <f t="shared" si="6"/>
        <v>363000</v>
      </c>
      <c r="X17" s="19">
        <f t="shared" ref="X17:Z18" si="12">ROUND(T17/$O17,0)</f>
        <v>158900000</v>
      </c>
      <c r="Y17" s="19">
        <f t="shared" si="12"/>
        <v>58500000</v>
      </c>
      <c r="Z17" s="19">
        <f t="shared" si="12"/>
        <v>0</v>
      </c>
      <c r="AA17" s="19">
        <f t="shared" si="7"/>
        <v>217400000</v>
      </c>
      <c r="AB17" s="25">
        <f t="shared" si="8"/>
        <v>1.6697332106715731E-3</v>
      </c>
      <c r="AC17" s="56">
        <f t="shared" si="9"/>
        <v>1000</v>
      </c>
      <c r="AD17" s="56">
        <f t="shared" si="10"/>
        <v>1000</v>
      </c>
      <c r="AE17" s="56">
        <f t="shared" si="11"/>
        <v>0</v>
      </c>
    </row>
    <row r="18" spans="1:31">
      <c r="A18" s="26" t="s">
        <v>27</v>
      </c>
      <c r="B18" s="23">
        <f>$D$135</f>
        <v>1.6559337626494942E-3</v>
      </c>
      <c r="C18" s="23">
        <v>8.4447218506434329E-3</v>
      </c>
      <c r="D18" s="23">
        <v>2.0192307692307693E-3</v>
      </c>
      <c r="E18" s="67"/>
      <c r="F18" s="23">
        <f>$E$135</f>
        <v>1.6559337626494942E-3</v>
      </c>
      <c r="G18" s="23">
        <f>$E$135</f>
        <v>1.6559337626494942E-3</v>
      </c>
      <c r="H18" s="23">
        <v>2.1000000000000003E-3</v>
      </c>
      <c r="I18" s="67"/>
      <c r="K18" s="24">
        <f>ROUND($C$135,0)</f>
        <v>360000</v>
      </c>
      <c r="L18" s="24">
        <v>0</v>
      </c>
      <c r="M18" s="24">
        <f t="shared" si="4"/>
        <v>360000</v>
      </c>
      <c r="N18" s="19">
        <f>$B$25*1000</f>
        <v>217400000</v>
      </c>
      <c r="O18" s="25">
        <f t="shared" si="5"/>
        <v>1.655933762649494E-3</v>
      </c>
      <c r="P18" s="159" t="s">
        <v>12</v>
      </c>
      <c r="Q18" s="20" t="s">
        <v>28</v>
      </c>
      <c r="R18" s="125" t="s">
        <v>78</v>
      </c>
      <c r="S18" s="127" t="s">
        <v>78</v>
      </c>
      <c r="T18" s="24">
        <f>$D$135*$B$24*1000</f>
        <v>263127.87488500465</v>
      </c>
      <c r="U18" s="24">
        <f>$E$135*$F$24*1000</f>
        <v>96872.125114995419</v>
      </c>
      <c r="V18" s="24">
        <f>$E$135*$G$24*1000</f>
        <v>0</v>
      </c>
      <c r="W18" s="24">
        <f t="shared" si="6"/>
        <v>360000.00000000006</v>
      </c>
      <c r="X18" s="19">
        <f t="shared" si="12"/>
        <v>158900000</v>
      </c>
      <c r="Y18" s="19">
        <f t="shared" si="12"/>
        <v>58500000</v>
      </c>
      <c r="Z18" s="19">
        <f t="shared" si="12"/>
        <v>0</v>
      </c>
      <c r="AA18" s="19">
        <f t="shared" si="7"/>
        <v>217400000</v>
      </c>
      <c r="AB18" s="25">
        <f t="shared" si="8"/>
        <v>1.6559337626494944E-3</v>
      </c>
      <c r="AC18" s="56">
        <f t="shared" si="9"/>
        <v>1000</v>
      </c>
      <c r="AD18" s="56">
        <f t="shared" si="10"/>
        <v>1000</v>
      </c>
      <c r="AE18" s="56">
        <f t="shared" si="11"/>
        <v>0</v>
      </c>
    </row>
    <row r="19" spans="1:31" ht="15">
      <c r="A19" s="26" t="s">
        <v>29</v>
      </c>
      <c r="B19" s="31">
        <f>$D$136</f>
        <v>6.473611414259603E-3</v>
      </c>
      <c r="C19" s="31">
        <v>3.0998565715549893E-3</v>
      </c>
      <c r="D19" s="31">
        <v>5.7692307692307696E-3</v>
      </c>
      <c r="E19" s="237"/>
      <c r="F19" s="31">
        <f>$E$136</f>
        <v>5.9339199081609381E-2</v>
      </c>
      <c r="G19" s="31">
        <f>$E$136</f>
        <v>5.9339199081609381E-2</v>
      </c>
      <c r="H19" s="31">
        <v>0.03</v>
      </c>
      <c r="I19" s="237"/>
      <c r="K19" s="28">
        <f>ROUND($C$136,0)</f>
        <v>4500000</v>
      </c>
      <c r="L19" s="28">
        <v>0</v>
      </c>
      <c r="M19" s="28">
        <f t="shared" si="4"/>
        <v>4500000</v>
      </c>
      <c r="N19" s="19">
        <f>$B$25*1000</f>
        <v>217400000</v>
      </c>
      <c r="O19" s="25">
        <f t="shared" si="5"/>
        <v>2.0699172033118676E-2</v>
      </c>
      <c r="P19" s="159" t="s">
        <v>12</v>
      </c>
      <c r="Q19" s="20" t="s">
        <v>30</v>
      </c>
      <c r="R19" s="125" t="s">
        <v>78</v>
      </c>
      <c r="S19" s="127" t="s">
        <v>78</v>
      </c>
      <c r="T19" s="28">
        <f>$D$136*$B$24*1000</f>
        <v>1028656.8537258508</v>
      </c>
      <c r="U19" s="28">
        <f>$E$136*$F$24*1000</f>
        <v>3471343.1462741485</v>
      </c>
      <c r="V19" s="28">
        <f>$E$136*$G$24*1000</f>
        <v>0</v>
      </c>
      <c r="W19" s="28">
        <f t="shared" si="6"/>
        <v>4499999.9999999991</v>
      </c>
      <c r="X19" s="19">
        <f>T19/$O19</f>
        <v>49695555.555555545</v>
      </c>
      <c r="Y19" s="19">
        <f>U19/$O19</f>
        <v>167704444.44444442</v>
      </c>
      <c r="Z19" s="19">
        <f>V19/$O19</f>
        <v>0</v>
      </c>
      <c r="AA19" s="19">
        <f t="shared" si="7"/>
        <v>217399999.99999997</v>
      </c>
      <c r="AB19" s="25">
        <f t="shared" si="8"/>
        <v>2.0699172033118673E-2</v>
      </c>
      <c r="AC19" s="56">
        <f t="shared" si="9"/>
        <v>312.74700000000001</v>
      </c>
      <c r="AD19" s="56">
        <f t="shared" si="10"/>
        <v>2866.7429999999999</v>
      </c>
      <c r="AE19" s="56">
        <f t="shared" si="11"/>
        <v>0</v>
      </c>
    </row>
    <row r="20" spans="1:31">
      <c r="A20" s="192" t="s">
        <v>170</v>
      </c>
      <c r="B20" s="23">
        <f t="shared" ref="B20:H20" si="13">SUM(B14:B19)</f>
        <v>2.7585715795542198E-2</v>
      </c>
      <c r="C20" s="23">
        <f t="shared" si="13"/>
        <v>3.2557025752983505E-2</v>
      </c>
      <c r="D20" s="23">
        <f t="shared" si="13"/>
        <v>2.6079051550121218E-2</v>
      </c>
      <c r="E20" s="67"/>
      <c r="F20" s="23">
        <f t="shared" si="13"/>
        <v>0.13080571946239111</v>
      </c>
      <c r="G20" s="23">
        <f t="shared" si="13"/>
        <v>0.13080571946239111</v>
      </c>
      <c r="H20" s="23">
        <f t="shared" si="13"/>
        <v>5.8411480779987993E-2</v>
      </c>
      <c r="I20" s="67"/>
      <c r="K20" s="32">
        <f>SUM(K14:K19)</f>
        <v>12035505</v>
      </c>
      <c r="L20" s="32">
        <f>SUM(L14:L19)</f>
        <v>194175</v>
      </c>
      <c r="M20" s="32">
        <f>SUM(M14:M19)</f>
        <v>12229680</v>
      </c>
      <c r="N20" s="19"/>
      <c r="O20" s="19"/>
      <c r="P20" s="265"/>
      <c r="Q20" s="21"/>
      <c r="R20" s="125"/>
      <c r="S20" s="127"/>
      <c r="T20" s="32">
        <f>SUM(T14:T19)</f>
        <v>4383370.239911655</v>
      </c>
      <c r="U20" s="32">
        <f>SUM(U14:U19)</f>
        <v>7652134.5885498794</v>
      </c>
      <c r="V20" s="32">
        <f>SUM(V14:V19)</f>
        <v>0</v>
      </c>
      <c r="W20" s="32">
        <f>SUM(W14:W19)</f>
        <v>12035504.828461535</v>
      </c>
      <c r="X20" s="19"/>
      <c r="Y20" s="19"/>
      <c r="Z20" s="19"/>
      <c r="AA20" s="19"/>
      <c r="AB20" s="19"/>
      <c r="AC20" s="19"/>
      <c r="AD20" s="19"/>
      <c r="AE20" s="19"/>
    </row>
    <row r="21" spans="1:31" ht="15">
      <c r="A21" s="26"/>
      <c r="B21" s="23"/>
      <c r="C21" s="23"/>
      <c r="D21" s="23"/>
      <c r="F21" s="23"/>
      <c r="G21" s="23"/>
      <c r="H21" s="23"/>
      <c r="K21" s="247">
        <f>K12+K20</f>
        <v>23077186</v>
      </c>
      <c r="L21" s="247">
        <f>L12+L20</f>
        <v>194175</v>
      </c>
      <c r="M21" s="247">
        <f>M12+M20</f>
        <v>23271361</v>
      </c>
      <c r="N21" s="19"/>
      <c r="O21" s="19"/>
      <c r="P21" s="265"/>
      <c r="Q21" s="2"/>
      <c r="R21" s="125"/>
      <c r="S21" s="127"/>
      <c r="T21" s="33">
        <f>T12+T20</f>
        <v>10899371.297869336</v>
      </c>
      <c r="U21" s="33">
        <f>U12+U20</f>
        <v>12177814.530592198</v>
      </c>
      <c r="V21" s="33">
        <f>V12+V20</f>
        <v>0</v>
      </c>
      <c r="W21" s="33">
        <f>W12+W20</f>
        <v>23077185.828461535</v>
      </c>
      <c r="X21" s="19"/>
      <c r="Y21" s="19"/>
      <c r="Z21" s="19"/>
      <c r="AA21" s="19"/>
      <c r="AB21" s="19"/>
      <c r="AC21" s="19"/>
      <c r="AD21" s="19"/>
      <c r="AE21" s="19"/>
    </row>
    <row r="22" spans="1:31">
      <c r="A22" s="192" t="s">
        <v>171</v>
      </c>
      <c r="B22" s="34" t="e">
        <f t="shared" ref="B22:H22" si="14">B12+B20</f>
        <v>#REF!</v>
      </c>
      <c r="C22" s="35">
        <f t="shared" si="14"/>
        <v>0.11384944597853214</v>
      </c>
      <c r="D22" s="35">
        <f t="shared" si="14"/>
        <v>0.1040474415501212</v>
      </c>
      <c r="E22" s="254"/>
      <c r="F22" s="35" t="e">
        <f t="shared" si="14"/>
        <v>#REF!</v>
      </c>
      <c r="G22" s="35" t="e">
        <f t="shared" si="14"/>
        <v>#REF!</v>
      </c>
      <c r="H22" s="35">
        <f t="shared" si="14"/>
        <v>0.19017537077998803</v>
      </c>
      <c r="I22" s="254"/>
      <c r="K22" s="37"/>
      <c r="L22" s="37"/>
      <c r="M22" s="37"/>
      <c r="N22" s="19"/>
      <c r="O22" s="19"/>
      <c r="P22" s="265"/>
      <c r="Q22" s="36"/>
      <c r="R22" s="1026" t="s">
        <v>31</v>
      </c>
      <c r="S22" s="1026"/>
      <c r="T22" s="38">
        <f>ROUND(T21/T24,5)</f>
        <v>6.8589999999999998E-2</v>
      </c>
      <c r="U22" s="38">
        <f>ROUND(U21/U24,5)</f>
        <v>0.20816999999999999</v>
      </c>
      <c r="V22" s="38">
        <f>IF(V24&lt;&gt;0,ROUND(V21/V24,5),0)</f>
        <v>0</v>
      </c>
      <c r="W22" s="38">
        <f>ROUND(W21/W24,5)</f>
        <v>0.10614999999999999</v>
      </c>
      <c r="X22" s="19"/>
      <c r="Y22" s="19"/>
      <c r="Z22" s="19"/>
      <c r="AA22" s="19"/>
      <c r="AB22" s="19"/>
      <c r="AC22" s="19"/>
      <c r="AD22" s="19"/>
      <c r="AE22" s="19"/>
    </row>
    <row r="23" spans="1:31">
      <c r="A23" s="26"/>
      <c r="B23" s="39"/>
      <c r="C23" s="26"/>
      <c r="D23" s="17"/>
      <c r="F23" s="39"/>
      <c r="G23" s="26"/>
      <c r="H23" s="17"/>
      <c r="K23" s="37"/>
      <c r="L23" s="37"/>
      <c r="M23" s="37"/>
      <c r="N23" s="19"/>
      <c r="O23" s="19"/>
      <c r="P23" s="265"/>
      <c r="Q23" s="36"/>
      <c r="R23" s="1026" t="s">
        <v>32</v>
      </c>
      <c r="S23" s="1026"/>
      <c r="T23" s="38" t="e">
        <f>ROUND(T22+B6,5)</f>
        <v>#REF!</v>
      </c>
      <c r="U23" s="38" t="e">
        <f>ROUND(U22+F6,5)</f>
        <v>#REF!</v>
      </c>
      <c r="V23" s="38">
        <f>IF(V24&lt;&gt;0,ROUND(V22+G6,5),0)</f>
        <v>0</v>
      </c>
      <c r="W23" s="38" t="e">
        <f>ROUND(W22+(B6*B24+F6*F24+G6*G24)/B25,5)</f>
        <v>#REF!</v>
      </c>
      <c r="X23" s="19"/>
      <c r="Y23" s="19"/>
      <c r="Z23" s="19"/>
      <c r="AA23" s="19"/>
      <c r="AB23" s="19"/>
      <c r="AC23" s="19"/>
      <c r="AD23" s="19"/>
      <c r="AE23" s="19"/>
    </row>
    <row r="24" spans="1:31" ht="13.5" thickBot="1">
      <c r="A24" s="192" t="s">
        <v>264</v>
      </c>
      <c r="B24" s="40">
        <f>$B$30+$B$31</f>
        <v>158900</v>
      </c>
      <c r="C24" s="40">
        <v>101034.352</v>
      </c>
      <c r="D24" s="40">
        <v>260000</v>
      </c>
      <c r="F24" s="40">
        <f>$B$32</f>
        <v>58500</v>
      </c>
      <c r="G24" s="40">
        <f>$B$33</f>
        <v>0</v>
      </c>
      <c r="H24" s="40">
        <v>250000</v>
      </c>
      <c r="K24" s="41"/>
      <c r="L24" s="41"/>
      <c r="M24" s="41"/>
      <c r="N24" s="19"/>
      <c r="O24" s="19"/>
      <c r="P24" s="265"/>
      <c r="Q24" s="5"/>
      <c r="R24" s="1026" t="s">
        <v>33</v>
      </c>
      <c r="S24" s="1026"/>
      <c r="T24" s="41">
        <f>ROUND(B24*1000,0)</f>
        <v>158900000</v>
      </c>
      <c r="U24" s="41">
        <f>ROUND(F24*1000,0)</f>
        <v>58500000</v>
      </c>
      <c r="V24" s="41">
        <f>ROUND(G24*1000,0)</f>
        <v>0</v>
      </c>
      <c r="W24" s="41">
        <f>SUM(T24:V24)</f>
        <v>217400000</v>
      </c>
      <c r="X24" s="19"/>
      <c r="Y24" s="19"/>
      <c r="Z24" s="19"/>
      <c r="AA24" s="19"/>
      <c r="AB24" s="19"/>
      <c r="AC24" s="19"/>
      <c r="AD24" s="19"/>
      <c r="AE24" s="19"/>
    </row>
    <row r="25" spans="1:31" ht="13.5" thickBot="1">
      <c r="A25" s="192" t="s">
        <v>265</v>
      </c>
      <c r="B25" s="193">
        <f>$B$24+$F$24+$G$24</f>
        <v>217400</v>
      </c>
      <c r="D25" s="6"/>
    </row>
    <row r="27" spans="1:31">
      <c r="A27" s="42" t="s">
        <v>34</v>
      </c>
      <c r="B27" s="1012" t="s">
        <v>35</v>
      </c>
      <c r="C27" s="1012"/>
      <c r="D27" s="1012"/>
      <c r="E27" s="1012"/>
      <c r="F27" s="1012"/>
      <c r="G27" s="1012"/>
      <c r="H27" s="1013"/>
    </row>
    <row r="28" spans="1:31">
      <c r="A28" s="44"/>
      <c r="H28" s="45"/>
    </row>
    <row r="29" spans="1:31">
      <c r="A29" s="190" t="s">
        <v>176</v>
      </c>
      <c r="B29" s="46" t="s">
        <v>168</v>
      </c>
      <c r="C29" s="46" t="s">
        <v>36</v>
      </c>
      <c r="D29" s="47"/>
      <c r="F29" s="47"/>
      <c r="H29" s="45"/>
    </row>
    <row r="30" spans="1:31">
      <c r="A30" s="48" t="s">
        <v>188</v>
      </c>
      <c r="B30" s="49">
        <v>97600</v>
      </c>
      <c r="C30" s="183">
        <f>+B30/$B$34</f>
        <v>0.44894204231830726</v>
      </c>
      <c r="D30" s="50"/>
      <c r="F30" s="51"/>
      <c r="H30" s="45"/>
      <c r="AE30" s="39"/>
    </row>
    <row r="31" spans="1:31">
      <c r="A31" s="48" t="s">
        <v>187</v>
      </c>
      <c r="B31" s="49">
        <v>61300</v>
      </c>
      <c r="C31" s="183">
        <f>+B31/$B$34</f>
        <v>0.28196872125114997</v>
      </c>
      <c r="D31" s="50"/>
      <c r="F31" s="51"/>
      <c r="H31" s="45"/>
      <c r="AE31" s="39"/>
    </row>
    <row r="32" spans="1:31">
      <c r="A32" s="48" t="s">
        <v>280</v>
      </c>
      <c r="B32" s="49">
        <f>40500+18000</f>
        <v>58500</v>
      </c>
      <c r="C32" s="183">
        <f>+B32/$B$34</f>
        <v>0.26908923643054278</v>
      </c>
      <c r="D32" s="50"/>
      <c r="F32" s="51"/>
      <c r="H32" s="45"/>
      <c r="AE32" s="39"/>
    </row>
    <row r="33" spans="1:31" ht="15">
      <c r="A33" s="48" t="s">
        <v>281</v>
      </c>
      <c r="B33" s="147">
        <v>0</v>
      </c>
      <c r="C33" s="184">
        <f>+B33/$B$34</f>
        <v>0</v>
      </c>
      <c r="D33" s="50"/>
      <c r="F33" s="51"/>
      <c r="H33" s="45"/>
      <c r="AE33" s="39"/>
    </row>
    <row r="34" spans="1:31">
      <c r="A34" s="141" t="s">
        <v>107</v>
      </c>
      <c r="B34" s="49">
        <f>SUM(B30:B33)</f>
        <v>217400</v>
      </c>
      <c r="C34" s="183">
        <f>SUM(C30:C33)</f>
        <v>1</v>
      </c>
      <c r="D34" s="50"/>
      <c r="F34" s="51"/>
      <c r="H34" s="45"/>
      <c r="AE34" s="39"/>
    </row>
    <row r="35" spans="1:31">
      <c r="A35" s="141"/>
      <c r="B35" s="49"/>
      <c r="C35" s="183"/>
      <c r="D35" s="50"/>
      <c r="F35" s="51"/>
      <c r="H35" s="45"/>
      <c r="AE35" s="39"/>
    </row>
    <row r="36" spans="1:31" ht="15">
      <c r="A36" s="43"/>
      <c r="B36" s="147"/>
      <c r="C36" s="1009" t="s">
        <v>194</v>
      </c>
      <c r="D36" s="1009"/>
      <c r="E36" s="1009" t="s">
        <v>177</v>
      </c>
      <c r="F36" s="1009"/>
      <c r="G36" s="1009" t="s">
        <v>282</v>
      </c>
      <c r="H36" s="1010"/>
      <c r="AE36" s="39"/>
    </row>
    <row r="37" spans="1:31">
      <c r="A37" s="198" t="s">
        <v>175</v>
      </c>
      <c r="B37" s="52" t="s">
        <v>37</v>
      </c>
      <c r="C37" s="53" t="s">
        <v>38</v>
      </c>
      <c r="D37" s="52"/>
      <c r="E37" s="53" t="s">
        <v>38</v>
      </c>
      <c r="F37" s="52"/>
      <c r="G37" s="53" t="s">
        <v>38</v>
      </c>
      <c r="H37" s="171"/>
      <c r="P37" s="13"/>
      <c r="Q37" s="46"/>
      <c r="AC37" s="11"/>
    </row>
    <row r="38" spans="1:31">
      <c r="A38" s="176" t="s">
        <v>173</v>
      </c>
      <c r="B38" s="54" t="e">
        <f>#REF!</f>
        <v>#REF!</v>
      </c>
      <c r="C38" s="55">
        <v>0.5</v>
      </c>
      <c r="D38" s="134"/>
      <c r="E38" s="55">
        <v>0.5</v>
      </c>
      <c r="F38" s="134"/>
      <c r="G38" s="55">
        <v>0</v>
      </c>
      <c r="H38" s="186"/>
      <c r="P38" s="13"/>
      <c r="Q38" s="250"/>
      <c r="AC38" s="251"/>
      <c r="AD38" s="251"/>
    </row>
    <row r="39" spans="1:31" ht="15">
      <c r="A39" s="176" t="s">
        <v>178</v>
      </c>
      <c r="B39" s="57" t="e">
        <f>#REF!</f>
        <v>#REF!</v>
      </c>
      <c r="C39" s="58">
        <v>0.5</v>
      </c>
      <c r="D39" s="134"/>
      <c r="E39" s="58">
        <v>0.5</v>
      </c>
      <c r="F39" s="134"/>
      <c r="G39" s="58">
        <v>0</v>
      </c>
      <c r="H39" s="186"/>
      <c r="P39" s="13"/>
      <c r="Q39" s="250"/>
      <c r="AC39" s="252"/>
      <c r="AD39" s="252"/>
    </row>
    <row r="40" spans="1:31">
      <c r="A40" s="141" t="s">
        <v>174</v>
      </c>
      <c r="B40" s="157" t="e">
        <f>+B38*C38+B39*C39</f>
        <v>#REF!</v>
      </c>
      <c r="C40" s="55">
        <f>SUM(C38:C39)</f>
        <v>1</v>
      </c>
      <c r="D40" s="59"/>
      <c r="E40" s="55">
        <f>SUM(E38:E39)</f>
        <v>1</v>
      </c>
      <c r="F40" s="59"/>
      <c r="G40" s="55">
        <f>SUM(G38:G39)</f>
        <v>0</v>
      </c>
      <c r="H40" s="187"/>
      <c r="P40" s="13"/>
      <c r="Q40" s="250"/>
      <c r="AC40" s="251"/>
      <c r="AD40" s="251"/>
    </row>
    <row r="41" spans="1:31">
      <c r="A41" s="43"/>
      <c r="B41" s="50"/>
      <c r="C41" s="60"/>
      <c r="D41" s="59"/>
      <c r="E41" s="60"/>
      <c r="F41" s="59"/>
      <c r="G41" s="60"/>
      <c r="H41" s="187"/>
      <c r="N41" s="39"/>
      <c r="O41" s="39"/>
      <c r="P41" s="13"/>
      <c r="Q41" s="62"/>
    </row>
    <row r="42" spans="1:31" ht="18" customHeight="1">
      <c r="A42" s="198" t="s">
        <v>39</v>
      </c>
      <c r="B42" s="61" t="s">
        <v>40</v>
      </c>
      <c r="C42" s="185" t="s">
        <v>41</v>
      </c>
      <c r="D42" s="61" t="s">
        <v>179</v>
      </c>
      <c r="E42" s="185" t="s">
        <v>41</v>
      </c>
      <c r="F42" s="61" t="s">
        <v>179</v>
      </c>
      <c r="G42" s="185" t="s">
        <v>41</v>
      </c>
      <c r="H42" s="188" t="s">
        <v>179</v>
      </c>
      <c r="J42" s="62"/>
      <c r="P42" s="13"/>
      <c r="Q42" s="46"/>
      <c r="AC42" s="11"/>
      <c r="AD42" s="11"/>
      <c r="AE42" s="11"/>
    </row>
    <row r="43" spans="1:31">
      <c r="A43" s="176" t="s">
        <v>185</v>
      </c>
      <c r="B43" s="64" t="e">
        <f>$B$40/2000</f>
        <v>#REF!</v>
      </c>
      <c r="C43" s="66">
        <v>1.95</v>
      </c>
      <c r="D43" s="307" t="e">
        <f t="shared" ref="D43:D49" si="15">B43*C43</f>
        <v>#REF!</v>
      </c>
      <c r="E43" s="66">
        <v>1.95</v>
      </c>
      <c r="F43" s="307" t="e">
        <f t="shared" ref="F43:F49" si="16">B43*E43</f>
        <v>#REF!</v>
      </c>
      <c r="G43" s="66">
        <v>0</v>
      </c>
      <c r="H43" s="311" t="e">
        <f>B43*G43</f>
        <v>#REF!</v>
      </c>
      <c r="J43" s="65"/>
      <c r="O43" s="312" t="e">
        <f>B43*1000</f>
        <v>#REF!</v>
      </c>
      <c r="P43" s="256" t="s">
        <v>12</v>
      </c>
      <c r="Q43" s="255" t="s">
        <v>154</v>
      </c>
      <c r="AC43" s="56" t="e">
        <f t="shared" ref="AC43:AC49" si="17">IF(B43&lt;&gt;0,D43/B43*1000,0)</f>
        <v>#REF!</v>
      </c>
      <c r="AD43" s="56" t="e">
        <f t="shared" ref="AD43:AD49" si="18">IF(B43&lt;&gt;0,F43/B43*1000,0)</f>
        <v>#REF!</v>
      </c>
      <c r="AE43" s="56" t="e">
        <f>IF(B43&lt;&gt;0,H43/B43*1000,0)</f>
        <v>#REF!</v>
      </c>
    </row>
    <row r="44" spans="1:31">
      <c r="A44" s="176" t="s">
        <v>233</v>
      </c>
      <c r="B44" s="23">
        <v>0.155</v>
      </c>
      <c r="C44" s="66">
        <v>0</v>
      </c>
      <c r="D44" s="307">
        <f t="shared" si="15"/>
        <v>0</v>
      </c>
      <c r="E44" s="66">
        <v>0</v>
      </c>
      <c r="F44" s="307">
        <f t="shared" si="16"/>
        <v>0</v>
      </c>
      <c r="G44" s="66">
        <v>1.85</v>
      </c>
      <c r="H44" s="311">
        <f t="shared" ref="H44:H49" si="19">B44*G44</f>
        <v>0.28675</v>
      </c>
      <c r="J44" s="65"/>
      <c r="O44" s="312">
        <f t="shared" ref="O44:O49" si="20">B44*1000</f>
        <v>155</v>
      </c>
      <c r="P44" s="256" t="s">
        <v>12</v>
      </c>
      <c r="Q44" s="256" t="s">
        <v>234</v>
      </c>
      <c r="AC44" s="56">
        <f t="shared" si="17"/>
        <v>0</v>
      </c>
      <c r="AD44" s="56">
        <f t="shared" si="18"/>
        <v>0</v>
      </c>
      <c r="AE44" s="56">
        <f t="shared" ref="AE44:AE49" si="21">IF(B44&lt;&gt;0,H44/B44*1000,0)</f>
        <v>1850</v>
      </c>
    </row>
    <row r="45" spans="1:31">
      <c r="A45" s="176" t="s">
        <v>183</v>
      </c>
      <c r="B45" s="23">
        <v>1.35</v>
      </c>
      <c r="C45" s="66">
        <v>8.3000000000000001E-3</v>
      </c>
      <c r="D45" s="307">
        <f t="shared" si="15"/>
        <v>1.1205000000000001E-2</v>
      </c>
      <c r="E45" s="66">
        <v>0</v>
      </c>
      <c r="F45" s="307">
        <f t="shared" si="16"/>
        <v>0</v>
      </c>
      <c r="G45" s="66">
        <v>0</v>
      </c>
      <c r="H45" s="311">
        <f t="shared" si="19"/>
        <v>0</v>
      </c>
      <c r="J45" s="65"/>
      <c r="O45" s="312">
        <f t="shared" si="20"/>
        <v>1350</v>
      </c>
      <c r="P45" s="256" t="s">
        <v>12</v>
      </c>
      <c r="Q45" s="255" t="s">
        <v>155</v>
      </c>
      <c r="AC45" s="56">
        <f t="shared" si="17"/>
        <v>8.3000000000000007</v>
      </c>
      <c r="AD45" s="56">
        <f t="shared" si="18"/>
        <v>0</v>
      </c>
      <c r="AE45" s="56">
        <f t="shared" si="21"/>
        <v>0</v>
      </c>
    </row>
    <row r="46" spans="1:31">
      <c r="A46" s="176" t="s">
        <v>182</v>
      </c>
      <c r="B46" s="23">
        <v>0.48</v>
      </c>
      <c r="C46" s="66">
        <v>6.3E-3</v>
      </c>
      <c r="D46" s="307">
        <f t="shared" si="15"/>
        <v>3.0239999999999998E-3</v>
      </c>
      <c r="E46" s="66">
        <v>6.3E-3</v>
      </c>
      <c r="F46" s="307">
        <f t="shared" si="16"/>
        <v>3.0239999999999998E-3</v>
      </c>
      <c r="G46" s="66">
        <v>6.3E-3</v>
      </c>
      <c r="H46" s="311">
        <f t="shared" si="19"/>
        <v>3.0239999999999998E-3</v>
      </c>
      <c r="I46" s="62"/>
      <c r="J46" s="65"/>
      <c r="O46" s="312">
        <f t="shared" si="20"/>
        <v>480</v>
      </c>
      <c r="P46" s="256" t="s">
        <v>12</v>
      </c>
      <c r="Q46" s="255" t="s">
        <v>156</v>
      </c>
      <c r="AC46" s="56">
        <f t="shared" si="17"/>
        <v>6.3</v>
      </c>
      <c r="AD46" s="56">
        <f t="shared" si="18"/>
        <v>6.3</v>
      </c>
      <c r="AE46" s="56">
        <f t="shared" si="21"/>
        <v>6.3</v>
      </c>
    </row>
    <row r="47" spans="1:31">
      <c r="A47" s="176" t="s">
        <v>181</v>
      </c>
      <c r="B47" s="23">
        <v>8.09E-2</v>
      </c>
      <c r="C47" s="66">
        <v>1.06E-2</v>
      </c>
      <c r="D47" s="307">
        <f t="shared" si="15"/>
        <v>8.5753999999999995E-4</v>
      </c>
      <c r="E47" s="66">
        <v>1.06E-2</v>
      </c>
      <c r="F47" s="307">
        <f t="shared" si="16"/>
        <v>8.5753999999999995E-4</v>
      </c>
      <c r="G47" s="66">
        <v>0</v>
      </c>
      <c r="H47" s="311">
        <f t="shared" si="19"/>
        <v>0</v>
      </c>
      <c r="I47" s="62"/>
      <c r="J47" s="65"/>
      <c r="O47" s="312">
        <f t="shared" si="20"/>
        <v>80.900000000000006</v>
      </c>
      <c r="P47" s="256" t="s">
        <v>12</v>
      </c>
      <c r="Q47" s="255" t="s">
        <v>157</v>
      </c>
      <c r="AC47" s="56">
        <f t="shared" si="17"/>
        <v>10.6</v>
      </c>
      <c r="AD47" s="56">
        <f t="shared" si="18"/>
        <v>10.6</v>
      </c>
      <c r="AE47" s="56">
        <f t="shared" si="21"/>
        <v>0</v>
      </c>
    </row>
    <row r="48" spans="1:31">
      <c r="A48" s="176" t="s">
        <v>180</v>
      </c>
      <c r="B48" s="23">
        <v>0.32500000000000001</v>
      </c>
      <c r="C48" s="66">
        <v>0</v>
      </c>
      <c r="D48" s="307">
        <f t="shared" si="15"/>
        <v>0</v>
      </c>
      <c r="E48" s="66">
        <v>4.8000000000000001E-2</v>
      </c>
      <c r="F48" s="307">
        <f t="shared" si="16"/>
        <v>1.5600000000000001E-2</v>
      </c>
      <c r="G48" s="66">
        <v>4.8000000000000001E-2</v>
      </c>
      <c r="H48" s="311">
        <f t="shared" si="19"/>
        <v>1.5600000000000001E-2</v>
      </c>
      <c r="I48" s="62"/>
      <c r="J48" s="65"/>
      <c r="O48" s="312">
        <f t="shared" si="20"/>
        <v>325</v>
      </c>
      <c r="P48" s="256" t="s">
        <v>12</v>
      </c>
      <c r="Q48" s="255" t="s">
        <v>231</v>
      </c>
      <c r="AC48" s="56">
        <f t="shared" si="17"/>
        <v>0</v>
      </c>
      <c r="AD48" s="56">
        <f t="shared" si="18"/>
        <v>48</v>
      </c>
      <c r="AE48" s="56">
        <f t="shared" si="21"/>
        <v>48</v>
      </c>
    </row>
    <row r="49" spans="1:31">
      <c r="A49" s="176" t="s">
        <v>184</v>
      </c>
      <c r="B49" s="23">
        <v>6</v>
      </c>
      <c r="C49" s="66">
        <v>0</v>
      </c>
      <c r="D49" s="307">
        <f t="shared" si="15"/>
        <v>0</v>
      </c>
      <c r="E49" s="66">
        <v>6.7000000000000002E-3</v>
      </c>
      <c r="F49" s="307">
        <f t="shared" si="16"/>
        <v>4.02E-2</v>
      </c>
      <c r="G49" s="66">
        <v>6.7000000000000002E-3</v>
      </c>
      <c r="H49" s="311">
        <f t="shared" si="19"/>
        <v>4.02E-2</v>
      </c>
      <c r="I49" s="62"/>
      <c r="J49" s="65"/>
      <c r="O49" s="312">
        <f t="shared" si="20"/>
        <v>6000</v>
      </c>
      <c r="P49" s="256" t="s">
        <v>12</v>
      </c>
      <c r="Q49" s="255" t="s">
        <v>232</v>
      </c>
      <c r="AC49" s="56">
        <f t="shared" si="17"/>
        <v>0</v>
      </c>
      <c r="AD49" s="56">
        <f t="shared" si="18"/>
        <v>6.7</v>
      </c>
      <c r="AE49" s="56">
        <f t="shared" si="21"/>
        <v>6.7</v>
      </c>
    </row>
    <row r="50" spans="1:31">
      <c r="A50" s="63"/>
      <c r="B50" s="67"/>
      <c r="C50" s="51"/>
      <c r="D50" s="68"/>
      <c r="E50" s="51"/>
      <c r="F50" s="68"/>
      <c r="G50" s="51"/>
      <c r="H50" s="98"/>
      <c r="I50" s="62"/>
      <c r="J50" s="65"/>
      <c r="Q50" s="156"/>
      <c r="AE50" s="157"/>
    </row>
    <row r="51" spans="1:31" ht="15">
      <c r="A51" s="63" t="s">
        <v>42</v>
      </c>
      <c r="C51" s="69"/>
      <c r="D51" s="199" t="s">
        <v>43</v>
      </c>
      <c r="F51" s="199" t="s">
        <v>43</v>
      </c>
      <c r="H51" s="283" t="s">
        <v>43</v>
      </c>
    </row>
    <row r="52" spans="1:31">
      <c r="A52" s="63" t="s">
        <v>284</v>
      </c>
      <c r="C52" s="69"/>
      <c r="D52" s="64" t="e">
        <f>D43+D44</f>
        <v>#REF!</v>
      </c>
      <c r="F52" s="64" t="e">
        <f>F43+F44</f>
        <v>#REF!</v>
      </c>
      <c r="H52" s="189" t="e">
        <f>H43+H44</f>
        <v>#REF!</v>
      </c>
    </row>
    <row r="53" spans="1:31" ht="15">
      <c r="A53" s="63" t="s">
        <v>44</v>
      </c>
      <c r="C53" s="69"/>
      <c r="D53" s="70">
        <f>SUM(D45:D49)</f>
        <v>1.5086540000000002E-2</v>
      </c>
      <c r="F53" s="70">
        <f>SUM(F45:F49)</f>
        <v>5.9681540000000005E-2</v>
      </c>
      <c r="H53" s="310">
        <f>SUM(H45:H49)</f>
        <v>5.8824000000000001E-2</v>
      </c>
    </row>
    <row r="54" spans="1:31">
      <c r="A54" s="63" t="s">
        <v>45</v>
      </c>
      <c r="C54" s="51"/>
      <c r="D54" s="64" t="e">
        <f>SUM(D52:D53)</f>
        <v>#REF!</v>
      </c>
      <c r="F54" s="64" t="e">
        <f>SUM(F52:F53)</f>
        <v>#REF!</v>
      </c>
      <c r="H54" s="189" t="e">
        <f>SUM(H52:H53)</f>
        <v>#REF!</v>
      </c>
    </row>
    <row r="55" spans="1:31">
      <c r="A55" s="71"/>
      <c r="B55" s="72"/>
      <c r="C55" s="72"/>
      <c r="D55" s="72"/>
      <c r="E55" s="73"/>
      <c r="F55" s="74"/>
      <c r="G55" s="72"/>
      <c r="H55" s="75"/>
      <c r="P55" s="69"/>
    </row>
    <row r="56" spans="1:31">
      <c r="A56" s="39"/>
      <c r="E56" s="51"/>
      <c r="F56" s="76"/>
      <c r="P56" s="69"/>
    </row>
    <row r="57" spans="1:31" ht="13.5" thickBot="1">
      <c r="F57" s="39"/>
      <c r="G57" s="39"/>
    </row>
    <row r="58" spans="1:31" ht="14.65" customHeight="1">
      <c r="A58" s="82" t="s">
        <v>269</v>
      </c>
      <c r="B58" s="1020" t="s">
        <v>18</v>
      </c>
      <c r="C58" s="1020"/>
      <c r="D58" s="1020"/>
      <c r="E58" s="93"/>
      <c r="F58" s="1020" t="s">
        <v>46</v>
      </c>
      <c r="G58" s="1020"/>
      <c r="H58" s="1021"/>
      <c r="T58" s="1014" t="s">
        <v>253</v>
      </c>
      <c r="U58" s="1015"/>
      <c r="V58" s="1015"/>
      <c r="W58" s="1015"/>
      <c r="X58" s="1015"/>
      <c r="Y58" s="1015"/>
      <c r="Z58" s="1015"/>
      <c r="AA58" s="1015"/>
      <c r="AB58" s="1015"/>
      <c r="AC58" s="1015"/>
      <c r="AD58" s="1016"/>
    </row>
    <row r="59" spans="1:31" ht="14.65" customHeight="1">
      <c r="A59" s="43"/>
      <c r="B59" s="199" t="s">
        <v>159</v>
      </c>
      <c r="C59" s="199" t="s">
        <v>109</v>
      </c>
      <c r="D59" s="199" t="s">
        <v>107</v>
      </c>
      <c r="E59" s="26"/>
      <c r="F59" s="199" t="s">
        <v>159</v>
      </c>
      <c r="G59" s="199" t="s">
        <v>109</v>
      </c>
      <c r="H59" s="283" t="s">
        <v>107</v>
      </c>
      <c r="K59" s="240"/>
      <c r="L59" s="240"/>
      <c r="M59" s="261">
        <f>$M$14*$S59</f>
        <v>2956636.6</v>
      </c>
      <c r="N59" s="250"/>
      <c r="O59" s="250"/>
      <c r="P59" s="256"/>
      <c r="Q59" s="20" t="s">
        <v>79</v>
      </c>
      <c r="R59" s="128" t="s">
        <v>80</v>
      </c>
      <c r="S59" s="206">
        <f>100%-D62</f>
        <v>0.85</v>
      </c>
      <c r="T59" s="274"/>
      <c r="U59" s="261"/>
      <c r="V59" s="261"/>
      <c r="W59" s="261" t="s">
        <v>159</v>
      </c>
      <c r="X59" s="278">
        <f>($B$66+$B$68+$B$70+$B$73-$B$75)/$B$25*$B$24</f>
        <v>40418.845797585018</v>
      </c>
      <c r="Y59" s="278">
        <f>($B$66+$B$68+$B$70+$B$73-$B$75)/$B$25*($F$24+$G$24)</f>
        <v>14880.443544107764</v>
      </c>
      <c r="Z59" s="278"/>
      <c r="AA59" s="278">
        <f>SUM(X59:Y59)</f>
        <v>55299.289341692784</v>
      </c>
      <c r="AB59" s="25"/>
      <c r="AC59" s="24"/>
      <c r="AD59" s="270"/>
      <c r="AE59" s="131"/>
    </row>
    <row r="60" spans="1:31" ht="14.65" customHeight="1">
      <c r="A60" s="48" t="s">
        <v>191</v>
      </c>
      <c r="B60" s="78">
        <v>27</v>
      </c>
      <c r="C60" s="78">
        <v>20</v>
      </c>
      <c r="D60" s="78">
        <f>SUM(B60:C60)</f>
        <v>47</v>
      </c>
      <c r="F60" s="78">
        <v>12</v>
      </c>
      <c r="G60" s="78">
        <v>4</v>
      </c>
      <c r="H60" s="79">
        <f>SUM(F60:G60)</f>
        <v>16</v>
      </c>
      <c r="K60" s="269"/>
      <c r="L60" s="269"/>
      <c r="M60" s="262">
        <f>$M$14*$S60</f>
        <v>521759.39999999997</v>
      </c>
      <c r="N60" s="250"/>
      <c r="O60" s="250"/>
      <c r="P60" s="256"/>
      <c r="Q60" s="20" t="s">
        <v>81</v>
      </c>
      <c r="R60" s="128" t="s">
        <v>82</v>
      </c>
      <c r="S60" s="138">
        <f>D62</f>
        <v>0.15</v>
      </c>
      <c r="T60" s="274"/>
      <c r="U60" s="261"/>
      <c r="V60" s="261"/>
      <c r="W60" s="261" t="s">
        <v>109</v>
      </c>
      <c r="X60" s="279">
        <v>0</v>
      </c>
      <c r="Y60" s="279">
        <f>($B$67+$B$69+$B$71)/$F$24*($F$24+$G$24)</f>
        <v>50232</v>
      </c>
      <c r="Z60" s="279"/>
      <c r="AA60" s="279">
        <f>SUM(X60:Y60)</f>
        <v>50232</v>
      </c>
      <c r="AB60" s="25"/>
      <c r="AC60" s="24"/>
      <c r="AD60" s="270"/>
      <c r="AE60" s="131"/>
    </row>
    <row r="61" spans="1:31" ht="14.65" customHeight="1" thickBot="1">
      <c r="A61" s="48" t="s">
        <v>192</v>
      </c>
      <c r="B61" s="80">
        <v>28.16</v>
      </c>
      <c r="C61" s="80">
        <v>30.44</v>
      </c>
      <c r="D61" s="80">
        <f>($B$60*B61+$C$60*C61)/$D$60</f>
        <v>29.130212765957449</v>
      </c>
      <c r="E61" s="26"/>
      <c r="F61" s="80">
        <v>32.42</v>
      </c>
      <c r="G61" s="80">
        <v>32.42</v>
      </c>
      <c r="H61" s="81">
        <f>($F$60*F61+$G$60*G61)/$H$60</f>
        <v>32.42</v>
      </c>
      <c r="K61" s="235"/>
      <c r="L61" s="235"/>
      <c r="M61" s="24">
        <f>SUM(M59:M60)</f>
        <v>3478396</v>
      </c>
      <c r="N61" s="268"/>
      <c r="O61" s="268"/>
      <c r="P61" s="256" t="s">
        <v>19</v>
      </c>
      <c r="Q61" s="130" t="s">
        <v>20</v>
      </c>
      <c r="R61" s="257" t="s">
        <v>107</v>
      </c>
      <c r="S61" s="138"/>
      <c r="T61" s="271">
        <f>$AB$61*AC61*$B$24</f>
        <v>1286475.6251102928</v>
      </c>
      <c r="U61" s="272">
        <f>$AB$61*AD61*($F$24+$G$24)</f>
        <v>2072438.484026914</v>
      </c>
      <c r="V61" s="272"/>
      <c r="W61" s="273">
        <f>SUM(T61:U61)</f>
        <v>3358914.1091372068</v>
      </c>
      <c r="X61" s="280">
        <f>SUM(X59:X60)</f>
        <v>40418.845797585018</v>
      </c>
      <c r="Y61" s="280">
        <f>SUM(Y59:Y60)</f>
        <v>65112.443544107766</v>
      </c>
      <c r="Z61" s="280"/>
      <c r="AA61" s="280">
        <f>SUM(AA59:AA60)</f>
        <v>105531.28934169278</v>
      </c>
      <c r="AB61" s="277">
        <f>$AB$14</f>
        <v>31.828608653321769</v>
      </c>
      <c r="AC61" s="275">
        <f>X61/$B$24</f>
        <v>0.25436655630953442</v>
      </c>
      <c r="AD61" s="276">
        <f>Y61/($F$24+$G$24)</f>
        <v>1.1130332229762012</v>
      </c>
      <c r="AE61" s="131"/>
    </row>
    <row r="62" spans="1:31" ht="14.65" customHeight="1">
      <c r="A62" s="48" t="s">
        <v>193</v>
      </c>
      <c r="B62" s="203">
        <v>0.15</v>
      </c>
      <c r="C62" s="203">
        <v>0.15</v>
      </c>
      <c r="D62" s="203">
        <f>($B$60*B62+$C$60*C62)/$D$60</f>
        <v>0.15</v>
      </c>
      <c r="E62" s="26"/>
      <c r="F62" s="203">
        <v>0.12</v>
      </c>
      <c r="G62" s="203">
        <v>0.16</v>
      </c>
      <c r="H62" s="211">
        <f>($F$60*F62+$G$60*G62)/$H$60</f>
        <v>0.13</v>
      </c>
      <c r="T62" s="1014" t="s">
        <v>254</v>
      </c>
      <c r="U62" s="1015"/>
      <c r="V62" s="1015"/>
      <c r="W62" s="1015"/>
      <c r="X62" s="1015"/>
      <c r="Y62" s="1015"/>
      <c r="Z62" s="1015"/>
      <c r="AA62" s="1015"/>
      <c r="AB62" s="1015"/>
      <c r="AC62" s="1015"/>
      <c r="AD62" s="1016"/>
    </row>
    <row r="63" spans="1:31" ht="14.65" customHeight="1">
      <c r="A63" s="43"/>
      <c r="H63" s="45"/>
      <c r="K63" s="240"/>
      <c r="L63" s="240"/>
      <c r="M63" s="261">
        <f>$M$15*$S63</f>
        <v>1177803.3899999999</v>
      </c>
      <c r="N63" s="250"/>
      <c r="O63" s="250"/>
      <c r="P63" s="256"/>
      <c r="Q63" s="20" t="s">
        <v>83</v>
      </c>
      <c r="R63" s="128" t="s">
        <v>84</v>
      </c>
      <c r="S63" s="138">
        <f>100%-H62</f>
        <v>0.87</v>
      </c>
      <c r="T63" s="274"/>
      <c r="U63" s="261"/>
      <c r="V63" s="261"/>
      <c r="W63" s="261" t="s">
        <v>159</v>
      </c>
      <c r="X63" s="278">
        <f>($F$66+$F$68+$F$70+$F$73-$F$75)/$B$25*$B$24</f>
        <v>21454.394406623735</v>
      </c>
      <c r="Y63" s="278">
        <f>($F$66+$F$68+$F$70+$F$73-$F$75)/$B$25*($F$24+$G$24)</f>
        <v>7898.5655933762637</v>
      </c>
      <c r="Z63" s="278"/>
      <c r="AA63" s="278">
        <f>SUM(X63:Y63)</f>
        <v>29352.959999999999</v>
      </c>
      <c r="AB63" s="25"/>
      <c r="AC63" s="24"/>
      <c r="AD63" s="270"/>
      <c r="AE63" s="131"/>
    </row>
    <row r="64" spans="1:31" ht="14.65" customHeight="1">
      <c r="A64" s="48"/>
      <c r="B64" s="1017" t="s">
        <v>18</v>
      </c>
      <c r="C64" s="1017"/>
      <c r="D64" s="1017"/>
      <c r="F64" s="1017" t="s">
        <v>47</v>
      </c>
      <c r="G64" s="1017"/>
      <c r="H64" s="1018"/>
      <c r="K64" s="269"/>
      <c r="L64" s="269"/>
      <c r="M64" s="262">
        <f>$M$15*$S64</f>
        <v>175993.61000000002</v>
      </c>
      <c r="N64" s="250"/>
      <c r="O64" s="250"/>
      <c r="P64" s="256"/>
      <c r="Q64" s="20" t="s">
        <v>85</v>
      </c>
      <c r="R64" s="128" t="s">
        <v>86</v>
      </c>
      <c r="S64" s="138">
        <f>H62</f>
        <v>0.13</v>
      </c>
      <c r="T64" s="274"/>
      <c r="U64" s="261"/>
      <c r="V64" s="261"/>
      <c r="W64" s="261" t="s">
        <v>109</v>
      </c>
      <c r="X64" s="279">
        <v>0</v>
      </c>
      <c r="Y64" s="279">
        <f>($F$67+$F$69+$F$71)/$F$24*($F$24+$G$24)</f>
        <v>10133.76</v>
      </c>
      <c r="Z64" s="279"/>
      <c r="AA64" s="279">
        <f>SUM(X64:Y64)</f>
        <v>10133.76</v>
      </c>
      <c r="AB64" s="25"/>
      <c r="AC64" s="24"/>
      <c r="AD64" s="270"/>
      <c r="AE64" s="131"/>
    </row>
    <row r="65" spans="1:30" ht="14.65" customHeight="1" thickBot="1">
      <c r="A65" s="48"/>
      <c r="B65" s="83" t="s">
        <v>48</v>
      </c>
      <c r="C65" s="83" t="s">
        <v>49</v>
      </c>
      <c r="D65" s="84" t="s">
        <v>50</v>
      </c>
      <c r="E65" s="52"/>
      <c r="F65" s="83" t="s">
        <v>48</v>
      </c>
      <c r="G65" s="83" t="s">
        <v>49</v>
      </c>
      <c r="H65" s="85" t="s">
        <v>50</v>
      </c>
      <c r="I65" s="52"/>
      <c r="K65" s="235"/>
      <c r="L65" s="235"/>
      <c r="M65" s="24">
        <f>SUM(M63:M64)</f>
        <v>1353797</v>
      </c>
      <c r="N65" s="268"/>
      <c r="O65" s="268"/>
      <c r="P65" s="256" t="s">
        <v>19</v>
      </c>
      <c r="Q65" s="130" t="s">
        <v>22</v>
      </c>
      <c r="R65" s="257" t="s">
        <v>107</v>
      </c>
      <c r="S65" s="138"/>
      <c r="T65" s="271">
        <f>$AB$65*AC65*$B$24</f>
        <v>735561.06430263375</v>
      </c>
      <c r="U65" s="272">
        <f>$AB$65*AD65*($F$24+$G$24)</f>
        <v>618235.88929736626</v>
      </c>
      <c r="V65" s="272"/>
      <c r="W65" s="273">
        <f>SUM(T65:U65)</f>
        <v>1353796.9536000001</v>
      </c>
      <c r="X65" s="280">
        <f>SUM(X63:X64)</f>
        <v>21454.394406623735</v>
      </c>
      <c r="Y65" s="280">
        <f>SUM(Y63:Y64)</f>
        <v>18032.325593376263</v>
      </c>
      <c r="Z65" s="280"/>
      <c r="AA65" s="280">
        <f>SUM(AA63:AA64)</f>
        <v>39486.720000000001</v>
      </c>
      <c r="AB65" s="277">
        <f>$AB$15</f>
        <v>34.28486725663717</v>
      </c>
      <c r="AC65" s="275">
        <f>X65/$B$24</f>
        <v>0.13501821527138913</v>
      </c>
      <c r="AD65" s="276">
        <f>Y65/($F$24+$G$24)</f>
        <v>0.30824488193805577</v>
      </c>
    </row>
    <row r="66" spans="1:30" ht="14.65" customHeight="1">
      <c r="A66" s="48" t="s">
        <v>195</v>
      </c>
      <c r="B66" s="49">
        <f>$D$148*$D$149*B$60</f>
        <v>58968</v>
      </c>
      <c r="C66" s="86">
        <f>B$61</f>
        <v>28.16</v>
      </c>
      <c r="D66" s="87">
        <f>B66*C66</f>
        <v>1660538.8800000001</v>
      </c>
      <c r="F66" s="49">
        <f>$D$148*$D$149*F$60</f>
        <v>26208</v>
      </c>
      <c r="G66" s="86">
        <f>F$61</f>
        <v>32.42</v>
      </c>
      <c r="H66" s="88">
        <f>F66*G66</f>
        <v>849663.3600000001</v>
      </c>
      <c r="I66" s="26"/>
      <c r="K66"/>
      <c r="L66"/>
      <c r="M66"/>
      <c r="N66" s="131"/>
      <c r="O66" s="131"/>
      <c r="P66" s="146"/>
      <c r="Q66" s="131"/>
      <c r="R66" s="132"/>
      <c r="S66"/>
      <c r="T66" s="260" t="s">
        <v>221</v>
      </c>
      <c r="U66" s="131"/>
      <c r="V66" s="131"/>
      <c r="W66" s="131"/>
      <c r="X66" s="162"/>
    </row>
    <row r="67" spans="1:30" ht="14.65" customHeight="1">
      <c r="A67" s="48" t="s">
        <v>196</v>
      </c>
      <c r="B67" s="49">
        <f>$D$148*$D$149*C$60</f>
        <v>43680</v>
      </c>
      <c r="C67" s="205">
        <f>C$61</f>
        <v>30.44</v>
      </c>
      <c r="D67" s="78">
        <f>B67*C67</f>
        <v>1329619.2</v>
      </c>
      <c r="F67" s="49">
        <f>$D$148*$D$149*G$60</f>
        <v>8736</v>
      </c>
      <c r="G67" s="205">
        <f>G$61</f>
        <v>32.42</v>
      </c>
      <c r="H67" s="79">
        <f>F67*G67</f>
        <v>283221.12</v>
      </c>
      <c r="I67" s="26"/>
      <c r="K67" s="240"/>
      <c r="L67" s="240"/>
      <c r="M67" s="261">
        <f t="shared" ref="M67:M72" si="22">$M$16*$S67</f>
        <v>387677.31635997526</v>
      </c>
      <c r="N67" s="250"/>
      <c r="O67" s="250"/>
      <c r="P67" s="159"/>
      <c r="Q67" s="20" t="s">
        <v>87</v>
      </c>
      <c r="R67" s="128" t="s">
        <v>88</v>
      </c>
      <c r="S67" s="138">
        <f t="shared" ref="S67:S72" si="23">T67/$T$73</f>
        <v>0.17828449485325745</v>
      </c>
      <c r="T67" s="143">
        <v>150099.35999999999</v>
      </c>
      <c r="U67" s="133"/>
      <c r="V67" s="133"/>
      <c r="W67" s="133"/>
      <c r="X67" s="143"/>
      <c r="AB67" s="240"/>
      <c r="AC67" s="240"/>
    </row>
    <row r="68" spans="1:30" ht="14.65" customHeight="1">
      <c r="A68" s="48" t="s">
        <v>197</v>
      </c>
      <c r="B68" s="49">
        <f>B66*B62</f>
        <v>8845.1999999999989</v>
      </c>
      <c r="C68" s="89">
        <f>B61*D150</f>
        <v>42.24</v>
      </c>
      <c r="D68" s="78">
        <f>B68*C68</f>
        <v>373621.24799999996</v>
      </c>
      <c r="F68" s="49">
        <f>F66*F62</f>
        <v>3144.96</v>
      </c>
      <c r="G68" s="89">
        <f>F61*D150</f>
        <v>48.63</v>
      </c>
      <c r="H68" s="79">
        <f>F68*G68</f>
        <v>152939.40480000002</v>
      </c>
      <c r="I68" s="26"/>
      <c r="K68" s="240"/>
      <c r="L68" s="240"/>
      <c r="M68" s="261">
        <f t="shared" si="22"/>
        <v>189147.04529355315</v>
      </c>
      <c r="N68" s="250"/>
      <c r="O68" s="250"/>
      <c r="P68" s="159"/>
      <c r="Q68" s="20" t="s">
        <v>89</v>
      </c>
      <c r="R68" s="128" t="s">
        <v>90</v>
      </c>
      <c r="S68" s="138">
        <f t="shared" si="23"/>
        <v>8.6984675141103696E-2</v>
      </c>
      <c r="T68" s="143">
        <v>73233.2</v>
      </c>
      <c r="U68" s="133"/>
      <c r="V68" s="133"/>
      <c r="W68" s="133"/>
      <c r="X68" s="143"/>
      <c r="AB68" s="240"/>
      <c r="AC68" s="240"/>
    </row>
    <row r="69" spans="1:30" ht="14.65" customHeight="1">
      <c r="A69" s="48" t="s">
        <v>198</v>
      </c>
      <c r="B69" s="49">
        <f>B67*C62</f>
        <v>6552</v>
      </c>
      <c r="C69" s="89">
        <f>C61*D150</f>
        <v>45.660000000000004</v>
      </c>
      <c r="D69" s="78">
        <f>B69*C69</f>
        <v>299164.32</v>
      </c>
      <c r="F69" s="49">
        <f>F67*G62</f>
        <v>1397.76</v>
      </c>
      <c r="G69" s="89">
        <f>G61*D150</f>
        <v>48.63</v>
      </c>
      <c r="H69" s="79">
        <f>F69*G69</f>
        <v>67973.068800000008</v>
      </c>
      <c r="I69" s="26"/>
      <c r="K69" s="240"/>
      <c r="L69" s="240"/>
      <c r="M69" s="261">
        <f t="shared" si="22"/>
        <v>152132.17531922265</v>
      </c>
      <c r="N69" s="250"/>
      <c r="O69" s="250"/>
      <c r="P69" s="159"/>
      <c r="Q69" s="20" t="s">
        <v>91</v>
      </c>
      <c r="R69" s="128" t="s">
        <v>92</v>
      </c>
      <c r="S69" s="138">
        <f t="shared" si="23"/>
        <v>6.9962329192688966E-2</v>
      </c>
      <c r="T69" s="143">
        <v>58901.93</v>
      </c>
      <c r="U69" s="133"/>
      <c r="V69" s="133"/>
      <c r="W69" s="133"/>
      <c r="X69" s="143"/>
      <c r="AB69" s="240"/>
      <c r="AC69" s="240"/>
    </row>
    <row r="70" spans="1:30" ht="14.65" customHeight="1">
      <c r="A70" s="48" t="s">
        <v>199</v>
      </c>
      <c r="B70" s="49">
        <v>0</v>
      </c>
      <c r="C70" s="90"/>
      <c r="D70" s="78">
        <f>96*(34.91*1.03)*12*1.5</f>
        <v>62134.21439999999</v>
      </c>
      <c r="F70" s="49">
        <v>0</v>
      </c>
      <c r="G70" s="89"/>
      <c r="H70" s="79">
        <v>0</v>
      </c>
      <c r="I70" s="26"/>
      <c r="K70" s="240"/>
      <c r="L70" s="240"/>
      <c r="M70" s="261">
        <f t="shared" si="22"/>
        <v>956896.89399898727</v>
      </c>
      <c r="N70" s="250"/>
      <c r="O70" s="250"/>
      <c r="P70" s="159"/>
      <c r="Q70" s="20" t="s">
        <v>93</v>
      </c>
      <c r="R70" s="128" t="s">
        <v>94</v>
      </c>
      <c r="S70" s="138">
        <f t="shared" si="23"/>
        <v>0.44005638755209264</v>
      </c>
      <c r="T70" s="143">
        <v>370487.53</v>
      </c>
      <c r="U70" s="133"/>
      <c r="V70" s="133"/>
      <c r="W70" s="133"/>
      <c r="X70" s="143"/>
      <c r="AB70" s="240"/>
      <c r="AC70" s="240"/>
    </row>
    <row r="71" spans="1:30" ht="14.65" customHeight="1">
      <c r="A71" s="48" t="s">
        <v>200</v>
      </c>
      <c r="B71" s="170">
        <v>0</v>
      </c>
      <c r="C71" s="177"/>
      <c r="D71" s="178">
        <v>0</v>
      </c>
      <c r="E71" s="163"/>
      <c r="F71" s="170">
        <v>0</v>
      </c>
      <c r="G71" s="177"/>
      <c r="H71" s="194">
        <v>0</v>
      </c>
      <c r="I71" s="26"/>
      <c r="K71" s="240"/>
      <c r="L71" s="240"/>
      <c r="M71" s="261">
        <f t="shared" si="22"/>
        <v>436751.61091388215</v>
      </c>
      <c r="N71" s="250"/>
      <c r="O71" s="250"/>
      <c r="P71" s="159"/>
      <c r="Q71" s="20" t="s">
        <v>95</v>
      </c>
      <c r="R71" s="128" t="s">
        <v>96</v>
      </c>
      <c r="S71" s="138">
        <f t="shared" si="23"/>
        <v>0.20085271188739329</v>
      </c>
      <c r="T71" s="143">
        <v>169099.75</v>
      </c>
      <c r="U71" s="133"/>
      <c r="V71" s="133"/>
      <c r="W71" s="133"/>
      <c r="X71" s="143"/>
      <c r="AB71" s="240"/>
      <c r="AC71" s="240"/>
    </row>
    <row r="72" spans="1:30" ht="14.65" customHeight="1">
      <c r="A72" s="176" t="s">
        <v>161</v>
      </c>
      <c r="B72" s="49">
        <f>SUM(B66:B71)</f>
        <v>118045.2</v>
      </c>
      <c r="C72" s="80">
        <f>D72/B72</f>
        <v>31.556368767217982</v>
      </c>
      <c r="D72" s="167">
        <f>SUM(D66:D71)</f>
        <v>3725077.8624</v>
      </c>
      <c r="E72" s="163"/>
      <c r="F72" s="49">
        <f>SUM(F66:F71)</f>
        <v>39486.720000000001</v>
      </c>
      <c r="G72" s="80">
        <f>H72/F72</f>
        <v>34.28486725663717</v>
      </c>
      <c r="H72" s="91">
        <f>SUM(H66:H71)</f>
        <v>1353796.9536000001</v>
      </c>
      <c r="I72" s="26"/>
      <c r="K72" s="269"/>
      <c r="L72" s="269"/>
      <c r="M72" s="262">
        <f t="shared" si="22"/>
        <v>51881.958114379602</v>
      </c>
      <c r="N72" s="250"/>
      <c r="O72" s="250"/>
      <c r="P72" s="159"/>
      <c r="Q72" s="20" t="s">
        <v>97</v>
      </c>
      <c r="R72" s="128" t="s">
        <v>98</v>
      </c>
      <c r="S72" s="258">
        <f t="shared" si="23"/>
        <v>2.3859401373463995E-2</v>
      </c>
      <c r="T72" s="161">
        <v>20087.45</v>
      </c>
      <c r="U72" s="133"/>
      <c r="V72" s="133"/>
      <c r="W72" s="133"/>
      <c r="X72" s="161"/>
      <c r="AB72" s="240"/>
      <c r="AC72" s="240"/>
    </row>
    <row r="73" spans="1:30" ht="14.65" customHeight="1">
      <c r="A73" s="176" t="s">
        <v>217</v>
      </c>
      <c r="B73" s="170">
        <f>-H82</f>
        <v>-8760</v>
      </c>
      <c r="C73" s="209">
        <f>D73/B73</f>
        <v>28.160045662100458</v>
      </c>
      <c r="D73" s="179">
        <f>ROUND(B73*B61,0)</f>
        <v>-246682</v>
      </c>
      <c r="E73" s="163"/>
      <c r="F73" s="170">
        <v>0</v>
      </c>
      <c r="G73" s="210"/>
      <c r="H73" s="195">
        <v>0</v>
      </c>
      <c r="I73" s="163"/>
      <c r="K73" s="235"/>
      <c r="L73" s="235"/>
      <c r="M73" s="24">
        <f>SUM(M67:M72)</f>
        <v>2174487</v>
      </c>
      <c r="N73" s="268"/>
      <c r="O73" s="268"/>
      <c r="P73" s="256" t="s">
        <v>19</v>
      </c>
      <c r="Q73" s="130" t="s">
        <v>24</v>
      </c>
      <c r="R73" s="257" t="s">
        <v>107</v>
      </c>
      <c r="S73" s="138">
        <f>SUM(S67:S72)</f>
        <v>1</v>
      </c>
      <c r="T73" s="259">
        <f>SUM(T67:T72)</f>
        <v>841909.22</v>
      </c>
      <c r="U73"/>
      <c r="V73"/>
      <c r="W73"/>
      <c r="X73" s="160"/>
      <c r="AB73" s="241"/>
      <c r="AC73" s="241"/>
    </row>
    <row r="74" spans="1:30" ht="14.65" customHeight="1">
      <c r="A74" s="176" t="s">
        <v>162</v>
      </c>
      <c r="B74" s="165">
        <f>SUM(B72:B73)</f>
        <v>109285.2</v>
      </c>
      <c r="C74" s="166">
        <f>D74/B74</f>
        <v>31.828608653321769</v>
      </c>
      <c r="D74" s="169">
        <f>SUM(D72:D73)</f>
        <v>3478395.8624</v>
      </c>
      <c r="E74" s="163"/>
      <c r="F74" s="165">
        <f>SUM(F72:F73)</f>
        <v>39486.720000000001</v>
      </c>
      <c r="G74" s="196">
        <f>H74/F74</f>
        <v>34.28486725663717</v>
      </c>
      <c r="H74" s="164">
        <f>SUM(H72:H73)</f>
        <v>1353796.9536000001</v>
      </c>
    </row>
    <row r="75" spans="1:30" ht="14.65" customHeight="1">
      <c r="A75" s="141" t="s">
        <v>163</v>
      </c>
      <c r="B75" s="165">
        <f>H83</f>
        <v>3753.9106583072098</v>
      </c>
      <c r="C75" s="166"/>
      <c r="D75" s="169">
        <f>B75*C74</f>
        <v>119481.75326279367</v>
      </c>
      <c r="E75" s="163"/>
      <c r="F75" s="165">
        <v>0</v>
      </c>
      <c r="G75" s="40"/>
      <c r="H75" s="164">
        <f>F75*G74</f>
        <v>0</v>
      </c>
    </row>
    <row r="76" spans="1:30" ht="14.65" customHeight="1">
      <c r="A76" s="141" t="s">
        <v>164</v>
      </c>
      <c r="B76" s="165">
        <f>B74-B75</f>
        <v>105531.28934169278</v>
      </c>
      <c r="C76" s="166"/>
      <c r="D76" s="169">
        <f>B76*C74</f>
        <v>3358914.1091372063</v>
      </c>
      <c r="E76" s="163"/>
      <c r="F76" s="165">
        <f>F74-F75</f>
        <v>39486.720000000001</v>
      </c>
      <c r="G76" s="196"/>
      <c r="H76" s="197">
        <f>F76*G74</f>
        <v>1353796.9536000001</v>
      </c>
    </row>
    <row r="77" spans="1:30" ht="14.65" customHeight="1" thickBot="1">
      <c r="A77" s="48"/>
      <c r="B77" s="59"/>
      <c r="H77" s="45"/>
    </row>
    <row r="78" spans="1:30" ht="14.65" customHeight="1">
      <c r="A78" s="48" t="str">
        <f>CONCATENATE("Indirect Payroll Cost (IPC) at ",$D$151*100,"% (NIRO)")</f>
        <v>Indirect Payroll Cost (IPC) at 45% (NIRO)</v>
      </c>
      <c r="B78" s="49">
        <f>B66+B68+B70</f>
        <v>67813.2</v>
      </c>
      <c r="C78" s="80">
        <f>D78/B78</f>
        <v>20.563897563306259</v>
      </c>
      <c r="D78" s="204">
        <f>((D66+D68+D70)*$D$151)+((H66+H68+H70)*$D$151)</f>
        <v>1394503.6982400001</v>
      </c>
      <c r="E78" s="1019" t="s">
        <v>51</v>
      </c>
      <c r="F78" s="1019"/>
      <c r="G78" s="1019"/>
      <c r="H78" s="291">
        <v>510968</v>
      </c>
      <c r="T78" s="1014" t="s">
        <v>255</v>
      </c>
      <c r="U78" s="1015"/>
      <c r="V78" s="1015"/>
      <c r="W78" s="1015"/>
      <c r="X78" s="1015"/>
      <c r="Y78" s="1015"/>
      <c r="Z78" s="1015"/>
      <c r="AA78" s="1015"/>
      <c r="AB78" s="1015"/>
      <c r="AC78" s="1015"/>
      <c r="AD78" s="1016"/>
    </row>
    <row r="79" spans="1:30" ht="14.65" customHeight="1">
      <c r="A79" s="48" t="str">
        <f>CONCATENATE("Indirect Payroll Cost (IPC) at ",$D$151*100,"% (KS)")</f>
        <v>Indirect Payroll Cost (IPC) at 45% (KS)</v>
      </c>
      <c r="B79" s="170">
        <f>B67+B69+B71</f>
        <v>50232</v>
      </c>
      <c r="C79" s="209">
        <f>D79/B79</f>
        <v>17.737497391304348</v>
      </c>
      <c r="D79" s="179">
        <f>((D67+D69+D71)*$D$151)+((H67+H69+H71)*$D$151)</f>
        <v>890989.96895999997</v>
      </c>
      <c r="E79" s="1019" t="s">
        <v>224</v>
      </c>
      <c r="F79" s="1019"/>
      <c r="G79" s="1019"/>
      <c r="H79" s="292">
        <f>B25*0.2</f>
        <v>43480</v>
      </c>
      <c r="T79" s="274"/>
      <c r="U79" s="261"/>
      <c r="V79" s="261"/>
      <c r="W79" s="261" t="s">
        <v>159</v>
      </c>
      <c r="X79" s="278">
        <f>($B$66+$B$68+$B$70+$B$73-$B$75)/$B$25*$B$24</f>
        <v>40418.845797585018</v>
      </c>
      <c r="Y79" s="278">
        <f>($B$66+$B$68+$B$70+$B$73-$B$75)/$B$25*($F$24+$G$24)</f>
        <v>14880.443544107764</v>
      </c>
      <c r="Z79" s="278"/>
      <c r="AA79" s="278">
        <f>SUM(X79:Y79)</f>
        <v>55299.289341692784</v>
      </c>
      <c r="AB79" s="25"/>
      <c r="AC79" s="24"/>
      <c r="AD79" s="270"/>
    </row>
    <row r="80" spans="1:30" ht="14.65" customHeight="1">
      <c r="A80" s="176" t="str">
        <f>CONCATENATE("Total IPC at ",$D$151*100,"% (KS)")</f>
        <v>Total IPC at 45% (KS)</v>
      </c>
      <c r="B80" s="49">
        <f>SUM(B78:B79)</f>
        <v>118045.2</v>
      </c>
      <c r="C80" s="80">
        <f>D80/B80</f>
        <v>19.361174085858639</v>
      </c>
      <c r="D80" s="207">
        <f>SUM(D78:D79)</f>
        <v>2285493.6672</v>
      </c>
      <c r="E80" s="293" t="s">
        <v>158</v>
      </c>
      <c r="F80" s="294" t="s">
        <v>50</v>
      </c>
      <c r="G80" s="294" t="s">
        <v>52</v>
      </c>
      <c r="H80" s="295" t="s">
        <v>53</v>
      </c>
      <c r="T80" s="274"/>
      <c r="U80" s="261"/>
      <c r="V80" s="261"/>
      <c r="W80" s="261" t="s">
        <v>109</v>
      </c>
      <c r="X80" s="279">
        <v>0</v>
      </c>
      <c r="Y80" s="279">
        <f>($B$67+$B$69+$B$71)/($F$24+$G$24)*($F$24+$G$24)</f>
        <v>50232</v>
      </c>
      <c r="Z80" s="279"/>
      <c r="AA80" s="279">
        <f>SUM(X80:Y80)</f>
        <v>50232</v>
      </c>
      <c r="AB80" s="25"/>
      <c r="AC80" s="24"/>
      <c r="AD80" s="270"/>
    </row>
    <row r="81" spans="1:30" ht="14.65" customHeight="1" thickBot="1">
      <c r="A81" s="176" t="s">
        <v>201</v>
      </c>
      <c r="B81" s="147">
        <f>B73</f>
        <v>-8760</v>
      </c>
      <c r="C81" s="208">
        <f>D81/B81</f>
        <v>12.672031963470319</v>
      </c>
      <c r="D81" s="168">
        <f>ROUND(B81*$B$61*D151,0)</f>
        <v>-111007</v>
      </c>
      <c r="E81" s="298" t="s">
        <v>151</v>
      </c>
      <c r="F81" s="296">
        <f>SUM(F82:F83)</f>
        <v>352391.72413793101</v>
      </c>
      <c r="G81" s="296">
        <f>SUM(G82:G83)</f>
        <v>158576.27586206896</v>
      </c>
      <c r="H81" s="297">
        <f>H78/(B61*(1+D151))</f>
        <v>12513.91065830721</v>
      </c>
      <c r="T81" s="271">
        <f>$AB$81*AC81*$B$24</f>
        <v>804228.21471216029</v>
      </c>
      <c r="U81" s="272">
        <f>$AB$81*AD81*($F$24+$G$24)</f>
        <v>1295565.5510121689</v>
      </c>
      <c r="V81" s="272"/>
      <c r="W81" s="273">
        <f>SUM(T81:U81)</f>
        <v>2099793.7657243293</v>
      </c>
      <c r="X81" s="280">
        <f>SUM(X79:X80)</f>
        <v>40418.845797585018</v>
      </c>
      <c r="Y81" s="280">
        <f>SUM(Y79:Y80)</f>
        <v>65112.443544107766</v>
      </c>
      <c r="Z81" s="280"/>
      <c r="AA81" s="280">
        <f>SUM(AA79:AA80)</f>
        <v>105531.28934169278</v>
      </c>
      <c r="AB81" s="277">
        <f>$AB$16</f>
        <v>19.897357256060292</v>
      </c>
      <c r="AC81" s="275">
        <f>X81/$B$24</f>
        <v>0.25436655630953442</v>
      </c>
      <c r="AD81" s="276">
        <f>Y81/($F$24+$G$24)</f>
        <v>1.1130332229762012</v>
      </c>
    </row>
    <row r="82" spans="1:30" ht="14.65" customHeight="1">
      <c r="A82" s="176" t="s">
        <v>165</v>
      </c>
      <c r="B82" s="165">
        <f>SUM(B80:B81)</f>
        <v>109285.2</v>
      </c>
      <c r="C82" s="166">
        <f>D82/B82</f>
        <v>19.897357256060292</v>
      </c>
      <c r="D82" s="169">
        <f>SUM(D80:D81)</f>
        <v>2174486.6672</v>
      </c>
      <c r="E82" s="298" t="s">
        <v>54</v>
      </c>
      <c r="F82" s="296">
        <f>$H82*$B$61</f>
        <v>246681.60000000001</v>
      </c>
      <c r="G82" s="296">
        <f>$H82*$B$61*$D$151</f>
        <v>111006.72</v>
      </c>
      <c r="H82" s="297">
        <f>1*365*24</f>
        <v>8760</v>
      </c>
    </row>
    <row r="83" spans="1:30" ht="14.65" customHeight="1">
      <c r="A83" s="141" t="s">
        <v>166</v>
      </c>
      <c r="B83" s="165">
        <f>H83</f>
        <v>3753.9106583072098</v>
      </c>
      <c r="C83" s="166"/>
      <c r="D83" s="169">
        <f>B83*C82</f>
        <v>74692.901475671024</v>
      </c>
      <c r="E83" s="298" t="s">
        <v>55</v>
      </c>
      <c r="F83" s="296">
        <f>$H83*$B$61</f>
        <v>105710.12413793102</v>
      </c>
      <c r="G83" s="296">
        <f>$H83*$B$61*$D$151</f>
        <v>47569.555862068963</v>
      </c>
      <c r="H83" s="297">
        <f>H81-H82</f>
        <v>3753.9106583072098</v>
      </c>
    </row>
    <row r="84" spans="1:30" ht="14.65" customHeight="1">
      <c r="A84" s="141" t="s">
        <v>167</v>
      </c>
      <c r="B84" s="165">
        <f>B82-B83</f>
        <v>105531.28934169278</v>
      </c>
      <c r="C84" s="196"/>
      <c r="D84" s="169">
        <f>B84*C82</f>
        <v>2099793.7657243293</v>
      </c>
      <c r="E84" s="26"/>
      <c r="F84" s="26"/>
      <c r="G84" s="26"/>
      <c r="H84" s="77"/>
    </row>
    <row r="85" spans="1:30" ht="14.65" customHeight="1">
      <c r="A85" s="48"/>
      <c r="B85" s="26"/>
      <c r="C85" s="26"/>
      <c r="D85" s="299"/>
      <c r="E85" s="1009" t="s">
        <v>186</v>
      </c>
      <c r="F85" s="1009"/>
      <c r="G85" s="1009" t="s">
        <v>259</v>
      </c>
      <c r="H85" s="1010"/>
    </row>
    <row r="86" spans="1:30" ht="14.65" customHeight="1">
      <c r="A86" s="48"/>
      <c r="B86" s="26"/>
      <c r="C86" s="26"/>
      <c r="D86" s="299"/>
      <c r="E86" s="199" t="s">
        <v>53</v>
      </c>
      <c r="F86" s="199" t="s">
        <v>273</v>
      </c>
      <c r="G86" s="199" t="s">
        <v>53</v>
      </c>
      <c r="H86" s="305" t="s">
        <v>273</v>
      </c>
    </row>
    <row r="87" spans="1:30" ht="14.65" customHeight="1">
      <c r="A87" s="48" t="s">
        <v>274</v>
      </c>
      <c r="B87" s="26"/>
      <c r="C87" s="26"/>
      <c r="D87" s="299"/>
      <c r="E87" s="49">
        <f>($B$66+$B$68+$B$70+$B$73-$B$75)/$B$25*$B$24</f>
        <v>40418.845797585018</v>
      </c>
      <c r="F87" s="102">
        <f>E87*$C$74</f>
        <v>1286475.6251102928</v>
      </c>
      <c r="G87" s="49">
        <f>(($B$66+$B$68+$B$70+$B$73-$B$75)/$B$25*($F$24+$G$24))+(($B$67+$B$69+$B$71)/($F$24+$G$24)*($F$24+$G$24))</f>
        <v>65112.443544107766</v>
      </c>
      <c r="H87" s="303">
        <f>G87*$C$74</f>
        <v>2072438.4840269135</v>
      </c>
    </row>
    <row r="88" spans="1:30" ht="14.65" customHeight="1">
      <c r="A88" s="48" t="s">
        <v>275</v>
      </c>
      <c r="B88" s="26"/>
      <c r="C88" s="26"/>
      <c r="D88" s="299"/>
      <c r="E88" s="49">
        <f>($F$66+$F$68+$F$70+$F$73-$F$75)/$B$25*$B$24</f>
        <v>21454.394406623735</v>
      </c>
      <c r="F88" s="102">
        <f>E88*$G$74</f>
        <v>735561.06430263375</v>
      </c>
      <c r="G88" s="49">
        <f>(($F$66+$F$68+$F$70+$F$73-$F$75)/$B$25*($F$24+$G$24))+(($F$67+$F$69+$F$71)/($F$24+$G$24)*($F$24+$G$24))</f>
        <v>18032.325593376263</v>
      </c>
      <c r="H88" s="303">
        <f>G88*$G$74</f>
        <v>618235.88929736626</v>
      </c>
    </row>
    <row r="89" spans="1:30" ht="14.65" customHeight="1">
      <c r="A89" s="112" t="s">
        <v>276</v>
      </c>
      <c r="B89" s="113"/>
      <c r="C89" s="113"/>
      <c r="D89" s="300"/>
      <c r="E89" s="170">
        <f>($B$66+$B$68+$B$70+$B$73-$B$75)/$B$25*$B$24</f>
        <v>40418.845797585018</v>
      </c>
      <c r="F89" s="302">
        <f>E89*$C$82</f>
        <v>804228.21471216029</v>
      </c>
      <c r="G89" s="170">
        <f>(($B$66+$B$68+$B$70+$B$73-$B$75)/$B$25*($F$24+$G$24))+(($B$67+$B$69+$B$71)/($F$24+$G$24)*($F$24+$G$24))</f>
        <v>65112.443544107766</v>
      </c>
      <c r="H89" s="304">
        <f>G89*$C$82</f>
        <v>1295565.5510121689</v>
      </c>
    </row>
    <row r="90" spans="1:30" ht="14.65" customHeight="1">
      <c r="D90" s="92"/>
      <c r="H90" s="92"/>
    </row>
    <row r="91" spans="1:30" ht="14.65" customHeight="1"/>
    <row r="92" spans="1:30" ht="14.65" customHeight="1">
      <c r="A92" s="82" t="s">
        <v>56</v>
      </c>
      <c r="B92" s="93"/>
      <c r="C92" s="93"/>
      <c r="D92" s="94"/>
      <c r="E92" s="94"/>
      <c r="F92" s="93"/>
      <c r="G92" s="93"/>
      <c r="H92" s="95"/>
    </row>
    <row r="93" spans="1:30" ht="15">
      <c r="A93" s="48"/>
      <c r="B93" s="147" t="s">
        <v>8</v>
      </c>
      <c r="C93" s="213" t="s">
        <v>207</v>
      </c>
      <c r="D93" s="213" t="s">
        <v>213</v>
      </c>
      <c r="F93" s="147" t="s">
        <v>5</v>
      </c>
      <c r="G93" s="213" t="s">
        <v>6</v>
      </c>
      <c r="H93" s="214" t="s">
        <v>214</v>
      </c>
    </row>
    <row r="94" spans="1:30">
      <c r="A94" s="48"/>
      <c r="B94" s="49" t="s">
        <v>202</v>
      </c>
      <c r="C94" s="49">
        <f>IF(($B$107*$B$24+$F$107*$F$24+$F$107*$G$24)*1000&lt;=600000,($B$107*$B$24+$F$107*$F$24+$F$107*$G$24)*1000,600000)</f>
        <v>600000</v>
      </c>
      <c r="D94" s="80">
        <v>5.37</v>
      </c>
      <c r="F94" s="49" t="s">
        <v>159</v>
      </c>
      <c r="G94" s="49">
        <f>(B100*$B$24+F100*$F$24+F100*$G$24)*1000</f>
        <v>13913600</v>
      </c>
      <c r="H94" s="173">
        <v>7.0999999999999994E-2</v>
      </c>
    </row>
    <row r="95" spans="1:30" ht="15">
      <c r="A95" s="48"/>
      <c r="B95" s="49" t="s">
        <v>203</v>
      </c>
      <c r="C95" s="147">
        <f>IF(C94&gt;=600000,(((B104+B105+B106)*$B$24*1000)+((F104+F105+F106)*($F$24+$G$24)*1000))-600000,0)</f>
        <v>238722.00000000012</v>
      </c>
      <c r="D95" s="215">
        <v>3.62</v>
      </c>
      <c r="F95" s="49" t="s">
        <v>109</v>
      </c>
      <c r="G95" s="147">
        <f>(B101*$B$24+F101*$F$24+F101*$G$24)*1000</f>
        <v>40271400</v>
      </c>
      <c r="H95" s="216">
        <v>6.5000000000000002E-2</v>
      </c>
    </row>
    <row r="96" spans="1:30">
      <c r="A96" s="48"/>
      <c r="B96" s="49"/>
      <c r="C96" s="49">
        <f>SUM(C94:C95)</f>
        <v>838722.00000000012</v>
      </c>
      <c r="D96" s="80">
        <f>(C94*D94+C95*D95)/C96</f>
        <v>4.8719046835542645</v>
      </c>
      <c r="F96" s="49"/>
      <c r="G96" s="49">
        <f>SUM(G94:G95)</f>
        <v>54185000</v>
      </c>
      <c r="H96" s="173">
        <f>(G94*H94+G95*H95)/G96</f>
        <v>6.6540677309218407E-2</v>
      </c>
    </row>
    <row r="97" spans="1:29">
      <c r="A97" s="43"/>
      <c r="H97" s="96"/>
    </row>
    <row r="98" spans="1:29">
      <c r="A98" s="48"/>
      <c r="B98" s="1023" t="s">
        <v>194</v>
      </c>
      <c r="C98" s="1023"/>
      <c r="D98" s="1023"/>
      <c r="F98" s="1023" t="s">
        <v>285</v>
      </c>
      <c r="G98" s="1023"/>
      <c r="H98" s="1024"/>
    </row>
    <row r="99" spans="1:29" ht="26.25">
      <c r="A99" s="48"/>
      <c r="B99" s="97" t="s">
        <v>152</v>
      </c>
      <c r="C99" s="13" t="s">
        <v>215</v>
      </c>
      <c r="D99" s="97" t="s">
        <v>153</v>
      </c>
      <c r="F99" s="97" t="s">
        <v>152</v>
      </c>
      <c r="G99" s="13" t="s">
        <v>215</v>
      </c>
      <c r="H99" s="101" t="s">
        <v>153</v>
      </c>
      <c r="R99"/>
      <c r="S99"/>
      <c r="T99"/>
      <c r="U99"/>
      <c r="V99"/>
      <c r="W99"/>
      <c r="X99" s="136"/>
    </row>
    <row r="100" spans="1:29" ht="15">
      <c r="A100" s="48" t="s">
        <v>204</v>
      </c>
      <c r="B100" s="217">
        <v>6.4000000000000001E-2</v>
      </c>
      <c r="C100" s="172">
        <f>$H$96</f>
        <v>6.6540677309218407E-2</v>
      </c>
      <c r="D100" s="174">
        <f>B100*C100</f>
        <v>4.2586033477899779E-3</v>
      </c>
      <c r="F100" s="217">
        <v>6.4000000000000001E-2</v>
      </c>
      <c r="G100" s="172">
        <f>$H$96</f>
        <v>6.6540677309218407E-2</v>
      </c>
      <c r="H100" s="175">
        <f>F100*G100</f>
        <v>4.2586033477899779E-3</v>
      </c>
      <c r="P100" s="97"/>
      <c r="R100"/>
      <c r="S100"/>
      <c r="T100"/>
      <c r="U100"/>
      <c r="V100"/>
      <c r="W100"/>
      <c r="X100" s="136"/>
    </row>
    <row r="101" spans="1:29" ht="15">
      <c r="A101" s="48" t="s">
        <v>205</v>
      </c>
      <c r="B101" s="217">
        <v>0</v>
      </c>
      <c r="C101" s="172">
        <f>$H$96</f>
        <v>6.6540677309218407E-2</v>
      </c>
      <c r="D101" s="174">
        <f>B101*C101</f>
        <v>0</v>
      </c>
      <c r="F101" s="217">
        <v>0.68840000000000001</v>
      </c>
      <c r="G101" s="172">
        <f>$H$96</f>
        <v>6.6540677309218407E-2</v>
      </c>
      <c r="H101" s="175">
        <f>F101*G101</f>
        <v>4.580660225966595E-2</v>
      </c>
      <c r="P101" s="266"/>
      <c r="R101"/>
      <c r="S101"/>
      <c r="T101"/>
      <c r="U101"/>
      <c r="V101"/>
      <c r="W101"/>
      <c r="X101" s="136"/>
      <c r="AC101" s="158"/>
    </row>
    <row r="102" spans="1:29" ht="15">
      <c r="A102" s="176" t="s">
        <v>210</v>
      </c>
      <c r="B102" s="222">
        <f>SUM(B100:B101)</f>
        <v>6.4000000000000001E-2</v>
      </c>
      <c r="C102" s="223">
        <f>D102/B102</f>
        <v>6.6540677309218407E-2</v>
      </c>
      <c r="D102" s="224">
        <f>SUM(D100:D101)</f>
        <v>4.2586033477899779E-3</v>
      </c>
      <c r="F102" s="222">
        <f>SUM(F100:F101)</f>
        <v>0.75239999999999996</v>
      </c>
      <c r="G102" s="223">
        <f>H102/F102</f>
        <v>6.6540677309218407E-2</v>
      </c>
      <c r="H102" s="225">
        <f>SUM(H100:H101)</f>
        <v>5.0065205607455927E-2</v>
      </c>
      <c r="P102" s="266"/>
      <c r="R102"/>
      <c r="S102"/>
      <c r="T102"/>
      <c r="U102"/>
      <c r="V102"/>
      <c r="W102"/>
      <c r="X102" s="136"/>
      <c r="AC102" s="158"/>
    </row>
    <row r="103" spans="1:29" ht="15">
      <c r="A103" s="176"/>
      <c r="B103" s="217"/>
      <c r="C103" s="221"/>
      <c r="D103" s="174"/>
      <c r="F103" s="217"/>
      <c r="G103" s="221"/>
      <c r="H103" s="175"/>
      <c r="P103" s="266"/>
      <c r="R103"/>
      <c r="S103"/>
      <c r="T103"/>
      <c r="U103"/>
      <c r="V103"/>
      <c r="W103"/>
      <c r="X103" s="136"/>
    </row>
    <row r="104" spans="1:29" ht="15">
      <c r="A104" s="48" t="s">
        <v>208</v>
      </c>
      <c r="B104" s="124">
        <v>2.1900000000000001E-3</v>
      </c>
      <c r="C104" s="212">
        <f>$D$96</f>
        <v>4.8719046835542645</v>
      </c>
      <c r="D104" s="174">
        <f>B104*C104</f>
        <v>1.066947125698384E-2</v>
      </c>
      <c r="F104" s="217">
        <v>2.1900000000000001E-3</v>
      </c>
      <c r="G104" s="212">
        <f>$D$96</f>
        <v>4.8719046835542645</v>
      </c>
      <c r="H104" s="175">
        <f>F104*G104</f>
        <v>1.066947125698384E-2</v>
      </c>
      <c r="P104" s="266"/>
      <c r="R104"/>
      <c r="S104"/>
      <c r="T104"/>
      <c r="U104"/>
      <c r="V104"/>
      <c r="W104"/>
      <c r="X104" s="136"/>
    </row>
    <row r="105" spans="1:29" ht="15">
      <c r="A105" s="48" t="s">
        <v>206</v>
      </c>
      <c r="B105" s="124">
        <v>2.1900000000000001E-3</v>
      </c>
      <c r="C105" s="212">
        <f>$D$96</f>
        <v>4.8719046835542645</v>
      </c>
      <c r="D105" s="174">
        <f>B105*C105</f>
        <v>1.066947125698384E-2</v>
      </c>
      <c r="F105" s="217">
        <v>0</v>
      </c>
      <c r="G105" s="212">
        <f>$D$96</f>
        <v>4.8719046835542645</v>
      </c>
      <c r="H105" s="175">
        <f>F105*G105</f>
        <v>0</v>
      </c>
      <c r="R105"/>
      <c r="S105"/>
      <c r="T105"/>
      <c r="U105"/>
      <c r="V105"/>
      <c r="W105"/>
      <c r="X105" s="136"/>
    </row>
    <row r="106" spans="1:29" ht="15">
      <c r="A106" s="48" t="s">
        <v>209</v>
      </c>
      <c r="B106" s="124">
        <v>0</v>
      </c>
      <c r="C106" s="212">
        <f>$D$96</f>
        <v>4.8719046835542645</v>
      </c>
      <c r="D106" s="219">
        <f>B106*C106</f>
        <v>0</v>
      </c>
      <c r="F106" s="217">
        <v>2.5000000000000001E-4</v>
      </c>
      <c r="G106" s="212">
        <f>$D$96</f>
        <v>4.8719046835542645</v>
      </c>
      <c r="H106" s="220">
        <f>F106*G106</f>
        <v>1.2179761708885661E-3</v>
      </c>
      <c r="R106"/>
      <c r="S106"/>
      <c r="T106"/>
      <c r="U106"/>
      <c r="V106"/>
      <c r="W106"/>
      <c r="X106" s="136"/>
    </row>
    <row r="107" spans="1:29" ht="15">
      <c r="A107" s="176" t="s">
        <v>211</v>
      </c>
      <c r="B107" s="228">
        <f>SUM(B104:B106)</f>
        <v>4.3800000000000002E-3</v>
      </c>
      <c r="C107" s="229">
        <f>D107/B107</f>
        <v>4.8719046835542645</v>
      </c>
      <c r="D107" s="226">
        <f>SUM(D104:D106)</f>
        <v>2.1338942513967681E-2</v>
      </c>
      <c r="F107" s="222">
        <f>SUM(F104:F106)</f>
        <v>2.4400000000000003E-3</v>
      </c>
      <c r="G107" s="229">
        <f>H107/F107</f>
        <v>4.8719046835542645</v>
      </c>
      <c r="H107" s="227">
        <f>SUM(H104:H106)</f>
        <v>1.1887447427872407E-2</v>
      </c>
      <c r="R107"/>
      <c r="S107"/>
      <c r="T107"/>
      <c r="U107"/>
      <c r="V107"/>
      <c r="W107"/>
      <c r="X107" s="136"/>
    </row>
    <row r="108" spans="1:29" ht="15">
      <c r="A108" s="176"/>
      <c r="B108" s="124"/>
      <c r="C108" s="212"/>
      <c r="D108" s="230"/>
      <c r="F108" s="217"/>
      <c r="G108" s="212"/>
      <c r="H108" s="231"/>
      <c r="R108"/>
      <c r="S108"/>
      <c r="T108"/>
      <c r="U108"/>
      <c r="V108"/>
      <c r="W108"/>
      <c r="X108" s="136"/>
    </row>
    <row r="109" spans="1:29" ht="15.75" thickBot="1">
      <c r="A109" s="141" t="s">
        <v>212</v>
      </c>
      <c r="B109" s="218"/>
      <c r="C109" s="13"/>
      <c r="D109" s="232">
        <f>D102+D107</f>
        <v>2.5597545861757658E-2</v>
      </c>
      <c r="F109" s="218"/>
      <c r="G109" s="13"/>
      <c r="H109" s="233">
        <f>H102+H107</f>
        <v>6.1952653035328334E-2</v>
      </c>
      <c r="R109"/>
      <c r="S109"/>
      <c r="T109"/>
      <c r="U109"/>
      <c r="V109"/>
      <c r="W109"/>
      <c r="X109" s="136"/>
    </row>
    <row r="110" spans="1:29" ht="15">
      <c r="A110" s="99"/>
      <c r="B110" s="72"/>
      <c r="C110" s="72"/>
      <c r="D110" s="72"/>
      <c r="E110" s="72"/>
      <c r="F110" s="72"/>
      <c r="G110" s="72"/>
      <c r="H110" s="75"/>
      <c r="R110"/>
      <c r="S110"/>
      <c r="T110"/>
      <c r="U110"/>
      <c r="V110"/>
      <c r="W110"/>
      <c r="X110" s="136"/>
    </row>
    <row r="111" spans="1:29" ht="15">
      <c r="R111"/>
      <c r="S111"/>
      <c r="T111"/>
      <c r="U111"/>
      <c r="V111"/>
      <c r="W111"/>
      <c r="X111" s="136"/>
    </row>
    <row r="112" spans="1:29" ht="15">
      <c r="G112" s="100"/>
      <c r="R112"/>
      <c r="S112"/>
      <c r="T112"/>
      <c r="U112"/>
      <c r="V112"/>
      <c r="W112"/>
      <c r="X112" s="136"/>
    </row>
    <row r="113" spans="1:29" ht="15">
      <c r="A113" s="82" t="s">
        <v>218</v>
      </c>
      <c r="B113" s="93"/>
      <c r="C113" s="93"/>
      <c r="D113" s="93"/>
      <c r="E113" s="93"/>
      <c r="F113" s="93"/>
      <c r="G113" s="93"/>
      <c r="H113" s="148"/>
      <c r="R113"/>
      <c r="S113"/>
      <c r="T113"/>
      <c r="U113"/>
      <c r="V113"/>
      <c r="W113"/>
      <c r="X113" s="136"/>
    </row>
    <row r="114" spans="1:29" ht="16.5">
      <c r="A114" s="48"/>
      <c r="B114" s="147" t="s">
        <v>107</v>
      </c>
      <c r="C114" s="147" t="s">
        <v>220</v>
      </c>
      <c r="D114" s="147" t="s">
        <v>219</v>
      </c>
      <c r="E114" s="26"/>
      <c r="F114" s="26"/>
      <c r="G114" s="26"/>
      <c r="H114" s="77"/>
      <c r="R114"/>
      <c r="S114"/>
      <c r="T114"/>
      <c r="U114"/>
      <c r="V114"/>
      <c r="W114"/>
      <c r="X114" s="136"/>
    </row>
    <row r="115" spans="1:29" ht="30">
      <c r="A115" s="48" t="s">
        <v>57</v>
      </c>
      <c r="B115" s="87">
        <f>SUM(C115:D115)</f>
        <v>104400000</v>
      </c>
      <c r="C115" s="87">
        <f>37300000+20000000</f>
        <v>57300000</v>
      </c>
      <c r="D115" s="87">
        <f>47100000</f>
        <v>47100000</v>
      </c>
      <c r="E115" s="1009" t="s">
        <v>277</v>
      </c>
      <c r="F115" s="1009"/>
      <c r="G115" s="199" t="s">
        <v>3</v>
      </c>
      <c r="H115" s="308" t="s">
        <v>69</v>
      </c>
      <c r="R115"/>
      <c r="S115"/>
      <c r="T115"/>
      <c r="U115"/>
      <c r="V115"/>
      <c r="W115"/>
      <c r="X115" s="136"/>
    </row>
    <row r="116" spans="1:29" ht="34.5">
      <c r="A116" s="48" t="s">
        <v>58</v>
      </c>
      <c r="B116" s="55">
        <f>G117/B115</f>
        <v>2.5862068965517241E-2</v>
      </c>
      <c r="E116" s="306" t="s">
        <v>186</v>
      </c>
      <c r="F116" s="306" t="s">
        <v>259</v>
      </c>
      <c r="H116" s="45"/>
      <c r="R116"/>
      <c r="S116"/>
      <c r="T116" s="263" t="s">
        <v>252</v>
      </c>
      <c r="W116"/>
      <c r="X116" s="234"/>
    </row>
    <row r="117" spans="1:29" ht="16.5">
      <c r="A117" s="48" t="s">
        <v>59</v>
      </c>
      <c r="B117" s="26"/>
      <c r="C117" s="26"/>
      <c r="D117" s="26"/>
      <c r="E117" s="102">
        <f>($C$115/$B$25*$B$24)*$B$116</f>
        <v>1083134.1401516353</v>
      </c>
      <c r="F117" s="102">
        <f>($C$115/$B$25*($F$24+$G$24)+D115)*$B$116</f>
        <v>1616865.8598483645</v>
      </c>
      <c r="G117" s="102">
        <f>2600000+500000-400000</f>
        <v>2700000</v>
      </c>
      <c r="H117" s="103">
        <f>G117/(B$25*1000)</f>
        <v>1.2419503219871205E-2</v>
      </c>
      <c r="K117" s="240"/>
      <c r="L117" s="240"/>
      <c r="M117" s="261">
        <f t="shared" ref="M117:M125" si="24">ROUND($M$11*$S117,0)</f>
        <v>73336</v>
      </c>
      <c r="P117" s="265"/>
      <c r="Q117" s="20" t="s">
        <v>235</v>
      </c>
      <c r="R117" s="128">
        <v>631040</v>
      </c>
      <c r="S117" s="138">
        <f t="shared" ref="S117:S125" si="25">T117/$T$126</f>
        <v>0.14667208297521445</v>
      </c>
      <c r="T117" s="143">
        <f>(398494.23)*0.176470588235294</f>
        <v>70322.511176470536</v>
      </c>
      <c r="U117" s="136"/>
      <c r="V117" s="136"/>
      <c r="AB117" s="236"/>
      <c r="AC117" s="236"/>
    </row>
    <row r="118" spans="1:29" ht="15">
      <c r="A118" s="48"/>
      <c r="B118" s="26"/>
      <c r="C118" s="26"/>
      <c r="D118" s="26"/>
      <c r="E118" s="307">
        <f>E117/B24/1000</f>
        <v>6.8164514798718387E-3</v>
      </c>
      <c r="F118" s="307">
        <f>F117/($F$24+$G$24)/1000</f>
        <v>2.763873264698059E-2</v>
      </c>
      <c r="G118" s="11"/>
      <c r="H118" s="77"/>
      <c r="K118" s="240"/>
      <c r="L118" s="240"/>
      <c r="M118" s="261">
        <f t="shared" si="24"/>
        <v>46203</v>
      </c>
      <c r="P118" s="265"/>
      <c r="Q118" s="20" t="s">
        <v>236</v>
      </c>
      <c r="R118" s="128">
        <v>631060</v>
      </c>
      <c r="S118" s="138">
        <f t="shared" si="25"/>
        <v>9.2405467958480342E-2</v>
      </c>
      <c r="T118" s="143">
        <v>44304.167647058828</v>
      </c>
      <c r="U118" s="136"/>
      <c r="V118" s="136"/>
      <c r="AB118" s="235"/>
      <c r="AC118" s="235"/>
    </row>
    <row r="119" spans="1:29" ht="15">
      <c r="A119" s="48" t="s">
        <v>172</v>
      </c>
      <c r="B119" s="26"/>
      <c r="C119" s="26"/>
      <c r="D119" s="26"/>
      <c r="E119" s="26"/>
      <c r="F119" s="104"/>
      <c r="G119" s="26"/>
      <c r="H119" s="77"/>
      <c r="K119" s="240"/>
      <c r="L119" s="240"/>
      <c r="M119" s="261">
        <f t="shared" si="24"/>
        <v>8217</v>
      </c>
      <c r="P119" s="265"/>
      <c r="Q119" s="20" t="s">
        <v>237</v>
      </c>
      <c r="R119" s="128">
        <v>631900</v>
      </c>
      <c r="S119" s="138">
        <f t="shared" si="25"/>
        <v>1.6434743644293769E-2</v>
      </c>
      <c r="T119" s="143">
        <v>7879.7029411764715</v>
      </c>
      <c r="U119" s="136"/>
      <c r="V119" s="136"/>
      <c r="AB119" s="235"/>
      <c r="AC119" s="235"/>
    </row>
    <row r="120" spans="1:29" ht="15">
      <c r="A120" s="48" t="s">
        <v>60</v>
      </c>
      <c r="B120" s="26"/>
      <c r="C120" s="26"/>
      <c r="D120" s="26"/>
      <c r="E120" s="26"/>
      <c r="F120" s="26"/>
      <c r="G120" s="26"/>
      <c r="H120" s="77"/>
      <c r="K120" s="240"/>
      <c r="L120" s="240"/>
      <c r="M120" s="261">
        <f t="shared" si="24"/>
        <v>68422</v>
      </c>
      <c r="P120" s="265"/>
      <c r="Q120" s="20" t="s">
        <v>238</v>
      </c>
      <c r="R120" s="128">
        <v>630020</v>
      </c>
      <c r="S120" s="138">
        <f t="shared" si="25"/>
        <v>0.13684451729496486</v>
      </c>
      <c r="T120" s="143">
        <v>65610.645882352939</v>
      </c>
      <c r="U120" s="136"/>
      <c r="V120" s="136"/>
      <c r="AB120" s="235"/>
      <c r="AC120" s="235"/>
    </row>
    <row r="121" spans="1:29" ht="16.5">
      <c r="A121" s="48" t="s">
        <v>61</v>
      </c>
      <c r="B121" s="26"/>
      <c r="C121" s="26"/>
      <c r="D121" s="26"/>
      <c r="E121" s="26"/>
      <c r="F121" s="26"/>
      <c r="G121" s="102">
        <v>150000</v>
      </c>
      <c r="H121" s="103">
        <f>G121/(B$25*1000)</f>
        <v>6.8997240110395589E-4</v>
      </c>
      <c r="K121" s="240"/>
      <c r="L121" s="240"/>
      <c r="M121" s="261">
        <f t="shared" si="24"/>
        <v>4612</v>
      </c>
      <c r="P121" s="265"/>
      <c r="Q121" s="20" t="s">
        <v>239</v>
      </c>
      <c r="R121" s="128">
        <v>630030</v>
      </c>
      <c r="S121" s="138">
        <f t="shared" si="25"/>
        <v>9.2246481951979969E-3</v>
      </c>
      <c r="T121" s="143">
        <v>4422.7941176470595</v>
      </c>
      <c r="U121" s="136"/>
      <c r="V121" s="136"/>
      <c r="AB121" s="235"/>
      <c r="AC121" s="235"/>
    </row>
    <row r="122" spans="1:29" ht="15">
      <c r="A122" s="48"/>
      <c r="B122" s="26"/>
      <c r="C122" s="26"/>
      <c r="D122" s="26"/>
      <c r="E122" s="26"/>
      <c r="F122" s="26"/>
      <c r="G122" s="26"/>
      <c r="H122" s="77"/>
      <c r="K122" s="240"/>
      <c r="L122" s="240"/>
      <c r="M122" s="261">
        <f t="shared" si="24"/>
        <v>1387</v>
      </c>
      <c r="P122" s="265"/>
      <c r="Q122" s="20" t="s">
        <v>240</v>
      </c>
      <c r="R122" s="128">
        <v>630070</v>
      </c>
      <c r="S122" s="138">
        <f t="shared" si="25"/>
        <v>2.7737141477169667E-3</v>
      </c>
      <c r="T122" s="143">
        <v>1329.8682352941178</v>
      </c>
      <c r="U122" s="136"/>
      <c r="V122" s="136"/>
      <c r="AB122" s="235"/>
      <c r="AC122" s="235"/>
    </row>
    <row r="123" spans="1:29" ht="15">
      <c r="A123" s="48" t="s">
        <v>62</v>
      </c>
      <c r="B123" s="26"/>
      <c r="C123" s="26"/>
      <c r="D123" s="26"/>
      <c r="E123" s="26"/>
      <c r="F123" s="26"/>
      <c r="G123" s="26"/>
      <c r="H123" s="77"/>
      <c r="K123" s="240"/>
      <c r="L123" s="240"/>
      <c r="M123" s="261">
        <f t="shared" si="24"/>
        <v>161696</v>
      </c>
      <c r="P123" s="265"/>
      <c r="Q123" s="20" t="s">
        <v>241</v>
      </c>
      <c r="R123" s="128">
        <v>630080</v>
      </c>
      <c r="S123" s="138">
        <f t="shared" si="25"/>
        <v>0.32339147219157532</v>
      </c>
      <c r="T123" s="143">
        <v>155051.32235294121</v>
      </c>
      <c r="U123" s="136"/>
      <c r="V123" s="136"/>
      <c r="AB123" s="235"/>
      <c r="AC123" s="235"/>
    </row>
    <row r="124" spans="1:29" ht="16.5">
      <c r="A124" s="48" t="s">
        <v>63</v>
      </c>
      <c r="B124" s="26"/>
      <c r="C124" s="26"/>
      <c r="D124" s="26"/>
      <c r="E124" s="26"/>
      <c r="F124" s="26"/>
      <c r="G124" s="102">
        <v>500000</v>
      </c>
      <c r="H124" s="103">
        <f>G124/(B$25*1000)</f>
        <v>2.2999080036798527E-3</v>
      </c>
      <c r="K124" s="240"/>
      <c r="L124" s="240"/>
      <c r="M124" s="261">
        <f t="shared" si="24"/>
        <v>133678</v>
      </c>
      <c r="P124" s="265"/>
      <c r="Q124" s="20" t="s">
        <v>242</v>
      </c>
      <c r="R124" s="128">
        <v>633000</v>
      </c>
      <c r="S124" s="138">
        <f t="shared" si="25"/>
        <v>0.26735567915056668</v>
      </c>
      <c r="T124" s="143">
        <v>128184.73941176471</v>
      </c>
      <c r="U124" s="136"/>
      <c r="V124" s="136"/>
      <c r="AB124" s="235"/>
      <c r="AC124" s="235"/>
    </row>
    <row r="125" spans="1:29" ht="17.25">
      <c r="A125" s="99"/>
      <c r="B125" s="72"/>
      <c r="C125" s="105"/>
      <c r="D125" s="72"/>
      <c r="E125" s="72"/>
      <c r="F125" s="72"/>
      <c r="G125" s="72"/>
      <c r="H125" s="75"/>
      <c r="K125" s="240"/>
      <c r="L125" s="240"/>
      <c r="M125" s="262">
        <f t="shared" si="24"/>
        <v>2449</v>
      </c>
      <c r="P125" s="265"/>
      <c r="Q125" s="20" t="s">
        <v>243</v>
      </c>
      <c r="R125" s="128">
        <v>660000</v>
      </c>
      <c r="S125" s="258">
        <f t="shared" si="25"/>
        <v>4.8976744419896674E-3</v>
      </c>
      <c r="T125" s="161">
        <v>2348.2094117647061</v>
      </c>
      <c r="U125" s="136"/>
      <c r="V125" s="136"/>
      <c r="AB125" s="235"/>
      <c r="AC125" s="235"/>
    </row>
    <row r="126" spans="1:29" ht="15">
      <c r="K126" s="160"/>
      <c r="L126" s="160"/>
      <c r="M126" s="264">
        <f>SUM(M117:M125)</f>
        <v>500000</v>
      </c>
      <c r="P126" s="256" t="s">
        <v>12</v>
      </c>
      <c r="Q126" s="130" t="s">
        <v>17</v>
      </c>
      <c r="R126" s="257" t="s">
        <v>107</v>
      </c>
      <c r="S126" s="138">
        <f>SUM(S117:S125)</f>
        <v>1.0000000000000002</v>
      </c>
      <c r="T126" s="259">
        <f>SUM(T117:T125)</f>
        <v>479453.96117647056</v>
      </c>
      <c r="X126" s="137"/>
    </row>
    <row r="128" spans="1:29">
      <c r="A128" s="82" t="s">
        <v>64</v>
      </c>
      <c r="B128" s="1012" t="s">
        <v>65</v>
      </c>
      <c r="C128" s="1012"/>
      <c r="D128" s="1012"/>
      <c r="E128" s="1012"/>
      <c r="F128" s="1012"/>
      <c r="G128" s="1012"/>
      <c r="H128" s="1013"/>
    </row>
    <row r="129" spans="1:29" ht="14.65" customHeight="1">
      <c r="A129" s="48"/>
      <c r="B129" s="199" t="s">
        <v>159</v>
      </c>
      <c r="C129" s="199" t="s">
        <v>109</v>
      </c>
      <c r="D129" s="199" t="s">
        <v>107</v>
      </c>
      <c r="E129" s="26"/>
      <c r="F129" s="26"/>
      <c r="G129" s="26"/>
      <c r="H129" s="77"/>
    </row>
    <row r="130" spans="1:29" ht="14.65" customHeight="1">
      <c r="A130" s="48" t="s">
        <v>262</v>
      </c>
      <c r="B130" s="207">
        <f>B30+B31</f>
        <v>158900</v>
      </c>
      <c r="C130" s="207">
        <f>B32+B33</f>
        <v>58500</v>
      </c>
      <c r="D130" s="207">
        <f>SUM(B130:C130)</f>
        <v>217400</v>
      </c>
      <c r="E130" s="26"/>
      <c r="F130" s="1008" t="s">
        <v>66</v>
      </c>
      <c r="G130" s="1008"/>
      <c r="H130" s="106">
        <f>D130/D131</f>
        <v>0.83615384615384614</v>
      </c>
      <c r="K130" s="240"/>
      <c r="L130" s="240"/>
      <c r="M130" s="261">
        <f>$M$18*$S130</f>
        <v>120000</v>
      </c>
      <c r="P130" s="265"/>
      <c r="Q130" s="20" t="s">
        <v>244</v>
      </c>
      <c r="R130" s="128" t="s">
        <v>100</v>
      </c>
      <c r="S130" s="138">
        <f>1/3</f>
        <v>0.33333333333333331</v>
      </c>
      <c r="T130"/>
      <c r="U130" s="136"/>
      <c r="V130" s="136"/>
      <c r="W130"/>
    </row>
    <row r="131" spans="1:29" ht="14.65" customHeight="1">
      <c r="A131" s="48" t="s">
        <v>263</v>
      </c>
      <c r="B131" s="207"/>
      <c r="C131" s="207"/>
      <c r="D131" s="207">
        <v>260000</v>
      </c>
      <c r="E131" s="26"/>
      <c r="F131" s="26"/>
      <c r="G131" s="26"/>
      <c r="H131" s="107"/>
      <c r="K131" s="240"/>
      <c r="L131" s="240"/>
      <c r="M131" s="262">
        <f>$M$18*$S131</f>
        <v>240000</v>
      </c>
      <c r="P131" s="265"/>
      <c r="Q131" s="20" t="s">
        <v>245</v>
      </c>
      <c r="R131" s="128">
        <v>630040</v>
      </c>
      <c r="S131" s="138">
        <f>2/3</f>
        <v>0.66666666666666663</v>
      </c>
      <c r="T131"/>
      <c r="U131" s="136"/>
      <c r="V131" s="136"/>
      <c r="W131"/>
    </row>
    <row r="132" spans="1:29" ht="14.65" customHeight="1">
      <c r="A132" s="43"/>
      <c r="D132" s="108"/>
      <c r="F132" s="1009" t="s">
        <v>256</v>
      </c>
      <c r="G132" s="1009"/>
      <c r="H132" s="1010"/>
      <c r="K132" s="160"/>
      <c r="L132" s="160"/>
      <c r="M132" s="264">
        <f>SUM(M130:M131)</f>
        <v>360000</v>
      </c>
      <c r="P132" s="256" t="s">
        <v>12</v>
      </c>
      <c r="Q132" s="130" t="s">
        <v>28</v>
      </c>
      <c r="R132" s="257" t="s">
        <v>107</v>
      </c>
      <c r="S132" s="138">
        <f>SUM(S130:S131)</f>
        <v>1</v>
      </c>
    </row>
    <row r="133" spans="1:29" ht="28.15" customHeight="1">
      <c r="A133" s="48"/>
      <c r="B133" s="97" t="s">
        <v>67</v>
      </c>
      <c r="C133" s="97" t="s">
        <v>68</v>
      </c>
      <c r="D133" s="97" t="s">
        <v>257</v>
      </c>
      <c r="E133" s="97" t="s">
        <v>258</v>
      </c>
      <c r="F133" s="49"/>
      <c r="G133" s="286" t="s">
        <v>260</v>
      </c>
      <c r="H133" s="287" t="s">
        <v>261</v>
      </c>
    </row>
    <row r="134" spans="1:29" ht="15">
      <c r="A134" s="48" t="s">
        <v>25</v>
      </c>
      <c r="B134" s="104">
        <f>C134/12</f>
        <v>30250</v>
      </c>
      <c r="C134" s="87">
        <f>363000</f>
        <v>363000</v>
      </c>
      <c r="D134" s="64">
        <f>$C134/$D$130/1000</f>
        <v>1.6697332106715731E-3</v>
      </c>
      <c r="E134" s="64">
        <f>$C134/$D$130/1000</f>
        <v>1.6697332106715731E-3</v>
      </c>
      <c r="F134" s="156" t="s">
        <v>270</v>
      </c>
      <c r="G134" s="204">
        <f>1380000</f>
        <v>1380000</v>
      </c>
      <c r="H134" s="238">
        <f>G134/$D$130/1000</f>
        <v>6.3477460901563932E-3</v>
      </c>
      <c r="I134" s="253"/>
      <c r="Q134" s="139"/>
      <c r="R134"/>
      <c r="S134"/>
      <c r="T134" s="267" t="s">
        <v>221</v>
      </c>
      <c r="U134"/>
      <c r="V134"/>
      <c r="W134"/>
    </row>
    <row r="135" spans="1:29" ht="14.65" customHeight="1">
      <c r="A135" s="48" t="s">
        <v>27</v>
      </c>
      <c r="B135" s="26">
        <f>C135/12</f>
        <v>30000</v>
      </c>
      <c r="C135" s="78">
        <v>360000</v>
      </c>
      <c r="D135" s="109">
        <f>$C135/$D$130/1000</f>
        <v>1.6559337626494942E-3</v>
      </c>
      <c r="E135" s="109">
        <f>$C135/$D$130/1000</f>
        <v>1.6559337626494942E-3</v>
      </c>
      <c r="F135" s="156" t="s">
        <v>271</v>
      </c>
      <c r="G135" s="204">
        <v>20000</v>
      </c>
      <c r="H135" s="238">
        <f>G135/$B$130/1000</f>
        <v>1.2586532410320956E-4</v>
      </c>
      <c r="I135" s="253"/>
      <c r="K135" s="240"/>
      <c r="L135" s="240"/>
      <c r="M135" s="261">
        <f t="shared" ref="M135:M140" si="26">ROUND($M$19*$S135,0)</f>
        <v>5728</v>
      </c>
      <c r="P135" s="265"/>
      <c r="Q135" s="20" t="s">
        <v>246</v>
      </c>
      <c r="R135" s="128" t="s">
        <v>101</v>
      </c>
      <c r="S135" s="138">
        <f t="shared" ref="S135:S140" si="27">T135/$T$141</f>
        <v>1.2729335138752581E-3</v>
      </c>
      <c r="T135" s="143">
        <v>1242.01</v>
      </c>
      <c r="U135" s="136"/>
      <c r="V135" s="136"/>
      <c r="W135"/>
    </row>
    <row r="136" spans="1:29" ht="14.65" customHeight="1">
      <c r="A136" s="48" t="s">
        <v>29</v>
      </c>
      <c r="B136" s="26">
        <f>C136/12</f>
        <v>375000</v>
      </c>
      <c r="C136" s="78">
        <f>G137</f>
        <v>4500000</v>
      </c>
      <c r="D136" s="110">
        <f>H134+H135</f>
        <v>6.473611414259603E-3</v>
      </c>
      <c r="E136" s="110">
        <f>H134+H136</f>
        <v>5.9339199081609381E-2</v>
      </c>
      <c r="F136" s="156" t="s">
        <v>272</v>
      </c>
      <c r="G136" s="239">
        <f>3100000</f>
        <v>3100000</v>
      </c>
      <c r="H136" s="238">
        <f>G136/$C$130/1000</f>
        <v>5.2991452991452991E-2</v>
      </c>
      <c r="I136" s="253"/>
      <c r="J136" s="281"/>
      <c r="K136" s="240"/>
      <c r="L136" s="240"/>
      <c r="M136" s="261">
        <f t="shared" si="26"/>
        <v>320301</v>
      </c>
      <c r="P136" s="265"/>
      <c r="Q136" s="20" t="s">
        <v>247</v>
      </c>
      <c r="R136" s="128">
        <v>640010</v>
      </c>
      <c r="S136" s="138">
        <f t="shared" si="27"/>
        <v>7.1177994858681384E-2</v>
      </c>
      <c r="T136" s="143">
        <v>69448.86</v>
      </c>
      <c r="U136" s="136"/>
      <c r="V136" s="136"/>
      <c r="W136"/>
      <c r="AB136" s="235"/>
      <c r="AC136" s="235"/>
    </row>
    <row r="137" spans="1:29" ht="14.65" customHeight="1">
      <c r="A137" s="48" t="s">
        <v>70</v>
      </c>
      <c r="D137" s="64">
        <f>SUM(D134:D136)</f>
        <v>9.7992783875806705E-3</v>
      </c>
      <c r="E137" s="64">
        <f>SUM(E134:E136)</f>
        <v>6.2664866054930449E-2</v>
      </c>
      <c r="F137" s="301" t="s">
        <v>268</v>
      </c>
      <c r="G137" s="285">
        <f>SUM(G134:G136)</f>
        <v>4500000</v>
      </c>
      <c r="H137" s="238">
        <f>G137/D130/1000</f>
        <v>2.0699172033118676E-2</v>
      </c>
      <c r="J137" s="282"/>
      <c r="K137" s="240"/>
      <c r="L137" s="240"/>
      <c r="M137" s="261">
        <f t="shared" si="26"/>
        <v>4108742</v>
      </c>
      <c r="P137" s="265"/>
      <c r="Q137" s="20" t="s">
        <v>248</v>
      </c>
      <c r="R137" s="128">
        <v>640020</v>
      </c>
      <c r="S137" s="138">
        <f t="shared" si="27"/>
        <v>0.91305383730558676</v>
      </c>
      <c r="T137" s="143">
        <v>890872.92</v>
      </c>
      <c r="U137" s="136"/>
      <c r="V137" s="136"/>
      <c r="W137"/>
      <c r="AB137" s="235"/>
      <c r="AC137" s="235"/>
    </row>
    <row r="138" spans="1:29" ht="14.65" customHeight="1">
      <c r="A138" s="48"/>
      <c r="B138" s="26"/>
      <c r="C138" s="26"/>
      <c r="D138" s="64"/>
      <c r="E138" s="64"/>
      <c r="F138" s="26"/>
      <c r="G138" s="204"/>
      <c r="H138" s="238"/>
      <c r="K138" s="240"/>
      <c r="L138" s="240"/>
      <c r="M138" s="261">
        <f t="shared" si="26"/>
        <v>22914</v>
      </c>
      <c r="P138" s="265"/>
      <c r="Q138" s="20" t="s">
        <v>249</v>
      </c>
      <c r="R138" s="128">
        <v>640040</v>
      </c>
      <c r="S138" s="138">
        <f t="shared" si="27"/>
        <v>5.0920005289703347E-3</v>
      </c>
      <c r="T138" s="143">
        <v>4968.3</v>
      </c>
      <c r="U138" s="136"/>
      <c r="V138" s="136"/>
      <c r="W138"/>
    </row>
    <row r="139" spans="1:29" ht="14.65" customHeight="1">
      <c r="A139" s="48"/>
      <c r="B139" s="26"/>
      <c r="C139" s="26"/>
      <c r="D139" s="288" t="s">
        <v>266</v>
      </c>
      <c r="E139" s="288" t="s">
        <v>267</v>
      </c>
      <c r="F139" s="26"/>
      <c r="G139" s="204"/>
      <c r="H139" s="238"/>
      <c r="K139" s="240"/>
      <c r="L139" s="240"/>
      <c r="M139" s="261">
        <f t="shared" si="26"/>
        <v>3505</v>
      </c>
      <c r="P139" s="265"/>
      <c r="Q139" s="20" t="s">
        <v>250</v>
      </c>
      <c r="R139" s="128">
        <v>640070</v>
      </c>
      <c r="S139" s="138">
        <f t="shared" si="27"/>
        <v>7.7886095485089793E-4</v>
      </c>
      <c r="T139" s="143">
        <v>759.94</v>
      </c>
      <c r="U139" s="136"/>
      <c r="V139" s="136"/>
      <c r="W139"/>
      <c r="AB139" s="235"/>
      <c r="AC139" s="235"/>
    </row>
    <row r="140" spans="1:29" ht="14.65" customHeight="1">
      <c r="A140" s="48"/>
      <c r="B140" s="26"/>
      <c r="C140" s="26"/>
      <c r="D140" s="290">
        <f>G140/$G$142</f>
        <v>0.228590411939078</v>
      </c>
      <c r="E140" s="207">
        <f>ROUND(G140/$H$137,0)</f>
        <v>49695556</v>
      </c>
      <c r="F140" s="156" t="s">
        <v>186</v>
      </c>
      <c r="G140" s="204">
        <f>$H140*$B$130*1000</f>
        <v>1028656.8537258508</v>
      </c>
      <c r="H140" s="238">
        <f>H134+H135</f>
        <v>6.473611414259603E-3</v>
      </c>
      <c r="K140" s="240"/>
      <c r="L140" s="240"/>
      <c r="M140" s="262">
        <f t="shared" si="26"/>
        <v>38810</v>
      </c>
      <c r="P140" s="265"/>
      <c r="Q140" s="20" t="s">
        <v>251</v>
      </c>
      <c r="R140" s="128">
        <v>640080</v>
      </c>
      <c r="S140" s="138">
        <f t="shared" si="27"/>
        <v>8.6243728380354066E-3</v>
      </c>
      <c r="T140" s="161">
        <v>8414.86</v>
      </c>
      <c r="U140" s="136"/>
      <c r="V140" s="136"/>
      <c r="W140"/>
      <c r="AB140" s="235"/>
      <c r="AC140" s="235"/>
    </row>
    <row r="141" spans="1:29" ht="14.65" customHeight="1">
      <c r="A141" s="48"/>
      <c r="B141" s="26"/>
      <c r="C141" s="26"/>
      <c r="D141" s="290">
        <f>G141/$G$142</f>
        <v>0.77140958806092208</v>
      </c>
      <c r="E141" s="168">
        <f>ROUND(G141/$H$137,0)</f>
        <v>167704444</v>
      </c>
      <c r="F141" s="156" t="s">
        <v>286</v>
      </c>
      <c r="G141" s="239">
        <f>$H141*$C$130*1000</f>
        <v>3471343.1462741485</v>
      </c>
      <c r="H141" s="238">
        <f>H134+H136</f>
        <v>5.9339199081609381E-2</v>
      </c>
      <c r="K141" s="160"/>
      <c r="L141" s="160"/>
      <c r="M141" s="264">
        <f>SUM(M135:M140)</f>
        <v>4500000</v>
      </c>
      <c r="P141" s="256" t="s">
        <v>12</v>
      </c>
      <c r="Q141" s="130" t="s">
        <v>30</v>
      </c>
      <c r="R141" s="257" t="s">
        <v>107</v>
      </c>
      <c r="S141" s="138">
        <f>SUM(S135:S140)</f>
        <v>1</v>
      </c>
      <c r="T141" s="259">
        <f>SUM(T135:T140)</f>
        <v>975706.89</v>
      </c>
      <c r="U141"/>
      <c r="V141"/>
      <c r="W141"/>
      <c r="AB141" s="235"/>
      <c r="AC141" s="235"/>
    </row>
    <row r="142" spans="1:29" ht="14.65" customHeight="1">
      <c r="A142" s="48"/>
      <c r="B142" s="26"/>
      <c r="C142" s="26"/>
      <c r="D142" s="290">
        <f>G142/$G$142</f>
        <v>1</v>
      </c>
      <c r="E142" s="289">
        <f>SUM(E140:E141)</f>
        <v>217400000</v>
      </c>
      <c r="F142" s="156" t="s">
        <v>107</v>
      </c>
      <c r="G142" s="285">
        <f>SUM(G140:G141)</f>
        <v>4499999.9999999991</v>
      </c>
      <c r="H142" s="238"/>
      <c r="AB142" s="235"/>
      <c r="AC142" s="235"/>
    </row>
    <row r="143" spans="1:29" ht="14.65" customHeight="1">
      <c r="A143" s="112"/>
      <c r="B143" s="113"/>
      <c r="C143" s="113"/>
      <c r="D143" s="113"/>
      <c r="E143" s="113"/>
      <c r="F143" s="113"/>
      <c r="G143" s="113"/>
      <c r="H143" s="284"/>
      <c r="AB143" s="235"/>
      <c r="AC143" s="235"/>
    </row>
    <row r="144" spans="1:29">
      <c r="AB144" s="235"/>
      <c r="AC144" s="235"/>
    </row>
    <row r="145" spans="1:8">
      <c r="A145" s="72"/>
      <c r="B145" s="72"/>
      <c r="C145" s="72"/>
      <c r="D145" s="72"/>
      <c r="E145" s="72"/>
      <c r="F145" s="72"/>
      <c r="G145" s="72"/>
      <c r="H145" s="72"/>
    </row>
    <row r="146" spans="1:8">
      <c r="A146" s="82" t="s">
        <v>71</v>
      </c>
      <c r="B146" s="93"/>
      <c r="C146" s="93"/>
      <c r="D146" s="93"/>
      <c r="E146" s="93"/>
      <c r="F146" s="93"/>
      <c r="G146" s="93"/>
      <c r="H146" s="148"/>
    </row>
    <row r="147" spans="1:8" ht="15">
      <c r="A147" s="82"/>
      <c r="B147" s="1011" t="s">
        <v>189</v>
      </c>
      <c r="C147" s="1011"/>
      <c r="D147" s="1011"/>
      <c r="E147" s="202"/>
      <c r="F147" s="93"/>
      <c r="G147" s="93"/>
      <c r="H147" s="148"/>
    </row>
    <row r="148" spans="1:8">
      <c r="A148" s="48"/>
      <c r="B148" s="1004" t="s">
        <v>72</v>
      </c>
      <c r="C148" s="1004"/>
      <c r="D148" s="49">
        <v>52</v>
      </c>
      <c r="E148" s="49"/>
      <c r="F148" s="26"/>
      <c r="G148" s="26"/>
      <c r="H148" s="77"/>
    </row>
    <row r="149" spans="1:8">
      <c r="A149" s="48"/>
      <c r="B149" s="1004" t="s">
        <v>73</v>
      </c>
      <c r="C149" s="1004"/>
      <c r="D149" s="200">
        <v>42</v>
      </c>
      <c r="E149" s="200"/>
      <c r="F149" s="26"/>
      <c r="G149" s="26"/>
      <c r="H149" s="77"/>
    </row>
    <row r="150" spans="1:8">
      <c r="A150" s="48"/>
      <c r="B150" s="1004" t="s">
        <v>74</v>
      </c>
      <c r="C150" s="1004"/>
      <c r="D150" s="201">
        <v>1.5</v>
      </c>
      <c r="E150" s="201"/>
      <c r="F150" s="26"/>
      <c r="G150" s="26"/>
      <c r="H150" s="111"/>
    </row>
    <row r="151" spans="1:8">
      <c r="A151" s="112"/>
      <c r="B151" s="1005" t="s">
        <v>160</v>
      </c>
      <c r="C151" s="1005"/>
      <c r="D151" s="180">
        <v>0.45</v>
      </c>
      <c r="E151" s="180"/>
      <c r="F151" s="113"/>
      <c r="G151" s="113"/>
      <c r="H151" s="181"/>
    </row>
    <row r="152" spans="1:8">
      <c r="A152" s="82"/>
      <c r="B152" s="93"/>
      <c r="C152" s="93"/>
      <c r="D152" s="182"/>
      <c r="E152" s="93"/>
      <c r="F152" s="93"/>
      <c r="G152" s="93"/>
      <c r="H152" s="191"/>
    </row>
    <row r="154" spans="1:8">
      <c r="B154" s="1006"/>
      <c r="C154" s="1006"/>
      <c r="D154" s="1006"/>
      <c r="F154" s="1006"/>
      <c r="G154" s="1006"/>
      <c r="H154" s="1006"/>
    </row>
    <row r="155" spans="1:8">
      <c r="B155" s="114"/>
      <c r="C155" s="114"/>
      <c r="D155" s="115"/>
      <c r="E155" s="6"/>
      <c r="F155" s="114"/>
      <c r="G155" s="114"/>
      <c r="H155" s="115"/>
    </row>
    <row r="156" spans="1:8">
      <c r="C156" s="116"/>
      <c r="D156" s="117"/>
      <c r="G156" s="116"/>
      <c r="H156" s="117"/>
    </row>
    <row r="157" spans="1:8">
      <c r="C157" s="116"/>
      <c r="D157" s="108"/>
      <c r="G157" s="116"/>
      <c r="H157" s="108"/>
    </row>
    <row r="158" spans="1:8">
      <c r="C158" s="118"/>
      <c r="D158" s="108"/>
      <c r="G158" s="118"/>
      <c r="H158" s="108"/>
    </row>
    <row r="159" spans="1:8">
      <c r="C159" s="119"/>
      <c r="D159" s="108"/>
      <c r="G159" s="119"/>
      <c r="H159" s="108"/>
    </row>
    <row r="160" spans="1:8">
      <c r="C160" s="120"/>
      <c r="D160" s="108"/>
      <c r="G160" s="120"/>
      <c r="H160" s="108"/>
    </row>
    <row r="161" spans="3:8">
      <c r="C161" s="118"/>
      <c r="D161" s="108"/>
      <c r="G161" s="118"/>
      <c r="H161" s="108"/>
    </row>
    <row r="162" spans="3:8" ht="15">
      <c r="C162" s="121"/>
      <c r="D162" s="122"/>
      <c r="G162" s="121"/>
      <c r="H162" s="122"/>
    </row>
    <row r="163" spans="3:8" ht="15">
      <c r="D163" s="123"/>
      <c r="H163" s="123"/>
    </row>
  </sheetData>
  <mergeCells count="37">
    <mergeCell ref="B27:H27"/>
    <mergeCell ref="B58:D58"/>
    <mergeCell ref="B98:D98"/>
    <mergeCell ref="B64:D64"/>
    <mergeCell ref="G85:H85"/>
    <mergeCell ref="C36:D36"/>
    <mergeCell ref="E36:F36"/>
    <mergeCell ref="G36:H36"/>
    <mergeCell ref="E85:F85"/>
    <mergeCell ref="E79:G79"/>
    <mergeCell ref="K1:O1"/>
    <mergeCell ref="T1:AB1"/>
    <mergeCell ref="F64:H64"/>
    <mergeCell ref="E78:G78"/>
    <mergeCell ref="F98:H98"/>
    <mergeCell ref="F58:H58"/>
    <mergeCell ref="T58:AD58"/>
    <mergeCell ref="F3:H3"/>
    <mergeCell ref="A1:H1"/>
    <mergeCell ref="A2:H2"/>
    <mergeCell ref="B3:D3"/>
    <mergeCell ref="R22:S22"/>
    <mergeCell ref="T62:AD62"/>
    <mergeCell ref="R23:S23"/>
    <mergeCell ref="R24:S24"/>
    <mergeCell ref="T78:AD78"/>
    <mergeCell ref="E115:F115"/>
    <mergeCell ref="B154:D154"/>
    <mergeCell ref="F154:H154"/>
    <mergeCell ref="B128:H128"/>
    <mergeCell ref="F130:G130"/>
    <mergeCell ref="B148:C148"/>
    <mergeCell ref="B149:C149"/>
    <mergeCell ref="B150:C150"/>
    <mergeCell ref="B151:C151"/>
    <mergeCell ref="B147:D147"/>
    <mergeCell ref="F132:H132"/>
  </mergeCells>
  <printOptions horizontalCentered="1"/>
  <pageMargins left="0.75" right="0.75" top="1" bottom="1" header="0.5" footer="0.5"/>
  <pageSetup paperSize="5" fitToHeight="0" orientation="landscape" r:id="rId1"/>
  <headerFooter alignWithMargins="0">
    <oddHeader>&amp;R&amp;D  &amp;T</oddHeader>
    <oddFooter>Page &amp;P of &amp;N</oddFooter>
  </headerFooter>
  <rowBreaks count="5" manualBreakCount="5">
    <brk id="26" max="7" man="1"/>
    <brk id="57" max="7" man="1"/>
    <brk id="89" max="7" man="1"/>
    <brk id="111" max="7" man="1"/>
    <brk id="126" max="7" man="1"/>
  </rowBreak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8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1" width="31.5703125" bestFit="1" customWidth="1"/>
    <col min="2" max="2" width="15.28515625" bestFit="1" customWidth="1"/>
    <col min="3" max="9" width="12.42578125" bestFit="1" customWidth="1"/>
    <col min="10" max="10" width="12.42578125" customWidth="1"/>
    <col min="11" max="11" width="12.42578125" bestFit="1" customWidth="1"/>
  </cols>
  <sheetData>
    <row r="1" spans="1:14" ht="45">
      <c r="A1" s="146" t="s">
        <v>150</v>
      </c>
      <c r="B1" s="145" t="s">
        <v>149</v>
      </c>
      <c r="C1" s="145" t="s">
        <v>148</v>
      </c>
      <c r="D1" s="145" t="s">
        <v>147</v>
      </c>
      <c r="E1" s="145" t="s">
        <v>146</v>
      </c>
      <c r="F1" s="145" t="s">
        <v>145</v>
      </c>
      <c r="G1" s="145" t="s">
        <v>144</v>
      </c>
      <c r="H1" s="145" t="s">
        <v>143</v>
      </c>
      <c r="I1" s="145" t="s">
        <v>142</v>
      </c>
      <c r="J1" s="145" t="s">
        <v>141</v>
      </c>
      <c r="K1" s="145" t="s">
        <v>140</v>
      </c>
      <c r="L1" s="145" t="s">
        <v>139</v>
      </c>
      <c r="M1" s="145" t="s">
        <v>138</v>
      </c>
      <c r="N1" s="145" t="s">
        <v>137</v>
      </c>
    </row>
    <row r="2" spans="1:14">
      <c r="A2" t="s">
        <v>136</v>
      </c>
      <c r="B2" s="143">
        <v>1280700</v>
      </c>
      <c r="C2" s="143">
        <v>0</v>
      </c>
      <c r="D2" s="143">
        <v>0</v>
      </c>
      <c r="E2" s="143">
        <f t="shared" ref="E2:E20" si="0">SUM(B2:D2)</f>
        <v>1280700</v>
      </c>
      <c r="F2" s="143">
        <v>1989350</v>
      </c>
      <c r="G2" s="143">
        <f t="shared" ref="G2:G20" si="1">ROUND(F2/7*12,-6)</f>
        <v>3000000</v>
      </c>
      <c r="H2" s="143">
        <f t="shared" ref="H2:H20" si="2">ROUND(G2-F2,-6)</f>
        <v>1000000</v>
      </c>
      <c r="I2" s="143">
        <v>815776</v>
      </c>
      <c r="J2" s="143">
        <f t="shared" ref="J2:J20" si="3">IF(I2-H2&lt;0,0,I2-H2)</f>
        <v>0</v>
      </c>
      <c r="K2" s="143">
        <f t="shared" ref="K2:K17" si="4">IF(G2&gt;0,ROUND(G2-J2,-6),0)</f>
        <v>3000000</v>
      </c>
      <c r="L2" s="144">
        <f t="shared" ref="L2:N7" si="5">(B2/$E2)</f>
        <v>1</v>
      </c>
      <c r="M2" s="144">
        <f t="shared" si="5"/>
        <v>0</v>
      </c>
      <c r="N2" s="144">
        <f t="shared" si="5"/>
        <v>0</v>
      </c>
    </row>
    <row r="3" spans="1:14">
      <c r="A3" t="s">
        <v>135</v>
      </c>
      <c r="B3" s="143">
        <v>12050000</v>
      </c>
      <c r="C3" s="143">
        <v>0</v>
      </c>
      <c r="D3" s="143">
        <v>0</v>
      </c>
      <c r="E3" s="143">
        <f t="shared" si="0"/>
        <v>12050000</v>
      </c>
      <c r="F3" s="143">
        <v>11603100</v>
      </c>
      <c r="G3" s="143">
        <f t="shared" si="1"/>
        <v>20000000</v>
      </c>
      <c r="H3" s="143">
        <f t="shared" si="2"/>
        <v>8000000</v>
      </c>
      <c r="I3" s="143">
        <v>38500</v>
      </c>
      <c r="J3" s="143">
        <f t="shared" si="3"/>
        <v>0</v>
      </c>
      <c r="K3" s="143">
        <f t="shared" si="4"/>
        <v>20000000</v>
      </c>
      <c r="L3" s="144">
        <f t="shared" si="5"/>
        <v>1</v>
      </c>
      <c r="M3" s="144">
        <f t="shared" si="5"/>
        <v>0</v>
      </c>
      <c r="N3" s="144">
        <f t="shared" si="5"/>
        <v>0</v>
      </c>
    </row>
    <row r="4" spans="1:14">
      <c r="A4" t="s">
        <v>134</v>
      </c>
      <c r="B4" s="143">
        <v>14660000</v>
      </c>
      <c r="C4" s="143">
        <v>1589661</v>
      </c>
      <c r="D4" s="143">
        <v>0</v>
      </c>
      <c r="E4" s="143">
        <f t="shared" si="0"/>
        <v>16249661</v>
      </c>
      <c r="F4" s="143">
        <v>19457890</v>
      </c>
      <c r="G4" s="143">
        <f t="shared" si="1"/>
        <v>33000000</v>
      </c>
      <c r="H4" s="143">
        <f t="shared" si="2"/>
        <v>14000000</v>
      </c>
      <c r="I4" s="143">
        <v>14282338</v>
      </c>
      <c r="J4" s="143">
        <f t="shared" si="3"/>
        <v>282338</v>
      </c>
      <c r="K4" s="143">
        <f t="shared" si="4"/>
        <v>33000000</v>
      </c>
      <c r="L4" s="144">
        <f t="shared" si="5"/>
        <v>0.90217266686363484</v>
      </c>
      <c r="M4" s="144">
        <f t="shared" si="5"/>
        <v>9.7827333136365116E-2</v>
      </c>
      <c r="N4" s="144">
        <f t="shared" si="5"/>
        <v>0</v>
      </c>
    </row>
    <row r="5" spans="1:14">
      <c r="A5" t="s">
        <v>133</v>
      </c>
      <c r="B5" s="143">
        <v>9354774</v>
      </c>
      <c r="C5" s="143">
        <v>4883815</v>
      </c>
      <c r="D5" s="143">
        <v>0</v>
      </c>
      <c r="E5" s="143">
        <f t="shared" si="0"/>
        <v>14238589</v>
      </c>
      <c r="F5" s="143">
        <v>13605980</v>
      </c>
      <c r="G5" s="143">
        <f t="shared" si="1"/>
        <v>23000000</v>
      </c>
      <c r="H5" s="143">
        <f t="shared" si="2"/>
        <v>9000000</v>
      </c>
      <c r="I5" s="143">
        <v>7502576</v>
      </c>
      <c r="J5" s="143">
        <f t="shared" si="3"/>
        <v>0</v>
      </c>
      <c r="K5" s="143">
        <f t="shared" si="4"/>
        <v>23000000</v>
      </c>
      <c r="L5" s="144">
        <f t="shared" si="5"/>
        <v>0.65700147676149656</v>
      </c>
      <c r="M5" s="144">
        <f t="shared" si="5"/>
        <v>0.34299852323850349</v>
      </c>
      <c r="N5" s="144">
        <f t="shared" si="5"/>
        <v>0</v>
      </c>
    </row>
    <row r="6" spans="1:14">
      <c r="A6" t="s">
        <v>132</v>
      </c>
      <c r="B6" s="143">
        <v>0</v>
      </c>
      <c r="C6" s="143">
        <v>8710205</v>
      </c>
      <c r="D6" s="143">
        <v>2253150</v>
      </c>
      <c r="E6" s="143">
        <f t="shared" si="0"/>
        <v>10963355</v>
      </c>
      <c r="F6" s="143">
        <v>10025900</v>
      </c>
      <c r="G6" s="143">
        <f t="shared" si="1"/>
        <v>17000000</v>
      </c>
      <c r="H6" s="143">
        <f t="shared" si="2"/>
        <v>7000000</v>
      </c>
      <c r="I6" s="143">
        <v>715706</v>
      </c>
      <c r="J6" s="143">
        <f t="shared" si="3"/>
        <v>0</v>
      </c>
      <c r="K6" s="143">
        <f t="shared" si="4"/>
        <v>17000000</v>
      </c>
      <c r="L6" s="144">
        <f t="shared" si="5"/>
        <v>0</v>
      </c>
      <c r="M6" s="144">
        <f t="shared" si="5"/>
        <v>0.79448353172911035</v>
      </c>
      <c r="N6" s="144">
        <f t="shared" si="5"/>
        <v>0.20551646827088971</v>
      </c>
    </row>
    <row r="7" spans="1:14">
      <c r="A7" t="s">
        <v>131</v>
      </c>
      <c r="B7" s="143">
        <v>4539800</v>
      </c>
      <c r="C7" s="143">
        <v>0</v>
      </c>
      <c r="D7" s="143">
        <v>0</v>
      </c>
      <c r="E7" s="143">
        <f t="shared" si="0"/>
        <v>4539800</v>
      </c>
      <c r="F7" s="143">
        <v>4354600</v>
      </c>
      <c r="G7" s="143">
        <f t="shared" si="1"/>
        <v>7000000</v>
      </c>
      <c r="H7" s="143">
        <f t="shared" si="2"/>
        <v>3000000</v>
      </c>
      <c r="I7" s="143">
        <v>0</v>
      </c>
      <c r="J7" s="143">
        <f t="shared" si="3"/>
        <v>0</v>
      </c>
      <c r="K7" s="143">
        <f t="shared" si="4"/>
        <v>7000000</v>
      </c>
      <c r="L7" s="144">
        <f t="shared" si="5"/>
        <v>1</v>
      </c>
      <c r="M7" s="144">
        <f t="shared" si="5"/>
        <v>0</v>
      </c>
      <c r="N7" s="144">
        <f t="shared" si="5"/>
        <v>0</v>
      </c>
    </row>
    <row r="8" spans="1:14">
      <c r="A8" t="s">
        <v>130</v>
      </c>
      <c r="B8" s="143">
        <v>842809</v>
      </c>
      <c r="C8" s="143">
        <v>0</v>
      </c>
      <c r="D8" s="143">
        <v>0</v>
      </c>
      <c r="E8" s="143">
        <f t="shared" si="0"/>
        <v>842809</v>
      </c>
      <c r="F8" s="143">
        <v>0</v>
      </c>
      <c r="G8" s="143">
        <f t="shared" si="1"/>
        <v>0</v>
      </c>
      <c r="H8" s="143">
        <f t="shared" si="2"/>
        <v>0</v>
      </c>
      <c r="I8" s="143">
        <v>519409</v>
      </c>
      <c r="J8" s="143">
        <f t="shared" si="3"/>
        <v>519409</v>
      </c>
      <c r="K8" s="143">
        <f t="shared" si="4"/>
        <v>0</v>
      </c>
    </row>
    <row r="9" spans="1:14">
      <c r="A9" t="s">
        <v>129</v>
      </c>
      <c r="B9" s="143">
        <v>0</v>
      </c>
      <c r="C9" s="143">
        <v>0</v>
      </c>
      <c r="D9" s="143">
        <v>0</v>
      </c>
      <c r="E9" s="143">
        <f t="shared" si="0"/>
        <v>0</v>
      </c>
      <c r="F9" s="143">
        <v>0</v>
      </c>
      <c r="G9" s="143">
        <f t="shared" si="1"/>
        <v>0</v>
      </c>
      <c r="H9" s="143">
        <f t="shared" si="2"/>
        <v>0</v>
      </c>
      <c r="I9" s="143">
        <v>0</v>
      </c>
      <c r="J9" s="143">
        <f t="shared" si="3"/>
        <v>0</v>
      </c>
      <c r="K9" s="143">
        <f t="shared" si="4"/>
        <v>0</v>
      </c>
    </row>
    <row r="10" spans="1:14">
      <c r="A10" t="s">
        <v>128</v>
      </c>
      <c r="B10" s="143">
        <v>420411</v>
      </c>
      <c r="C10" s="143">
        <v>0</v>
      </c>
      <c r="D10" s="143">
        <v>0</v>
      </c>
      <c r="E10" s="143">
        <f t="shared" si="0"/>
        <v>420411</v>
      </c>
      <c r="F10" s="143">
        <v>0</v>
      </c>
      <c r="G10" s="143">
        <f t="shared" si="1"/>
        <v>0</v>
      </c>
      <c r="H10" s="143">
        <f t="shared" si="2"/>
        <v>0</v>
      </c>
      <c r="I10" s="143">
        <v>0</v>
      </c>
      <c r="J10" s="143">
        <f t="shared" si="3"/>
        <v>0</v>
      </c>
      <c r="K10" s="143">
        <f t="shared" si="4"/>
        <v>0</v>
      </c>
    </row>
    <row r="11" spans="1:14">
      <c r="A11" t="s">
        <v>127</v>
      </c>
      <c r="B11" s="143">
        <v>27726199</v>
      </c>
      <c r="C11" s="143">
        <v>35950752</v>
      </c>
      <c r="D11" s="143">
        <v>0</v>
      </c>
      <c r="E11" s="143">
        <f t="shared" si="0"/>
        <v>63676951</v>
      </c>
      <c r="F11" s="143">
        <v>103366927</v>
      </c>
      <c r="G11" s="143">
        <f t="shared" si="1"/>
        <v>177000000</v>
      </c>
      <c r="H11" s="143">
        <f t="shared" si="2"/>
        <v>74000000</v>
      </c>
      <c r="I11" s="143">
        <v>40518405</v>
      </c>
      <c r="J11" s="143">
        <f t="shared" si="3"/>
        <v>0</v>
      </c>
      <c r="K11" s="143">
        <f t="shared" si="4"/>
        <v>177000000</v>
      </c>
      <c r="L11" s="144">
        <f t="shared" ref="L11:N14" si="6">(B11/$E11)</f>
        <v>0.43541970154946646</v>
      </c>
      <c r="M11" s="144">
        <f t="shared" si="6"/>
        <v>0.56458029845053359</v>
      </c>
      <c r="N11" s="144">
        <f t="shared" si="6"/>
        <v>0</v>
      </c>
    </row>
    <row r="12" spans="1:14">
      <c r="A12" t="s">
        <v>126</v>
      </c>
      <c r="B12" s="143">
        <v>29279342</v>
      </c>
      <c r="C12" s="143">
        <v>38062257</v>
      </c>
      <c r="D12" s="143">
        <v>4366074</v>
      </c>
      <c r="E12" s="143">
        <f t="shared" si="0"/>
        <v>71707673</v>
      </c>
      <c r="F12" s="143">
        <v>121423282</v>
      </c>
      <c r="G12" s="143">
        <f t="shared" si="1"/>
        <v>208000000</v>
      </c>
      <c r="H12" s="143">
        <f t="shared" si="2"/>
        <v>87000000</v>
      </c>
      <c r="I12" s="143">
        <v>74609899</v>
      </c>
      <c r="J12" s="143">
        <f t="shared" si="3"/>
        <v>0</v>
      </c>
      <c r="K12" s="143">
        <f t="shared" si="4"/>
        <v>208000000</v>
      </c>
      <c r="L12" s="144">
        <f t="shared" si="6"/>
        <v>0.40831532770558598</v>
      </c>
      <c r="M12" s="144">
        <f t="shared" si="6"/>
        <v>0.53079754798346335</v>
      </c>
      <c r="N12" s="144">
        <f t="shared" si="6"/>
        <v>6.0887124310950655E-2</v>
      </c>
    </row>
    <row r="13" spans="1:14">
      <c r="A13" t="s">
        <v>125</v>
      </c>
      <c r="B13" s="143">
        <v>0</v>
      </c>
      <c r="C13" s="143">
        <v>5916750</v>
      </c>
      <c r="D13" s="143">
        <v>33134597</v>
      </c>
      <c r="E13" s="143">
        <f t="shared" si="0"/>
        <v>39051347</v>
      </c>
      <c r="F13" s="143">
        <v>22514150</v>
      </c>
      <c r="G13" s="143">
        <f t="shared" si="1"/>
        <v>39000000</v>
      </c>
      <c r="H13" s="143">
        <f t="shared" si="2"/>
        <v>16000000</v>
      </c>
      <c r="I13" s="143">
        <v>38341927</v>
      </c>
      <c r="J13" s="143">
        <f t="shared" si="3"/>
        <v>22341927</v>
      </c>
      <c r="K13" s="143">
        <f t="shared" si="4"/>
        <v>17000000</v>
      </c>
      <c r="L13" s="144">
        <f t="shared" si="6"/>
        <v>0</v>
      </c>
      <c r="M13" s="144">
        <f t="shared" si="6"/>
        <v>0.15151205923831512</v>
      </c>
      <c r="N13" s="144">
        <f t="shared" si="6"/>
        <v>0.84848794076168488</v>
      </c>
    </row>
    <row r="14" spans="1:14">
      <c r="A14" t="s">
        <v>124</v>
      </c>
      <c r="B14" s="143">
        <v>0</v>
      </c>
      <c r="C14" s="143">
        <v>9584337</v>
      </c>
      <c r="D14" s="143">
        <v>22943836</v>
      </c>
      <c r="E14" s="143">
        <f t="shared" si="0"/>
        <v>32528173</v>
      </c>
      <c r="F14" s="143">
        <v>55053757</v>
      </c>
      <c r="G14" s="143">
        <f t="shared" si="1"/>
        <v>94000000</v>
      </c>
      <c r="H14" s="143">
        <f t="shared" si="2"/>
        <v>39000000</v>
      </c>
      <c r="I14" s="143">
        <v>29776717</v>
      </c>
      <c r="J14" s="143">
        <f t="shared" si="3"/>
        <v>0</v>
      </c>
      <c r="K14" s="143">
        <f t="shared" si="4"/>
        <v>94000000</v>
      </c>
      <c r="L14" s="144">
        <f t="shared" si="6"/>
        <v>0</v>
      </c>
      <c r="M14" s="144">
        <f t="shared" si="6"/>
        <v>0.29464725854722917</v>
      </c>
      <c r="N14" s="144">
        <f t="shared" si="6"/>
        <v>0.70535274145277083</v>
      </c>
    </row>
    <row r="15" spans="1:14">
      <c r="A15" t="s">
        <v>123</v>
      </c>
      <c r="B15" s="143">
        <v>1979200</v>
      </c>
      <c r="C15" s="143">
        <v>0</v>
      </c>
      <c r="D15" s="143">
        <v>0</v>
      </c>
      <c r="E15" s="143">
        <f t="shared" si="0"/>
        <v>1979200</v>
      </c>
      <c r="F15" s="143">
        <v>0</v>
      </c>
      <c r="G15" s="143">
        <f t="shared" si="1"/>
        <v>0</v>
      </c>
      <c r="H15" s="143">
        <f t="shared" si="2"/>
        <v>0</v>
      </c>
      <c r="I15" s="143">
        <v>4800</v>
      </c>
      <c r="J15" s="143">
        <f t="shared" si="3"/>
        <v>4800</v>
      </c>
      <c r="K15" s="143">
        <f t="shared" si="4"/>
        <v>0</v>
      </c>
    </row>
    <row r="16" spans="1:14">
      <c r="A16" t="s">
        <v>122</v>
      </c>
      <c r="B16" s="143">
        <v>585600</v>
      </c>
      <c r="C16" s="143">
        <v>0</v>
      </c>
      <c r="D16" s="143">
        <v>0</v>
      </c>
      <c r="E16" s="143">
        <f t="shared" si="0"/>
        <v>585600</v>
      </c>
      <c r="F16" s="143">
        <v>2762149</v>
      </c>
      <c r="G16" s="143">
        <f t="shared" si="1"/>
        <v>5000000</v>
      </c>
      <c r="H16" s="143">
        <f t="shared" si="2"/>
        <v>2000000</v>
      </c>
      <c r="I16" s="143">
        <v>0</v>
      </c>
      <c r="J16" s="143">
        <f t="shared" si="3"/>
        <v>0</v>
      </c>
      <c r="K16" s="143">
        <f t="shared" si="4"/>
        <v>5000000</v>
      </c>
    </row>
    <row r="17" spans="1:11">
      <c r="A17" t="s">
        <v>121</v>
      </c>
      <c r="B17" s="143">
        <v>236800</v>
      </c>
      <c r="C17" s="143">
        <v>0</v>
      </c>
      <c r="D17" s="143">
        <v>0</v>
      </c>
      <c r="E17" s="143">
        <f t="shared" si="0"/>
        <v>236800</v>
      </c>
      <c r="F17" s="143">
        <v>0</v>
      </c>
      <c r="G17" s="143">
        <f t="shared" si="1"/>
        <v>0</v>
      </c>
      <c r="H17" s="143">
        <f t="shared" si="2"/>
        <v>0</v>
      </c>
      <c r="I17" s="143">
        <v>0</v>
      </c>
      <c r="J17" s="143">
        <f t="shared" si="3"/>
        <v>0</v>
      </c>
      <c r="K17" s="143">
        <f t="shared" si="4"/>
        <v>0</v>
      </c>
    </row>
    <row r="18" spans="1:11">
      <c r="A18" t="s">
        <v>120</v>
      </c>
      <c r="B18" s="143">
        <v>0</v>
      </c>
      <c r="C18" s="143">
        <v>0</v>
      </c>
      <c r="D18" s="143">
        <v>0</v>
      </c>
      <c r="E18" s="143">
        <f t="shared" si="0"/>
        <v>0</v>
      </c>
      <c r="F18" s="143">
        <v>0</v>
      </c>
      <c r="G18" s="143">
        <f t="shared" si="1"/>
        <v>0</v>
      </c>
      <c r="H18" s="143">
        <f t="shared" si="2"/>
        <v>0</v>
      </c>
      <c r="I18" s="143">
        <v>0</v>
      </c>
      <c r="J18" s="143">
        <f t="shared" si="3"/>
        <v>0</v>
      </c>
      <c r="K18" s="143">
        <v>50000000</v>
      </c>
    </row>
    <row r="19" spans="1:11">
      <c r="A19" t="s">
        <v>119</v>
      </c>
      <c r="B19" s="143">
        <v>-71683</v>
      </c>
      <c r="C19" s="143">
        <v>0</v>
      </c>
      <c r="D19" s="143">
        <v>0</v>
      </c>
      <c r="E19" s="143">
        <f t="shared" si="0"/>
        <v>-71683</v>
      </c>
      <c r="F19" s="143">
        <v>0</v>
      </c>
      <c r="G19" s="143">
        <f t="shared" si="1"/>
        <v>0</v>
      </c>
      <c r="H19" s="143">
        <f t="shared" si="2"/>
        <v>0</v>
      </c>
      <c r="I19" s="143">
        <v>1980000.281</v>
      </c>
      <c r="J19" s="143">
        <f t="shared" si="3"/>
        <v>1980000.281</v>
      </c>
      <c r="K19" s="143">
        <f>IF(G19&gt;0,ROUND(G19-J19,-6),0)</f>
        <v>0</v>
      </c>
    </row>
    <row r="20" spans="1:11">
      <c r="A20" t="s">
        <v>118</v>
      </c>
      <c r="B20" s="143">
        <v>952000</v>
      </c>
      <c r="C20" s="143">
        <v>1865295</v>
      </c>
      <c r="D20" s="143">
        <v>0</v>
      </c>
      <c r="E20" s="143">
        <f t="shared" si="0"/>
        <v>2817295</v>
      </c>
      <c r="F20" s="143">
        <v>0</v>
      </c>
      <c r="G20" s="143">
        <f t="shared" si="1"/>
        <v>0</v>
      </c>
      <c r="H20" s="143">
        <f t="shared" si="2"/>
        <v>0</v>
      </c>
      <c r="I20" s="143">
        <v>3218655</v>
      </c>
      <c r="J20" s="143">
        <f t="shared" si="3"/>
        <v>3218655</v>
      </c>
      <c r="K20" s="143">
        <f>IF(G20&gt;0,ROUND(G20-J20,-6),0)</f>
        <v>0</v>
      </c>
    </row>
    <row r="21" spans="1:11">
      <c r="A21" s="131" t="s">
        <v>107</v>
      </c>
      <c r="B21" s="142">
        <f t="shared" ref="B21:K21" si="7">SUM(B2:B20)</f>
        <v>103835952</v>
      </c>
      <c r="C21" s="142">
        <f t="shared" si="7"/>
        <v>106563072</v>
      </c>
      <c r="D21" s="142">
        <f t="shared" si="7"/>
        <v>62697657</v>
      </c>
      <c r="E21" s="142">
        <f t="shared" si="7"/>
        <v>273096681</v>
      </c>
      <c r="F21" s="142">
        <f t="shared" si="7"/>
        <v>366157085</v>
      </c>
      <c r="G21" s="142">
        <f t="shared" si="7"/>
        <v>626000000</v>
      </c>
      <c r="H21" s="142">
        <f t="shared" si="7"/>
        <v>260000000</v>
      </c>
      <c r="I21" s="142">
        <f t="shared" si="7"/>
        <v>212324708.28099999</v>
      </c>
      <c r="J21" s="142">
        <f t="shared" si="7"/>
        <v>28347129.280999999</v>
      </c>
      <c r="K21" s="142">
        <f t="shared" si="7"/>
        <v>654000000</v>
      </c>
    </row>
    <row r="22" spans="1:11">
      <c r="A22" s="131" t="s">
        <v>117</v>
      </c>
      <c r="B22" s="142">
        <f>ROUND(B21/7*12,-6)</f>
        <v>178000000</v>
      </c>
      <c r="C22" s="142">
        <f>ROUND(C21/7*12,-6)</f>
        <v>183000000</v>
      </c>
      <c r="D22" s="142">
        <f>ROUND(D21/7*12,-6)</f>
        <v>107000000</v>
      </c>
      <c r="E22" s="142">
        <f>SUM(B22:D22)</f>
        <v>468000000</v>
      </c>
      <c r="F22" s="142"/>
      <c r="G22" s="142"/>
      <c r="H22" s="142"/>
      <c r="I22" s="142"/>
      <c r="J22" s="142"/>
      <c r="K22" s="143">
        <f>G22-J22</f>
        <v>0</v>
      </c>
    </row>
    <row r="23" spans="1:11" s="131" customFormat="1">
      <c r="A23" s="149" t="s">
        <v>116</v>
      </c>
      <c r="B23" s="150" t="s">
        <v>115</v>
      </c>
      <c r="C23" s="150" t="s">
        <v>114</v>
      </c>
      <c r="D23" s="150" t="s">
        <v>113</v>
      </c>
      <c r="E23" s="150" t="s">
        <v>107</v>
      </c>
    </row>
    <row r="24" spans="1:11">
      <c r="A24" s="151" t="s">
        <v>112</v>
      </c>
      <c r="B24" s="152">
        <f>(K2+K3+K7)/1000</f>
        <v>30000</v>
      </c>
      <c r="C24" s="152">
        <f>(K4+K5+K6)/1000</f>
        <v>73000</v>
      </c>
      <c r="D24" s="152">
        <v>0</v>
      </c>
      <c r="E24" s="153">
        <f>SUM(B24:D24)</f>
        <v>103000</v>
      </c>
    </row>
    <row r="25" spans="1:11">
      <c r="A25" s="151" t="s">
        <v>111</v>
      </c>
      <c r="B25" s="152">
        <f>ROUND((L11*$K11+L12*$K12+L13*$K13)/1000,-3)+8000-10000</f>
        <v>160000</v>
      </c>
      <c r="C25" s="152">
        <f>ROUND((M11*$K11+M12*$K12+M13*$K13)/1000,-3)-126000+10000+146000</f>
        <v>243000</v>
      </c>
      <c r="D25" s="152">
        <f>ROUND((N11*$G11+N12*$G12+N13*$G13)/1000,-3)+100000-146000</f>
        <v>0</v>
      </c>
      <c r="E25" s="153">
        <f>SUM(B25:D25)</f>
        <v>403000</v>
      </c>
    </row>
    <row r="26" spans="1:11">
      <c r="A26" s="151" t="s">
        <v>110</v>
      </c>
      <c r="B26" s="152">
        <v>0</v>
      </c>
      <c r="C26" s="152">
        <f>40000+54000</f>
        <v>94000</v>
      </c>
      <c r="D26" s="152">
        <f>54000-54000</f>
        <v>0</v>
      </c>
      <c r="E26" s="153">
        <f>SUM(B26:D26)</f>
        <v>94000</v>
      </c>
    </row>
    <row r="27" spans="1:11">
      <c r="A27" s="151" t="s">
        <v>109</v>
      </c>
      <c r="B27" s="152">
        <f>K18/1000</f>
        <v>50000</v>
      </c>
      <c r="C27" s="152">
        <v>0</v>
      </c>
      <c r="D27" s="152">
        <v>0</v>
      </c>
      <c r="E27" s="153">
        <f>SUM(B27:D27)</f>
        <v>50000</v>
      </c>
    </row>
    <row r="28" spans="1:11" s="131" customFormat="1" ht="15.75" thickBot="1">
      <c r="A28" s="154" t="s">
        <v>107</v>
      </c>
      <c r="B28" s="155">
        <f>SUM(B24:B27)</f>
        <v>240000</v>
      </c>
      <c r="C28" s="155">
        <f>SUM(C24:C27)</f>
        <v>410000</v>
      </c>
      <c r="D28" s="155">
        <f>SUM(D24:D27)</f>
        <v>0</v>
      </c>
      <c r="E28" s="155">
        <f>SUM(E24:E27)</f>
        <v>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18 Std v1 (Recap)</vt:lpstr>
      <vt:lpstr>18 Std v1 (140.1M)</vt:lpstr>
      <vt:lpstr>Comparative</vt:lpstr>
      <vt:lpstr>19 Std (2)</vt:lpstr>
      <vt:lpstr>2025 Summary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18 Std (v2) final</vt:lpstr>
      <vt:lpstr>18 Std (v1)</vt:lpstr>
      <vt:lpstr>17 Actual</vt:lpstr>
      <vt:lpstr>17 Std</vt:lpstr>
      <vt:lpstr>17 Prod Est</vt:lpstr>
      <vt:lpstr>KSHD 6.0</vt:lpstr>
      <vt:lpstr>NIRO 21.5</vt:lpstr>
      <vt:lpstr>NIRO 4.5|KSLD 4.1</vt:lpstr>
      <vt:lpstr>NIRO 13.5|KSLD 7.0</vt:lpstr>
      <vt:lpstr>NIRO 15|KSLD 5.5</vt:lpstr>
      <vt:lpstr>EUF Std 2016</vt:lpstr>
      <vt:lpstr>Sales Projection</vt:lpstr>
      <vt:lpstr>'18 Std (v1)'!Print_Area</vt:lpstr>
      <vt:lpstr>'18 Std (v2) final'!Print_Area</vt:lpstr>
      <vt:lpstr>'18 Std v1 (140.1M)'!Print_Area</vt:lpstr>
      <vt:lpstr>'19 Std (2)'!Print_Area</vt:lpstr>
      <vt:lpstr>'EUF Std 2016'!Print_Area</vt:lpstr>
      <vt:lpstr>'KSHD 6.0'!Print_Area</vt:lpstr>
      <vt:lpstr>'NIRO 13.5|KSLD 7.0'!Print_Area</vt:lpstr>
      <vt:lpstr>'NIRO 15|KSLD 5.5'!Print_Area</vt:lpstr>
      <vt:lpstr>'NIRO 21.5'!Print_Area</vt:lpstr>
      <vt:lpstr>'NIRO 4.5|KSLD 4.1'!Print_Area</vt:lpstr>
      <vt:lpstr>'18 Std (v1)'!Print_Titles</vt:lpstr>
      <vt:lpstr>'18 Std (v2) final'!Print_Titles</vt:lpstr>
      <vt:lpstr>'18 Std v1 (140.1M)'!Print_Titles</vt:lpstr>
      <vt:lpstr>'19 Std (2)'!Print_Titles</vt:lpstr>
      <vt:lpstr>'KSHD 6.0'!Print_Titles</vt:lpstr>
      <vt:lpstr>'NIRO 13.5|KSLD 7.0'!Print_Titles</vt:lpstr>
      <vt:lpstr>'NIRO 15|KSLD 5.5'!Print_Titles</vt:lpstr>
      <vt:lpstr>'NIRO 21.5'!Print_Titles</vt:lpstr>
      <vt:lpstr>'NIRO 4.5|KSLD 4.1'!Print_Titles</vt:lpstr>
    </vt:vector>
  </TitlesOfParts>
  <Company>CARBO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rlabutka</dc:creator>
  <cp:lastModifiedBy>Luu,  John</cp:lastModifiedBy>
  <cp:lastPrinted>2021-12-21T21:19:25Z</cp:lastPrinted>
  <dcterms:created xsi:type="dcterms:W3CDTF">2013-11-27T16:42:50Z</dcterms:created>
  <dcterms:modified xsi:type="dcterms:W3CDTF">2025-11-13T20:56:24Z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14.7</vt:lpwstr>
  </property>
</Properties>
</file>