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Syracuse\MBC638\Project\"/>
    </mc:Choice>
  </mc:AlternateContent>
  <xr:revisionPtr revIDLastSave="0" documentId="13_ncr:1_{0377FA79-21CD-4E1B-924D-498BFF856272}" xr6:coauthVersionLast="40" xr6:coauthVersionMax="40" xr10:uidLastSave="{00000000-0000-0000-0000-000000000000}"/>
  <bookViews>
    <workbookView xWindow="0" yWindow="0" windowWidth="12820" windowHeight="4450" tabRatio="784" firstSheet="1" activeTab="3" xr2:uid="{FE2AB34B-85AF-43AA-B99A-1D7D123C7D14}"/>
  </bookViews>
  <sheets>
    <sheet name="Data" sheetId="1" r:id="rId1"/>
    <sheet name="Calendar" sheetId="2" r:id="rId2"/>
    <sheet name="SQL" sheetId="3" r:id="rId3"/>
    <sheet name="Chi-Squared Ridden" sheetId="11" r:id="rId4"/>
    <sheet name="Chi-Squared" sheetId="4" r:id="rId5"/>
    <sheet name="MultipleLinearRegression" sheetId="5" r:id="rId6"/>
    <sheet name="LinearRegression" sheetId="6" r:id="rId7"/>
    <sheet name="LinearRegression Again" sheetId="7" r:id="rId8"/>
    <sheet name="Reduced Variables" sheetId="8" r:id="rId9"/>
    <sheet name="CI and SampleSize" sheetId="10" r:id="rId10"/>
    <sheet name="Down to 4" sheetId="9" r:id="rId11"/>
    <sheet name="Control Chart" sheetId="12" r:id="rId12"/>
    <sheet name="All Data Control Chart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1" l="1"/>
  <c r="G27" i="4"/>
  <c r="K15" i="4"/>
  <c r="G15" i="4"/>
  <c r="O37" i="13" l="1"/>
  <c r="O36" i="13"/>
  <c r="M34" i="13"/>
  <c r="H36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H37" i="13"/>
  <c r="O40" i="12"/>
  <c r="O39" i="12"/>
  <c r="M37" i="12"/>
  <c r="H40" i="12"/>
  <c r="H39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J46" i="1"/>
  <c r="J47" i="1"/>
  <c r="J48" i="1"/>
  <c r="J49" i="1"/>
  <c r="J50" i="1"/>
  <c r="J51" i="1"/>
  <c r="J52" i="1"/>
  <c r="J53" i="1"/>
  <c r="J54" i="1"/>
  <c r="J55" i="1"/>
  <c r="J56" i="1"/>
  <c r="G56" i="1"/>
  <c r="G55" i="1"/>
  <c r="G54" i="1"/>
  <c r="G53" i="1"/>
  <c r="G52" i="1"/>
  <c r="G51" i="1"/>
  <c r="G50" i="1"/>
  <c r="G49" i="1"/>
  <c r="G48" i="1"/>
  <c r="G47" i="1"/>
  <c r="G46" i="1"/>
  <c r="I55" i="1"/>
  <c r="AA4" i="1"/>
  <c r="AC4" i="1"/>
  <c r="H46" i="1"/>
  <c r="I53" i="1"/>
  <c r="I54" i="1"/>
  <c r="I52" i="1"/>
  <c r="I51" i="1"/>
  <c r="I50" i="1"/>
  <c r="I56" i="1"/>
  <c r="I47" i="1"/>
  <c r="I49" i="1"/>
  <c r="I48" i="1"/>
  <c r="H55" i="1"/>
  <c r="H53" i="1"/>
  <c r="H54" i="1"/>
  <c r="H52" i="1"/>
  <c r="H51" i="1"/>
  <c r="H50" i="1"/>
  <c r="H56" i="1"/>
  <c r="H47" i="1"/>
  <c r="H49" i="1"/>
  <c r="H48" i="1"/>
  <c r="Q3" i="11"/>
  <c r="O5" i="11"/>
  <c r="Q4" i="11"/>
  <c r="Q5" i="11"/>
  <c r="O10" i="11"/>
  <c r="P5" i="11"/>
  <c r="P10" i="11"/>
  <c r="Q10" i="11"/>
  <c r="O11" i="11"/>
  <c r="P11" i="11"/>
  <c r="Q11" i="11"/>
  <c r="Q12" i="11"/>
  <c r="P12" i="11"/>
  <c r="O12" i="11"/>
  <c r="D23" i="11"/>
  <c r="D24" i="11"/>
  <c r="E24" i="11"/>
  <c r="D25" i="11"/>
  <c r="E25" i="11"/>
  <c r="G23" i="11"/>
  <c r="G27" i="11"/>
  <c r="G29" i="11"/>
  <c r="J25" i="11"/>
  <c r="K25" i="11"/>
  <c r="J24" i="11"/>
  <c r="K24" i="11"/>
  <c r="J23" i="11"/>
  <c r="M23" i="11"/>
  <c r="E3" i="11"/>
  <c r="C5" i="11"/>
  <c r="E4" i="11"/>
  <c r="E5" i="11"/>
  <c r="C10" i="11"/>
  <c r="D16" i="11"/>
  <c r="D5" i="11"/>
  <c r="D10" i="11"/>
  <c r="D17" i="11"/>
  <c r="C11" i="11"/>
  <c r="D18" i="11"/>
  <c r="D11" i="11"/>
  <c r="D19" i="11"/>
  <c r="D20" i="11"/>
  <c r="C16" i="11"/>
  <c r="C17" i="11"/>
  <c r="C18" i="11"/>
  <c r="C19" i="11"/>
  <c r="C20" i="11"/>
  <c r="G15" i="11"/>
  <c r="K3" i="11"/>
  <c r="I5" i="11"/>
  <c r="K4" i="11"/>
  <c r="K5" i="11"/>
  <c r="I10" i="11"/>
  <c r="J5" i="11"/>
  <c r="J10" i="11"/>
  <c r="K10" i="11"/>
  <c r="I11" i="11"/>
  <c r="J11" i="11"/>
  <c r="K11" i="11"/>
  <c r="K12" i="11"/>
  <c r="J12" i="11"/>
  <c r="I12" i="11"/>
  <c r="E10" i="11"/>
  <c r="E11" i="11"/>
  <c r="E12" i="11"/>
  <c r="D12" i="11"/>
  <c r="C12" i="11"/>
  <c r="E3" i="4"/>
  <c r="C5" i="4"/>
  <c r="E4" i="4"/>
  <c r="E5" i="4"/>
  <c r="C10" i="4"/>
  <c r="D16" i="4"/>
  <c r="D5" i="4"/>
  <c r="D10" i="4"/>
  <c r="D17" i="4"/>
  <c r="C11" i="4"/>
  <c r="D18" i="4"/>
  <c r="D11" i="4"/>
  <c r="D19" i="4"/>
  <c r="D20" i="4"/>
  <c r="C16" i="4"/>
  <c r="C17" i="4"/>
  <c r="C18" i="4"/>
  <c r="C19" i="4"/>
  <c r="C20" i="4"/>
  <c r="K4" i="4"/>
  <c r="J5" i="4"/>
  <c r="K3" i="4"/>
  <c r="K5" i="4"/>
  <c r="J11" i="4"/>
  <c r="I5" i="4"/>
  <c r="I11" i="4"/>
  <c r="J10" i="4"/>
  <c r="I10" i="4"/>
  <c r="K10" i="4"/>
  <c r="K11" i="4"/>
  <c r="K12" i="4"/>
  <c r="J12" i="4"/>
  <c r="I12" i="4"/>
  <c r="E10" i="4"/>
  <c r="E11" i="4"/>
  <c r="E12" i="4"/>
  <c r="D12" i="4"/>
  <c r="C12" i="4"/>
  <c r="L5" i="10"/>
  <c r="L4" i="10"/>
  <c r="L10" i="10"/>
  <c r="L9" i="10"/>
  <c r="L6" i="10"/>
  <c r="D18" i="10"/>
  <c r="D16" i="10"/>
  <c r="H11" i="10"/>
  <c r="G11" i="10"/>
  <c r="H13" i="10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Q20" i="9"/>
  <c r="R20" i="9"/>
  <c r="Q19" i="9"/>
  <c r="R19" i="9"/>
  <c r="Q18" i="9"/>
  <c r="R18" i="9"/>
  <c r="Q17" i="9"/>
  <c r="R17" i="9"/>
  <c r="Q16" i="9"/>
  <c r="R16" i="9"/>
  <c r="Q15" i="9"/>
  <c r="R15" i="9"/>
  <c r="Q14" i="9"/>
  <c r="R14" i="9"/>
  <c r="Q13" i="9"/>
  <c r="R13" i="9"/>
  <c r="Q12" i="9"/>
  <c r="R12" i="9"/>
  <c r="Q11" i="9"/>
  <c r="R11" i="9"/>
  <c r="Q10" i="9"/>
  <c r="R10" i="9"/>
  <c r="Q9" i="9"/>
  <c r="R9" i="9"/>
  <c r="Q8" i="9"/>
  <c r="R8" i="9"/>
  <c r="Q7" i="9"/>
  <c r="R7" i="9"/>
  <c r="Q6" i="9"/>
  <c r="R6" i="9"/>
  <c r="Q5" i="9"/>
  <c r="R5" i="9"/>
  <c r="Q4" i="9"/>
  <c r="R4" i="9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F39" i="8"/>
  <c r="G39" i="8"/>
  <c r="J39" i="8"/>
  <c r="K39" i="8"/>
  <c r="F38" i="8"/>
  <c r="G38" i="8"/>
  <c r="J38" i="8"/>
  <c r="K38" i="8"/>
  <c r="F37" i="8"/>
  <c r="G37" i="8"/>
  <c r="J37" i="8"/>
  <c r="K37" i="8"/>
  <c r="F36" i="8"/>
  <c r="G36" i="8"/>
  <c r="J36" i="8"/>
  <c r="K36" i="8"/>
  <c r="F35" i="8"/>
  <c r="G35" i="8"/>
  <c r="J35" i="8"/>
  <c r="K35" i="8"/>
  <c r="F34" i="8"/>
  <c r="G34" i="8"/>
  <c r="J34" i="8"/>
  <c r="K34" i="8"/>
  <c r="F33" i="8"/>
  <c r="G33" i="8"/>
  <c r="J33" i="8"/>
  <c r="K33" i="8"/>
  <c r="F32" i="8"/>
  <c r="G32" i="8"/>
  <c r="J32" i="8"/>
  <c r="K32" i="8"/>
  <c r="F31" i="8"/>
  <c r="G31" i="8"/>
  <c r="J31" i="8"/>
  <c r="K31" i="8"/>
  <c r="F30" i="8"/>
  <c r="G30" i="8"/>
  <c r="J30" i="8"/>
  <c r="K30" i="8"/>
  <c r="F29" i="8"/>
  <c r="G29" i="8"/>
  <c r="J29" i="8"/>
  <c r="K29" i="8"/>
  <c r="F28" i="8"/>
  <c r="G28" i="8"/>
  <c r="J28" i="8"/>
  <c r="K28" i="8"/>
  <c r="F27" i="8"/>
  <c r="G27" i="8"/>
  <c r="J27" i="8"/>
  <c r="K27" i="8"/>
  <c r="F26" i="8"/>
  <c r="G26" i="8"/>
  <c r="J26" i="8"/>
  <c r="K26" i="8"/>
  <c r="F25" i="8"/>
  <c r="G25" i="8"/>
  <c r="J25" i="8"/>
  <c r="K25" i="8"/>
  <c r="F24" i="8"/>
  <c r="G24" i="8"/>
  <c r="J24" i="8"/>
  <c r="K24" i="8"/>
  <c r="F23" i="8"/>
  <c r="G23" i="8"/>
  <c r="J23" i="8"/>
  <c r="K23" i="8"/>
  <c r="Q20" i="8"/>
  <c r="R20" i="8"/>
  <c r="Q19" i="8"/>
  <c r="R19" i="8"/>
  <c r="Q18" i="8"/>
  <c r="R18" i="8"/>
  <c r="Q17" i="8"/>
  <c r="R17" i="8"/>
  <c r="Q16" i="8"/>
  <c r="R16" i="8"/>
  <c r="Q15" i="8"/>
  <c r="R15" i="8"/>
  <c r="Q14" i="8"/>
  <c r="R14" i="8"/>
  <c r="Q13" i="8"/>
  <c r="R13" i="8"/>
  <c r="Q12" i="8"/>
  <c r="R12" i="8"/>
  <c r="Q11" i="8"/>
  <c r="R11" i="8"/>
  <c r="Q10" i="8"/>
  <c r="R10" i="8"/>
  <c r="Q9" i="8"/>
  <c r="R9" i="8"/>
  <c r="Q8" i="8"/>
  <c r="R8" i="8"/>
  <c r="Q7" i="8"/>
  <c r="R7" i="8"/>
  <c r="Q6" i="8"/>
  <c r="R6" i="8"/>
  <c r="Q5" i="8"/>
  <c r="R5" i="8"/>
  <c r="Q4" i="8"/>
  <c r="R4" i="8"/>
  <c r="P23" i="5"/>
  <c r="F39" i="7"/>
  <c r="G39" i="7"/>
  <c r="H39" i="7"/>
  <c r="I39" i="7"/>
  <c r="J39" i="7"/>
  <c r="K39" i="7"/>
  <c r="L39" i="7"/>
  <c r="M39" i="7"/>
  <c r="N39" i="7"/>
  <c r="O39" i="7"/>
  <c r="P39" i="7"/>
  <c r="Q39" i="7"/>
  <c r="F38" i="7"/>
  <c r="G38" i="7"/>
  <c r="H38" i="7"/>
  <c r="I38" i="7"/>
  <c r="J38" i="7"/>
  <c r="K38" i="7"/>
  <c r="L38" i="7"/>
  <c r="M38" i="7"/>
  <c r="N38" i="7"/>
  <c r="O38" i="7"/>
  <c r="P38" i="7"/>
  <c r="Q38" i="7"/>
  <c r="F37" i="7"/>
  <c r="G37" i="7"/>
  <c r="H37" i="7"/>
  <c r="I37" i="7"/>
  <c r="J37" i="7"/>
  <c r="K37" i="7"/>
  <c r="L37" i="7"/>
  <c r="M37" i="7"/>
  <c r="N37" i="7"/>
  <c r="O37" i="7"/>
  <c r="P37" i="7"/>
  <c r="Q37" i="7"/>
  <c r="F36" i="7"/>
  <c r="G36" i="7"/>
  <c r="H36" i="7"/>
  <c r="I36" i="7"/>
  <c r="J36" i="7"/>
  <c r="K36" i="7"/>
  <c r="L36" i="7"/>
  <c r="M36" i="7"/>
  <c r="N36" i="7"/>
  <c r="O36" i="7"/>
  <c r="P36" i="7"/>
  <c r="Q36" i="7"/>
  <c r="F35" i="7"/>
  <c r="G35" i="7"/>
  <c r="H35" i="7"/>
  <c r="I35" i="7"/>
  <c r="J35" i="7"/>
  <c r="K35" i="7"/>
  <c r="L35" i="7"/>
  <c r="M35" i="7"/>
  <c r="N35" i="7"/>
  <c r="O35" i="7"/>
  <c r="P35" i="7"/>
  <c r="Q35" i="7"/>
  <c r="F34" i="7"/>
  <c r="G34" i="7"/>
  <c r="H34" i="7"/>
  <c r="I34" i="7"/>
  <c r="J34" i="7"/>
  <c r="K34" i="7"/>
  <c r="L34" i="7"/>
  <c r="M34" i="7"/>
  <c r="N34" i="7"/>
  <c r="O34" i="7"/>
  <c r="P34" i="7"/>
  <c r="Q34" i="7"/>
  <c r="F33" i="7"/>
  <c r="G33" i="7"/>
  <c r="H33" i="7"/>
  <c r="I33" i="7"/>
  <c r="J33" i="7"/>
  <c r="K33" i="7"/>
  <c r="L33" i="7"/>
  <c r="M33" i="7"/>
  <c r="N33" i="7"/>
  <c r="O33" i="7"/>
  <c r="P33" i="7"/>
  <c r="Q33" i="7"/>
  <c r="F32" i="7"/>
  <c r="G32" i="7"/>
  <c r="H32" i="7"/>
  <c r="I32" i="7"/>
  <c r="J32" i="7"/>
  <c r="K32" i="7"/>
  <c r="L32" i="7"/>
  <c r="M32" i="7"/>
  <c r="N32" i="7"/>
  <c r="O32" i="7"/>
  <c r="P32" i="7"/>
  <c r="Q32" i="7"/>
  <c r="F31" i="7"/>
  <c r="G31" i="7"/>
  <c r="H31" i="7"/>
  <c r="I31" i="7"/>
  <c r="J31" i="7"/>
  <c r="K31" i="7"/>
  <c r="L31" i="7"/>
  <c r="M31" i="7"/>
  <c r="N31" i="7"/>
  <c r="O31" i="7"/>
  <c r="P31" i="7"/>
  <c r="Q31" i="7"/>
  <c r="F30" i="7"/>
  <c r="G30" i="7"/>
  <c r="H30" i="7"/>
  <c r="I30" i="7"/>
  <c r="J30" i="7"/>
  <c r="K30" i="7"/>
  <c r="L30" i="7"/>
  <c r="M30" i="7"/>
  <c r="N30" i="7"/>
  <c r="O30" i="7"/>
  <c r="P30" i="7"/>
  <c r="Q30" i="7"/>
  <c r="F29" i="7"/>
  <c r="G29" i="7"/>
  <c r="H29" i="7"/>
  <c r="I29" i="7"/>
  <c r="J29" i="7"/>
  <c r="K29" i="7"/>
  <c r="L29" i="7"/>
  <c r="M29" i="7"/>
  <c r="N29" i="7"/>
  <c r="O29" i="7"/>
  <c r="P29" i="7"/>
  <c r="Q29" i="7"/>
  <c r="F28" i="7"/>
  <c r="G28" i="7"/>
  <c r="H28" i="7"/>
  <c r="I28" i="7"/>
  <c r="J28" i="7"/>
  <c r="K28" i="7"/>
  <c r="L28" i="7"/>
  <c r="M28" i="7"/>
  <c r="N28" i="7"/>
  <c r="O28" i="7"/>
  <c r="P28" i="7"/>
  <c r="Q28" i="7"/>
  <c r="F27" i="7"/>
  <c r="G27" i="7"/>
  <c r="H27" i="7"/>
  <c r="I27" i="7"/>
  <c r="J27" i="7"/>
  <c r="K27" i="7"/>
  <c r="L27" i="7"/>
  <c r="M27" i="7"/>
  <c r="N27" i="7"/>
  <c r="O27" i="7"/>
  <c r="P27" i="7"/>
  <c r="Q27" i="7"/>
  <c r="F26" i="7"/>
  <c r="G26" i="7"/>
  <c r="H26" i="7"/>
  <c r="I26" i="7"/>
  <c r="J26" i="7"/>
  <c r="K26" i="7"/>
  <c r="L26" i="7"/>
  <c r="M26" i="7"/>
  <c r="N26" i="7"/>
  <c r="O26" i="7"/>
  <c r="P26" i="7"/>
  <c r="Q26" i="7"/>
  <c r="F25" i="7"/>
  <c r="G25" i="7"/>
  <c r="H25" i="7"/>
  <c r="I25" i="7"/>
  <c r="J25" i="7"/>
  <c r="K25" i="7"/>
  <c r="L25" i="7"/>
  <c r="M25" i="7"/>
  <c r="N25" i="7"/>
  <c r="O25" i="7"/>
  <c r="P25" i="7"/>
  <c r="Q25" i="7"/>
  <c r="F24" i="7"/>
  <c r="G24" i="7"/>
  <c r="H24" i="7"/>
  <c r="I24" i="7"/>
  <c r="J24" i="7"/>
  <c r="K24" i="7"/>
  <c r="L24" i="7"/>
  <c r="M24" i="7"/>
  <c r="N24" i="7"/>
  <c r="O24" i="7"/>
  <c r="P24" i="7"/>
  <c r="Q24" i="7"/>
  <c r="F23" i="7"/>
  <c r="G23" i="7"/>
  <c r="H23" i="7"/>
  <c r="I23" i="7"/>
  <c r="J23" i="7"/>
  <c r="K23" i="7"/>
  <c r="L23" i="7"/>
  <c r="M23" i="7"/>
  <c r="N23" i="7"/>
  <c r="O23" i="7"/>
  <c r="P23" i="7"/>
  <c r="Q23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F39" i="6"/>
  <c r="G39" i="6"/>
  <c r="H39" i="6"/>
  <c r="I39" i="6"/>
  <c r="J39" i="6"/>
  <c r="K39" i="6"/>
  <c r="L39" i="6"/>
  <c r="M39" i="6"/>
  <c r="N39" i="6"/>
  <c r="O39" i="6"/>
  <c r="P39" i="6"/>
  <c r="R39" i="6"/>
  <c r="Q39" i="6"/>
  <c r="F38" i="6"/>
  <c r="G38" i="6"/>
  <c r="H38" i="6"/>
  <c r="I38" i="6"/>
  <c r="J38" i="6"/>
  <c r="K38" i="6"/>
  <c r="L38" i="6"/>
  <c r="M38" i="6"/>
  <c r="N38" i="6"/>
  <c r="O38" i="6"/>
  <c r="P38" i="6"/>
  <c r="R38" i="6"/>
  <c r="Q38" i="6"/>
  <c r="F37" i="6"/>
  <c r="G37" i="6"/>
  <c r="H37" i="6"/>
  <c r="I37" i="6"/>
  <c r="J37" i="6"/>
  <c r="K37" i="6"/>
  <c r="L37" i="6"/>
  <c r="M37" i="6"/>
  <c r="N37" i="6"/>
  <c r="O37" i="6"/>
  <c r="P37" i="6"/>
  <c r="R37" i="6"/>
  <c r="Q37" i="6"/>
  <c r="F36" i="6"/>
  <c r="G36" i="6"/>
  <c r="H36" i="6"/>
  <c r="I36" i="6"/>
  <c r="J36" i="6"/>
  <c r="K36" i="6"/>
  <c r="L36" i="6"/>
  <c r="M36" i="6"/>
  <c r="N36" i="6"/>
  <c r="O36" i="6"/>
  <c r="P36" i="6"/>
  <c r="R36" i="6"/>
  <c r="Q36" i="6"/>
  <c r="F35" i="6"/>
  <c r="G35" i="6"/>
  <c r="H35" i="6"/>
  <c r="I35" i="6"/>
  <c r="J35" i="6"/>
  <c r="K35" i="6"/>
  <c r="L35" i="6"/>
  <c r="M35" i="6"/>
  <c r="N35" i="6"/>
  <c r="O35" i="6"/>
  <c r="P35" i="6"/>
  <c r="R35" i="6"/>
  <c r="Q35" i="6"/>
  <c r="F34" i="6"/>
  <c r="G34" i="6"/>
  <c r="H34" i="6"/>
  <c r="I34" i="6"/>
  <c r="J34" i="6"/>
  <c r="K34" i="6"/>
  <c r="L34" i="6"/>
  <c r="M34" i="6"/>
  <c r="N34" i="6"/>
  <c r="O34" i="6"/>
  <c r="P34" i="6"/>
  <c r="R34" i="6"/>
  <c r="Q34" i="6"/>
  <c r="F33" i="6"/>
  <c r="G33" i="6"/>
  <c r="H33" i="6"/>
  <c r="I33" i="6"/>
  <c r="J33" i="6"/>
  <c r="K33" i="6"/>
  <c r="L33" i="6"/>
  <c r="M33" i="6"/>
  <c r="N33" i="6"/>
  <c r="O33" i="6"/>
  <c r="P33" i="6"/>
  <c r="R33" i="6"/>
  <c r="Q33" i="6"/>
  <c r="F32" i="6"/>
  <c r="G32" i="6"/>
  <c r="H32" i="6"/>
  <c r="I32" i="6"/>
  <c r="J32" i="6"/>
  <c r="K32" i="6"/>
  <c r="L32" i="6"/>
  <c r="M32" i="6"/>
  <c r="N32" i="6"/>
  <c r="O32" i="6"/>
  <c r="P32" i="6"/>
  <c r="R32" i="6"/>
  <c r="Q32" i="6"/>
  <c r="F31" i="6"/>
  <c r="G31" i="6"/>
  <c r="H31" i="6"/>
  <c r="I31" i="6"/>
  <c r="J31" i="6"/>
  <c r="K31" i="6"/>
  <c r="L31" i="6"/>
  <c r="M31" i="6"/>
  <c r="N31" i="6"/>
  <c r="O31" i="6"/>
  <c r="P31" i="6"/>
  <c r="R31" i="6"/>
  <c r="Q31" i="6"/>
  <c r="F30" i="6"/>
  <c r="G30" i="6"/>
  <c r="H30" i="6"/>
  <c r="I30" i="6"/>
  <c r="J30" i="6"/>
  <c r="K30" i="6"/>
  <c r="L30" i="6"/>
  <c r="M30" i="6"/>
  <c r="N30" i="6"/>
  <c r="O30" i="6"/>
  <c r="P30" i="6"/>
  <c r="R30" i="6"/>
  <c r="Q30" i="6"/>
  <c r="F29" i="6"/>
  <c r="G29" i="6"/>
  <c r="H29" i="6"/>
  <c r="I29" i="6"/>
  <c r="J29" i="6"/>
  <c r="K29" i="6"/>
  <c r="L29" i="6"/>
  <c r="M29" i="6"/>
  <c r="N29" i="6"/>
  <c r="O29" i="6"/>
  <c r="P29" i="6"/>
  <c r="R29" i="6"/>
  <c r="Q29" i="6"/>
  <c r="F28" i="6"/>
  <c r="G28" i="6"/>
  <c r="H28" i="6"/>
  <c r="I28" i="6"/>
  <c r="J28" i="6"/>
  <c r="K28" i="6"/>
  <c r="L28" i="6"/>
  <c r="M28" i="6"/>
  <c r="N28" i="6"/>
  <c r="O28" i="6"/>
  <c r="P28" i="6"/>
  <c r="R28" i="6"/>
  <c r="Q28" i="6"/>
  <c r="F27" i="6"/>
  <c r="G27" i="6"/>
  <c r="H27" i="6"/>
  <c r="I27" i="6"/>
  <c r="J27" i="6"/>
  <c r="K27" i="6"/>
  <c r="L27" i="6"/>
  <c r="M27" i="6"/>
  <c r="N27" i="6"/>
  <c r="O27" i="6"/>
  <c r="P27" i="6"/>
  <c r="R27" i="6"/>
  <c r="Q27" i="6"/>
  <c r="F26" i="6"/>
  <c r="G26" i="6"/>
  <c r="H26" i="6"/>
  <c r="I26" i="6"/>
  <c r="J26" i="6"/>
  <c r="K26" i="6"/>
  <c r="L26" i="6"/>
  <c r="M26" i="6"/>
  <c r="N26" i="6"/>
  <c r="O26" i="6"/>
  <c r="P26" i="6"/>
  <c r="R26" i="6"/>
  <c r="Q26" i="6"/>
  <c r="F25" i="6"/>
  <c r="G25" i="6"/>
  <c r="H25" i="6"/>
  <c r="I25" i="6"/>
  <c r="J25" i="6"/>
  <c r="K25" i="6"/>
  <c r="L25" i="6"/>
  <c r="M25" i="6"/>
  <c r="N25" i="6"/>
  <c r="O25" i="6"/>
  <c r="P25" i="6"/>
  <c r="R25" i="6"/>
  <c r="Q25" i="6"/>
  <c r="F24" i="6"/>
  <c r="G24" i="6"/>
  <c r="H24" i="6"/>
  <c r="I24" i="6"/>
  <c r="J24" i="6"/>
  <c r="K24" i="6"/>
  <c r="L24" i="6"/>
  <c r="M24" i="6"/>
  <c r="N24" i="6"/>
  <c r="O24" i="6"/>
  <c r="P24" i="6"/>
  <c r="R24" i="6"/>
  <c r="Q24" i="6"/>
  <c r="F23" i="6"/>
  <c r="G23" i="6"/>
  <c r="H23" i="6"/>
  <c r="I23" i="6"/>
  <c r="J23" i="6"/>
  <c r="K23" i="6"/>
  <c r="L23" i="6"/>
  <c r="M23" i="6"/>
  <c r="N23" i="6"/>
  <c r="O23" i="6"/>
  <c r="P23" i="6"/>
  <c r="R23" i="6"/>
  <c r="Q23" i="6"/>
  <c r="Q20" i="6"/>
  <c r="R20" i="6"/>
  <c r="Q19" i="6"/>
  <c r="R19" i="6"/>
  <c r="Q18" i="6"/>
  <c r="R18" i="6"/>
  <c r="Q17" i="6"/>
  <c r="R17" i="6"/>
  <c r="Q16" i="6"/>
  <c r="R16" i="6"/>
  <c r="Q15" i="6"/>
  <c r="R15" i="6"/>
  <c r="Q14" i="6"/>
  <c r="R14" i="6"/>
  <c r="Q13" i="6"/>
  <c r="R13" i="6"/>
  <c r="Q12" i="6"/>
  <c r="R12" i="6"/>
  <c r="Q11" i="6"/>
  <c r="R11" i="6"/>
  <c r="Q10" i="6"/>
  <c r="R10" i="6"/>
  <c r="Q9" i="6"/>
  <c r="R9" i="6"/>
  <c r="Q8" i="6"/>
  <c r="R8" i="6"/>
  <c r="Q7" i="6"/>
  <c r="R7" i="6"/>
  <c r="Q6" i="6"/>
  <c r="R6" i="6"/>
  <c r="Q5" i="6"/>
  <c r="R5" i="6"/>
  <c r="Q4" i="6"/>
  <c r="R4" i="6"/>
  <c r="F23" i="5"/>
  <c r="G23" i="5"/>
  <c r="H23" i="5"/>
  <c r="I23" i="5"/>
  <c r="J23" i="5"/>
  <c r="K23" i="5"/>
  <c r="L23" i="5"/>
  <c r="M23" i="5"/>
  <c r="N23" i="5"/>
  <c r="O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I39" i="5"/>
  <c r="J39" i="5"/>
  <c r="K39" i="5"/>
  <c r="L39" i="5"/>
  <c r="M39" i="5"/>
  <c r="N39" i="5"/>
  <c r="O39" i="5"/>
  <c r="P39" i="5"/>
  <c r="I38" i="5"/>
  <c r="J38" i="5"/>
  <c r="K38" i="5"/>
  <c r="L38" i="5"/>
  <c r="M38" i="5"/>
  <c r="N38" i="5"/>
  <c r="O38" i="5"/>
  <c r="P38" i="5"/>
  <c r="I37" i="5"/>
  <c r="J37" i="5"/>
  <c r="K37" i="5"/>
  <c r="L37" i="5"/>
  <c r="M37" i="5"/>
  <c r="N37" i="5"/>
  <c r="O37" i="5"/>
  <c r="P37" i="5"/>
  <c r="I36" i="5"/>
  <c r="J36" i="5"/>
  <c r="K36" i="5"/>
  <c r="L36" i="5"/>
  <c r="M36" i="5"/>
  <c r="N36" i="5"/>
  <c r="O36" i="5"/>
  <c r="P36" i="5"/>
  <c r="I35" i="5"/>
  <c r="J35" i="5"/>
  <c r="K35" i="5"/>
  <c r="L35" i="5"/>
  <c r="M35" i="5"/>
  <c r="N35" i="5"/>
  <c r="O35" i="5"/>
  <c r="P35" i="5"/>
  <c r="I34" i="5"/>
  <c r="J34" i="5"/>
  <c r="K34" i="5"/>
  <c r="L34" i="5"/>
  <c r="M34" i="5"/>
  <c r="N34" i="5"/>
  <c r="O34" i="5"/>
  <c r="P34" i="5"/>
  <c r="I33" i="5"/>
  <c r="J33" i="5"/>
  <c r="K33" i="5"/>
  <c r="L33" i="5"/>
  <c r="M33" i="5"/>
  <c r="N33" i="5"/>
  <c r="O33" i="5"/>
  <c r="P33" i="5"/>
  <c r="I32" i="5"/>
  <c r="J32" i="5"/>
  <c r="K32" i="5"/>
  <c r="L32" i="5"/>
  <c r="M32" i="5"/>
  <c r="N32" i="5"/>
  <c r="O32" i="5"/>
  <c r="P32" i="5"/>
  <c r="I31" i="5"/>
  <c r="J31" i="5"/>
  <c r="K31" i="5"/>
  <c r="L31" i="5"/>
  <c r="M31" i="5"/>
  <c r="N31" i="5"/>
  <c r="O31" i="5"/>
  <c r="P31" i="5"/>
  <c r="I30" i="5"/>
  <c r="J30" i="5"/>
  <c r="K30" i="5"/>
  <c r="L30" i="5"/>
  <c r="M30" i="5"/>
  <c r="N30" i="5"/>
  <c r="O30" i="5"/>
  <c r="P30" i="5"/>
  <c r="I29" i="5"/>
  <c r="J29" i="5"/>
  <c r="K29" i="5"/>
  <c r="L29" i="5"/>
  <c r="M29" i="5"/>
  <c r="N29" i="5"/>
  <c r="O29" i="5"/>
  <c r="P29" i="5"/>
  <c r="I28" i="5"/>
  <c r="J28" i="5"/>
  <c r="K28" i="5"/>
  <c r="L28" i="5"/>
  <c r="M28" i="5"/>
  <c r="N28" i="5"/>
  <c r="O28" i="5"/>
  <c r="P28" i="5"/>
  <c r="I27" i="5"/>
  <c r="J27" i="5"/>
  <c r="K27" i="5"/>
  <c r="L27" i="5"/>
  <c r="M27" i="5"/>
  <c r="N27" i="5"/>
  <c r="O27" i="5"/>
  <c r="P27" i="5"/>
  <c r="I26" i="5"/>
  <c r="J26" i="5"/>
  <c r="K26" i="5"/>
  <c r="L26" i="5"/>
  <c r="M26" i="5"/>
  <c r="N26" i="5"/>
  <c r="O26" i="5"/>
  <c r="P26" i="5"/>
  <c r="I25" i="5"/>
  <c r="J25" i="5"/>
  <c r="K25" i="5"/>
  <c r="L25" i="5"/>
  <c r="M25" i="5"/>
  <c r="N25" i="5"/>
  <c r="O25" i="5"/>
  <c r="P25" i="5"/>
  <c r="I24" i="5"/>
  <c r="J24" i="5"/>
  <c r="K24" i="5"/>
  <c r="L24" i="5"/>
  <c r="M24" i="5"/>
  <c r="N24" i="5"/>
  <c r="O24" i="5"/>
  <c r="P24" i="5"/>
  <c r="P20" i="5"/>
  <c r="Q20" i="5"/>
  <c r="P19" i="5"/>
  <c r="Q19" i="5"/>
  <c r="P18" i="5"/>
  <c r="Q18" i="5"/>
  <c r="P17" i="5"/>
  <c r="Q17" i="5"/>
  <c r="P16" i="5"/>
  <c r="Q16" i="5"/>
  <c r="P15" i="5"/>
  <c r="Q15" i="5"/>
  <c r="P14" i="5"/>
  <c r="Q14" i="5"/>
  <c r="P13" i="5"/>
  <c r="Q13" i="5"/>
  <c r="P12" i="5"/>
  <c r="Q12" i="5"/>
  <c r="P11" i="5"/>
  <c r="Q11" i="5"/>
  <c r="P10" i="5"/>
  <c r="Q10" i="5"/>
  <c r="P9" i="5"/>
  <c r="Q9" i="5"/>
  <c r="P8" i="5"/>
  <c r="Q8" i="5"/>
  <c r="P7" i="5"/>
  <c r="Q7" i="5"/>
  <c r="P6" i="5"/>
  <c r="Q6" i="5"/>
  <c r="P5" i="5"/>
  <c r="Q5" i="5"/>
  <c r="P4" i="5"/>
  <c r="Q4" i="5"/>
  <c r="D23" i="4"/>
  <c r="D24" i="4"/>
  <c r="E24" i="4"/>
  <c r="D25" i="4"/>
  <c r="E25" i="4"/>
  <c r="G23" i="4"/>
  <c r="G29" i="4"/>
  <c r="J25" i="4"/>
  <c r="J24" i="4"/>
  <c r="K24" i="4"/>
  <c r="J23" i="4"/>
  <c r="K25" i="4"/>
  <c r="M23" i="4"/>
  <c r="S38" i="1"/>
  <c r="S21" i="1"/>
  <c r="AH52" i="1"/>
  <c r="AH51" i="1"/>
  <c r="AH46" i="1"/>
  <c r="AH44" i="1"/>
  <c r="AH43" i="1"/>
  <c r="AH42" i="1"/>
  <c r="X38" i="1"/>
  <c r="W38" i="1"/>
  <c r="V38" i="1"/>
  <c r="U38" i="1"/>
  <c r="X21" i="1"/>
  <c r="W21" i="1"/>
  <c r="V21" i="1"/>
  <c r="U21" i="1"/>
  <c r="D19" i="3"/>
  <c r="D18" i="3"/>
  <c r="D8" i="3"/>
  <c r="D7" i="3"/>
  <c r="AC34" i="1"/>
  <c r="AJ25" i="1"/>
  <c r="AJ29" i="1"/>
  <c r="H22" i="1"/>
  <c r="AA14" i="1"/>
  <c r="P22" i="1"/>
  <c r="AA13" i="1"/>
  <c r="G22" i="1"/>
  <c r="AA12" i="1"/>
  <c r="K22" i="1"/>
  <c r="AA11" i="1"/>
  <c r="J22" i="1"/>
  <c r="AA9" i="1"/>
  <c r="M22" i="1"/>
  <c r="AA10" i="1"/>
  <c r="I22" i="1"/>
  <c r="AA6" i="1"/>
  <c r="L22" i="1"/>
  <c r="AA7" i="1"/>
  <c r="N22" i="1"/>
  <c r="AA8" i="1"/>
  <c r="O22" i="1"/>
  <c r="F22" i="1"/>
  <c r="AA5" i="1"/>
  <c r="AA15" i="1"/>
  <c r="AC15" i="1"/>
  <c r="P40" i="1"/>
  <c r="O40" i="1"/>
  <c r="N40" i="1"/>
  <c r="M40" i="1"/>
  <c r="L40" i="1"/>
  <c r="K40" i="1"/>
  <c r="J40" i="1"/>
  <c r="I40" i="1"/>
  <c r="H40" i="1"/>
  <c r="G40" i="1"/>
  <c r="F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AH35" i="1"/>
  <c r="AH34" i="1"/>
  <c r="AH29" i="1"/>
  <c r="AH27" i="1"/>
  <c r="AH26" i="1"/>
  <c r="AK25" i="1"/>
  <c r="AH25" i="1"/>
  <c r="Q37" i="1"/>
  <c r="R37" i="1"/>
  <c r="Q36" i="1"/>
  <c r="R36" i="1"/>
  <c r="Q35" i="1"/>
  <c r="R35" i="1"/>
  <c r="Q34" i="1"/>
  <c r="R34" i="1"/>
  <c r="Q33" i="1"/>
  <c r="R33" i="1"/>
  <c r="Q32" i="1"/>
  <c r="R32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7" i="1"/>
  <c r="R7" i="1"/>
  <c r="Q6" i="1"/>
  <c r="R6" i="1"/>
  <c r="Q5" i="1"/>
  <c r="R5" i="1"/>
  <c r="Q4" i="1"/>
  <c r="R4" i="1"/>
  <c r="Q8" i="1"/>
  <c r="R8" i="1"/>
  <c r="AC14" i="1"/>
  <c r="AC13" i="1"/>
  <c r="AC12" i="1"/>
  <c r="AC11" i="1"/>
  <c r="AC9" i="1"/>
  <c r="AC10" i="1"/>
  <c r="AC6" i="1"/>
  <c r="AC7" i="1"/>
  <c r="AC5" i="1"/>
  <c r="AC8" i="1"/>
  <c r="AD4" i="1"/>
  <c r="AD5" i="1"/>
  <c r="AD6" i="1"/>
  <c r="AD7" i="1"/>
  <c r="AD8" i="1"/>
  <c r="AD9" i="1"/>
  <c r="AD10" i="1"/>
  <c r="AD11" i="1"/>
  <c r="AD12" i="1"/>
  <c r="AD13" i="1"/>
  <c r="AD14" i="1"/>
  <c r="AB15" i="1"/>
  <c r="AB13" i="1"/>
  <c r="AB4" i="1"/>
  <c r="AB8" i="1"/>
  <c r="AB10" i="1"/>
  <c r="AB7" i="1"/>
  <c r="AB11" i="1"/>
  <c r="AB9" i="1"/>
  <c r="AB6" i="1"/>
  <c r="AB14" i="1"/>
  <c r="AB12" i="1"/>
  <c r="AB5" i="1"/>
  <c r="S20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K15" i="11"/>
  <c r="G57" i="1"/>
  <c r="H57" i="1"/>
  <c r="I46" i="1"/>
  <c r="I57" i="1"/>
</calcChain>
</file>

<file path=xl/sharedStrings.xml><?xml version="1.0" encoding="utf-8"?>
<sst xmlns="http://schemas.openxmlformats.org/spreadsheetml/2006/main" count="877" uniqueCount="168">
  <si>
    <t>Date</t>
  </si>
  <si>
    <t>Bring Tack down</t>
  </si>
  <si>
    <t>Curry/shed blade</t>
  </si>
  <si>
    <t>Hard brush</t>
  </si>
  <si>
    <t xml:space="preserve">Soft brush </t>
  </si>
  <si>
    <t>Mane Tail</t>
  </si>
  <si>
    <t>Pick hoofs</t>
  </si>
  <si>
    <t xml:space="preserve">Hoof oil </t>
  </si>
  <si>
    <t>Tack up</t>
  </si>
  <si>
    <t>Horse to Ring</t>
  </si>
  <si>
    <t>Start Improvement</t>
  </si>
  <si>
    <t>Total Minutes</t>
  </si>
  <si>
    <t>WE =1 / WD = 0</t>
  </si>
  <si>
    <t>Ridden Day BF =1</t>
  </si>
  <si>
    <t>Horse on Xties</t>
  </si>
  <si>
    <t>Horse from Paddock</t>
  </si>
  <si>
    <t>Current State</t>
  </si>
  <si>
    <t>Task Type</t>
  </si>
  <si>
    <t>Time Spent</t>
  </si>
  <si>
    <t>% of Total Time</t>
  </si>
  <si>
    <t># of Mins</t>
  </si>
  <si>
    <t># of Hours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</si>
  <si>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</si>
  <si>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</si>
  <si>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</si>
  <si>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</si>
  <si>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</si>
  <si>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</si>
  <si>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</si>
  <si>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</si>
  <si>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</si>
  <si>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</si>
  <si>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</si>
  <si>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</si>
  <si>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</si>
  <si>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</si>
  <si>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Prepare Horse to Ride</t>
  </si>
  <si>
    <t>Ride</t>
  </si>
  <si>
    <t>Goal/Desired State</t>
  </si>
  <si>
    <t>Desired Time to Prepare Horse to Ride</t>
  </si>
  <si>
    <t>Statistics in Time Format</t>
  </si>
  <si>
    <t>Cumulative</t>
  </si>
  <si>
    <t>&gt; 50</t>
  </si>
  <si>
    <t>Arrive at Barn</t>
  </si>
  <si>
    <t>Ring Busy</t>
  </si>
  <si>
    <t>Convert to decimal</t>
  </si>
  <si>
    <t>Defect Opportunities per Unit</t>
  </si>
  <si>
    <t>Total Actual Defects</t>
  </si>
  <si>
    <t>Total Possible Defects per Day</t>
  </si>
  <si>
    <t>Units Produced per Day</t>
  </si>
  <si>
    <t>Defects per Opportunity Rate</t>
  </si>
  <si>
    <t>D</t>
  </si>
  <si>
    <t>U</t>
  </si>
  <si>
    <t>D * U</t>
  </si>
  <si>
    <t>A</t>
  </si>
  <si>
    <t>Value</t>
  </si>
  <si>
    <t>A / DU = DPO * 100</t>
  </si>
  <si>
    <t>DPO * 1,000,000</t>
  </si>
  <si>
    <t>SQL Value from SQL Table</t>
  </si>
  <si>
    <t>approximately</t>
  </si>
  <si>
    <t>^Note - used 460,000 from table</t>
  </si>
  <si>
    <t>Description</t>
  </si>
  <si>
    <t>Variable/Formula</t>
  </si>
  <si>
    <t>Defects per Million Opportunities (DPMO)</t>
  </si>
  <si>
    <t>^Note - used 158,000 from table</t>
  </si>
  <si>
    <t>Horse In</t>
  </si>
  <si>
    <t>Horse Out</t>
  </si>
  <si>
    <t>TM &gt; 50</t>
  </si>
  <si>
    <t>TM &lt;= 50</t>
  </si>
  <si>
    <t>Before Improvement Data</t>
  </si>
  <si>
    <t>Total</t>
  </si>
  <si>
    <t>Horse In = 1 / Out = 0</t>
  </si>
  <si>
    <t>I&gt;50</t>
  </si>
  <si>
    <t>I&lt;=50</t>
  </si>
  <si>
    <t>O&gt;50</t>
  </si>
  <si>
    <t>O&lt;=50</t>
  </si>
  <si>
    <t>After Improvement Data</t>
  </si>
  <si>
    <t>In =1, out = 0</t>
  </si>
  <si>
    <t>x1 - x2</t>
  </si>
  <si>
    <t>s1 square</t>
  </si>
  <si>
    <t>s2 square</t>
  </si>
  <si>
    <t>n1</t>
  </si>
  <si>
    <t>n2</t>
  </si>
  <si>
    <t>Pre-Improvement Data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</si>
  <si>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</si>
  <si>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</si>
  <si>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</si>
  <si>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</si>
  <si>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</si>
  <si>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</si>
  <si>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</si>
  <si>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</si>
  <si>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</si>
  <si>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</t>
  </si>
  <si>
    <t>x12</t>
  </si>
  <si>
    <t>x13</t>
  </si>
  <si>
    <t>Total Time</t>
  </si>
  <si>
    <t>y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</si>
  <si>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</si>
  <si>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</si>
  <si>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</si>
  <si>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</si>
  <si>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</si>
  <si>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</si>
  <si>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</si>
  <si>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</si>
  <si>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</si>
  <si>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</si>
  <si>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</si>
  <si>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</si>
  <si>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</si>
  <si>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</si>
  <si>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</si>
  <si>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</si>
  <si>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</si>
  <si>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</si>
  <si>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</si>
  <si>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</si>
  <si>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</si>
  <si>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</si>
  <si>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</si>
  <si>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</si>
  <si>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</si>
  <si>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x2</t>
  </si>
  <si>
    <t>x14</t>
  </si>
  <si>
    <t>Horse In/Out</t>
  </si>
  <si>
    <t>Predicted Total Time</t>
  </si>
  <si>
    <t>WE/WD</t>
  </si>
  <si>
    <t>Ridden Day BF</t>
  </si>
  <si>
    <t>Predicted Total Minutes</t>
  </si>
  <si>
    <t>becomes 1 when I add more variables</t>
  </si>
  <si>
    <t>E</t>
  </si>
  <si>
    <t>alpha</t>
  </si>
  <si>
    <t>n</t>
  </si>
  <si>
    <t>t</t>
  </si>
  <si>
    <t xml:space="preserve">ME = </t>
  </si>
  <si>
    <t>L</t>
  </si>
  <si>
    <t>Expected Before Improvement Data</t>
  </si>
  <si>
    <t>Expected After Improvement Data</t>
  </si>
  <si>
    <t>Categories</t>
  </si>
  <si>
    <t>f(Observed)</t>
  </si>
  <si>
    <t>f(Expected)</t>
  </si>
  <si>
    <t>TM &gt;50 In</t>
  </si>
  <si>
    <t>TM &gt; 50 Out</t>
  </si>
  <si>
    <t>TM &lt;= 50 In</t>
  </si>
  <si>
    <t>TM &lt;= 50 Out</t>
  </si>
  <si>
    <t>p</t>
  </si>
  <si>
    <t>Before Improvement Data (Observed)</t>
  </si>
  <si>
    <t>Before Improvement Data (Expected)</t>
  </si>
  <si>
    <t>After Improvement Data (Observed)</t>
  </si>
  <si>
    <t>Expected After Improvement Data (</t>
  </si>
  <si>
    <t>All Data (Observed)</t>
  </si>
  <si>
    <t>All Data (Expected)</t>
  </si>
  <si>
    <t>Sample Date</t>
  </si>
  <si>
    <t>Sample #</t>
  </si>
  <si>
    <t>mR</t>
  </si>
  <si>
    <t>mRbar</t>
  </si>
  <si>
    <t>Centerline</t>
  </si>
  <si>
    <t>UCL = D4*mRbar</t>
  </si>
  <si>
    <t>LCL = D3*mRbar</t>
  </si>
  <si>
    <r>
      <t>n</t>
    </r>
    <r>
      <rPr>
        <sz val="11"/>
        <color theme="1"/>
        <rFont val="Calibri"/>
        <family val="2"/>
        <scheme val="minor"/>
      </rPr>
      <t xml:space="preserve"> = 2 from chart</t>
    </r>
  </si>
  <si>
    <t>D4 = 3.27</t>
  </si>
  <si>
    <t>D3 = 0</t>
  </si>
  <si>
    <t>UCL</t>
  </si>
  <si>
    <t>LCL</t>
  </si>
  <si>
    <t>x</t>
  </si>
  <si>
    <t>xbar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</si>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</sst>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[h]:mm:ss;@"/>
    <numFmt numFmtId="166" formatCode="0.00000000000"/>
    <numFmt numFmtId="167" formatCode="0.000000"/>
    <numFmt numFmtId="168" formatCode="0.0000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21" fontId="4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46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1" fontId="4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1" fontId="0" fillId="0" borderId="0" xfId="0" applyNumberFormat="1" applyFont="1" applyAlignment="1">
      <alignment horizontal="center" wrapText="1"/>
    </xf>
    <xf numFmtId="46" fontId="0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6" fontId="0" fillId="0" borderId="0" xfId="0" applyNumberFormat="1" applyAlignment="1">
      <alignment wrapText="1"/>
    </xf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9" fontId="2" fillId="0" borderId="0" xfId="1" applyFont="1" applyAlignment="1">
      <alignment wrapText="1"/>
    </xf>
    <xf numFmtId="9" fontId="5" fillId="0" borderId="0" xfId="1" applyFont="1" applyAlignment="1">
      <alignment horizontal="center" wrapText="1"/>
    </xf>
    <xf numFmtId="9" fontId="0" fillId="0" borderId="0" xfId="1" applyFont="1" applyAlignment="1">
      <alignment wrapText="1"/>
    </xf>
    <xf numFmtId="9" fontId="3" fillId="0" borderId="0" xfId="1" applyFont="1" applyAlignment="1">
      <alignment wrapText="1"/>
    </xf>
    <xf numFmtId="9" fontId="4" fillId="0" borderId="0" xfId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3" xfId="0" applyFont="1" applyFill="1" applyBorder="1" applyAlignment="1">
      <alignment horizontal="centerContinuous"/>
    </xf>
    <xf numFmtId="164" fontId="5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Border="1" applyAlignment="1">
      <alignment wrapText="1"/>
    </xf>
    <xf numFmtId="165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7" xfId="0" applyBorder="1" applyAlignment="1">
      <alignment horizontal="center" wrapText="1"/>
    </xf>
    <xf numFmtId="0" fontId="10" fillId="0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/>
    <xf numFmtId="0" fontId="11" fillId="0" borderId="2" xfId="0" applyFont="1" applyBorder="1"/>
    <xf numFmtId="0" fontId="12" fillId="0" borderId="2" xfId="0" applyFont="1" applyBorder="1" applyAlignment="1">
      <alignment horizontal="center"/>
    </xf>
    <xf numFmtId="18" fontId="11" fillId="0" borderId="0" xfId="0" applyNumberFormat="1" applyFont="1"/>
    <xf numFmtId="0" fontId="11" fillId="0" borderId="0" xfId="0" applyFont="1"/>
    <xf numFmtId="0" fontId="11" fillId="0" borderId="0" xfId="0" applyFont="1" applyFill="1"/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9" fillId="7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9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6" xfId="0" applyFont="1" applyBorder="1"/>
    <xf numFmtId="0" fontId="15" fillId="0" borderId="12" xfId="0" applyFont="1" applyBorder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wrapText="1"/>
    </xf>
    <xf numFmtId="166" fontId="0" fillId="0" borderId="0" xfId="0" applyNumberFormat="1"/>
    <xf numFmtId="0" fontId="5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7" fillId="0" borderId="3" xfId="0" applyFont="1" applyFill="1" applyBorder="1" applyAlignment="1">
      <alignment horizontal="center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8" borderId="1" xfId="0" applyFill="1" applyBorder="1" applyAlignment="1"/>
    <xf numFmtId="0" fontId="0" fillId="8" borderId="0" xfId="0" applyFill="1" applyBorder="1" applyAlignment="1"/>
    <xf numFmtId="0" fontId="0" fillId="9" borderId="0" xfId="0" applyFill="1" applyBorder="1" applyAlignment="1"/>
    <xf numFmtId="168" fontId="0" fillId="0" borderId="0" xfId="0" applyNumberFormat="1"/>
    <xf numFmtId="168" fontId="7" fillId="0" borderId="3" xfId="0" applyNumberFormat="1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  <xf numFmtId="168" fontId="7" fillId="0" borderId="3" xfId="0" applyNumberFormat="1" applyFont="1" applyFill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 wrapText="1"/>
    </xf>
    <xf numFmtId="168" fontId="0" fillId="8" borderId="0" xfId="0" applyNumberFormat="1" applyFill="1" applyBorder="1" applyAlignment="1"/>
    <xf numFmtId="168" fontId="0" fillId="8" borderId="1" xfId="0" applyNumberFormat="1" applyFill="1" applyBorder="1" applyAlignment="1"/>
    <xf numFmtId="0" fontId="0" fillId="10" borderId="0" xfId="0" applyFill="1" applyBorder="1" applyAlignment="1"/>
    <xf numFmtId="164" fontId="0" fillId="0" borderId="0" xfId="0" applyNumberFormat="1" applyBorder="1"/>
    <xf numFmtId="0" fontId="0" fillId="11" borderId="0" xfId="0" applyFill="1" applyBorder="1" applyAlignment="1"/>
    <xf numFmtId="168" fontId="0" fillId="11" borderId="0" xfId="0" applyNumberFormat="1" applyFill="1" applyBorder="1" applyAlignment="1"/>
    <xf numFmtId="168" fontId="0" fillId="2" borderId="0" xfId="0" applyNumberFormat="1" applyFill="1" applyBorder="1" applyAlignment="1"/>
    <xf numFmtId="0" fontId="0" fillId="12" borderId="0" xfId="0" applyFill="1" applyBorder="1" applyAlignment="1"/>
    <xf numFmtId="0" fontId="1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5" fillId="13" borderId="10" xfId="0" applyFont="1" applyFill="1" applyBorder="1"/>
    <xf numFmtId="0" fontId="15" fillId="13" borderId="11" xfId="0" applyFont="1" applyFill="1" applyBorder="1"/>
    <xf numFmtId="0" fontId="15" fillId="13" borderId="9" xfId="0" applyFont="1" applyFill="1" applyBorder="1"/>
    <xf numFmtId="0" fontId="15" fillId="13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0" fillId="0" borderId="0" xfId="0" applyFill="1" applyBorder="1" applyAlignment="1">
      <alignment horizontal="center"/>
    </xf>
    <xf numFmtId="0" fontId="15" fillId="12" borderId="10" xfId="0" applyFont="1" applyFill="1" applyBorder="1"/>
    <xf numFmtId="0" fontId="15" fillId="12" borderId="11" xfId="0" applyFont="1" applyFill="1" applyBorder="1"/>
    <xf numFmtId="0" fontId="15" fillId="12" borderId="9" xfId="0" applyFont="1" applyFill="1" applyBorder="1"/>
    <xf numFmtId="0" fontId="15" fillId="12" borderId="6" xfId="0" applyFont="1" applyFill="1" applyBorder="1"/>
    <xf numFmtId="0" fontId="0" fillId="14" borderId="0" xfId="0" applyFill="1"/>
    <xf numFmtId="0" fontId="4" fillId="0" borderId="13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0" fillId="0" borderId="13" xfId="0" applyBorder="1"/>
    <xf numFmtId="0" fontId="7" fillId="0" borderId="0" xfId="0" applyFont="1"/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8" borderId="0" xfId="0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21" fontId="4" fillId="8" borderId="0" xfId="0" applyNumberFormat="1" applyFont="1" applyFill="1" applyAlignment="1">
      <alignment horizontal="center"/>
    </xf>
    <xf numFmtId="46" fontId="4" fillId="8" borderId="0" xfId="0" applyNumberFormat="1" applyFont="1" applyFill="1" applyAlignment="1">
      <alignment horizontal="center" wrapText="1"/>
    </xf>
    <xf numFmtId="164" fontId="4" fillId="8" borderId="0" xfId="0" applyNumberFormat="1" applyFont="1" applyFill="1" applyAlignment="1">
      <alignment horizontal="center" wrapText="1"/>
    </xf>
    <xf numFmtId="21" fontId="4" fillId="8" borderId="0" xfId="0" applyNumberFormat="1" applyFont="1" applyFill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0" fontId="0" fillId="8" borderId="0" xfId="0" applyFill="1"/>
    <xf numFmtId="46" fontId="4" fillId="15" borderId="0" xfId="0" applyNumberFormat="1" applyFont="1" applyFill="1" applyAlignment="1">
      <alignment horizontal="center" wrapText="1"/>
    </xf>
    <xf numFmtId="164" fontId="4" fillId="15" borderId="0" xfId="0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CC"/>
      <color rgb="FF0711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Data!$AC$3</c:f>
              <c:strCache>
                <c:ptCount val="1"/>
                <c:pt idx="0">
                  <c:v># of Hours</c:v>
                </c:pt>
              </c:strCache>
            </c:strRef>
          </c:tx>
          <c:spPr>
            <a:solidFill>
              <a:srgbClr val="0711D7"/>
            </a:solidFill>
            <a:ln>
              <a:noFill/>
            </a:ln>
            <a:effectLst/>
          </c:spPr>
          <c:invertIfNegative val="0"/>
          <c:cat>
            <c:strRef>
              <c:f>Data!$Z$4:$AA$14</c:f>
              <c:strCache>
                <c:ptCount val="11"/>
                <c:pt idx="0">
                  <c:v>Tack up</c:v>
                </c:pt>
                <c:pt idx="1">
                  <c:v>Bring Tack down</c:v>
                </c:pt>
                <c:pt idx="2">
                  <c:v>Curry/shed blade</c:v>
                </c:pt>
                <c:pt idx="3">
                  <c:v>Mane Tail</c:v>
                </c:pt>
                <c:pt idx="4">
                  <c:v>Hoof oil </c:v>
                </c:pt>
                <c:pt idx="5">
                  <c:v>Hard brush</c:v>
                </c:pt>
                <c:pt idx="6">
                  <c:v>Pick hoofs</c:v>
                </c:pt>
                <c:pt idx="7">
                  <c:v>Soft brush </c:v>
                </c:pt>
                <c:pt idx="8">
                  <c:v>Horse from Paddock</c:v>
                </c:pt>
                <c:pt idx="9">
                  <c:v>Horse to Ring</c:v>
                </c:pt>
                <c:pt idx="10">
                  <c:v>Horse on Xties</c:v>
                </c:pt>
              </c:strCache>
            </c:strRef>
          </c:cat>
          <c:val>
            <c:numRef>
              <c:f>Data!$AC$4:$AC$14</c:f>
              <c:numCache>
                <c:formatCode>0.00</c:formatCode>
                <c:ptCount val="11"/>
                <c:pt idx="0">
                  <c:v>2.4858333333333333</c:v>
                </c:pt>
                <c:pt idx="1">
                  <c:v>2.1769444444444446</c:v>
                </c:pt>
                <c:pt idx="2">
                  <c:v>1.758055555555555</c:v>
                </c:pt>
                <c:pt idx="3">
                  <c:v>1.5836111111111109</c:v>
                </c:pt>
                <c:pt idx="4">
                  <c:v>1.5761111111111115</c:v>
                </c:pt>
                <c:pt idx="5">
                  <c:v>1.4761111111111112</c:v>
                </c:pt>
                <c:pt idx="6">
                  <c:v>1.3199999999999998</c:v>
                </c:pt>
                <c:pt idx="7">
                  <c:v>0.87916666666666665</c:v>
                </c:pt>
                <c:pt idx="8">
                  <c:v>0.79611111111111121</c:v>
                </c:pt>
                <c:pt idx="9">
                  <c:v>0.68416666666666659</c:v>
                </c:pt>
                <c:pt idx="10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3D4-96AF-6B9CDAD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089312"/>
        <c:axId val="563093576"/>
      </c:barChart>
      <c:lineChart>
        <c:grouping val="standard"/>
        <c:varyColors val="0"/>
        <c:ser>
          <c:idx val="2"/>
          <c:order val="1"/>
          <c:tx>
            <c:strRef>
              <c:f>Data!$AD$3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Data!$Z$4:$AA$14</c:f>
              <c:strCache>
                <c:ptCount val="11"/>
                <c:pt idx="0">
                  <c:v>Tack up</c:v>
                </c:pt>
                <c:pt idx="1">
                  <c:v>Bring Tack down</c:v>
                </c:pt>
                <c:pt idx="2">
                  <c:v>Curry/shed blade</c:v>
                </c:pt>
                <c:pt idx="3">
                  <c:v>Mane Tail</c:v>
                </c:pt>
                <c:pt idx="4">
                  <c:v>Hoof oil </c:v>
                </c:pt>
                <c:pt idx="5">
                  <c:v>Hard brush</c:v>
                </c:pt>
                <c:pt idx="6">
                  <c:v>Pick hoofs</c:v>
                </c:pt>
                <c:pt idx="7">
                  <c:v>Soft brush </c:v>
                </c:pt>
                <c:pt idx="8">
                  <c:v>Horse from Paddock</c:v>
                </c:pt>
                <c:pt idx="9">
                  <c:v>Horse to Ring</c:v>
                </c:pt>
                <c:pt idx="10">
                  <c:v>Horse on Xties</c:v>
                </c:pt>
              </c:strCache>
            </c:strRef>
          </c:cat>
          <c:val>
            <c:numRef>
              <c:f>Data!$AD$4:$AD$14</c:f>
              <c:numCache>
                <c:formatCode>0%</c:formatCode>
                <c:ptCount val="11"/>
                <c:pt idx="0">
                  <c:v>0.16805633802816902</c:v>
                </c:pt>
                <c:pt idx="1">
                  <c:v>0.31523004694835682</c:v>
                </c:pt>
                <c:pt idx="2">
                  <c:v>0.43408450704225349</c:v>
                </c:pt>
                <c:pt idx="3">
                  <c:v>0.54114553990610326</c:v>
                </c:pt>
                <c:pt idx="4">
                  <c:v>0.64769953051643192</c:v>
                </c:pt>
                <c:pt idx="5">
                  <c:v>0.74749295774647884</c:v>
                </c:pt>
                <c:pt idx="6">
                  <c:v>0.83673239436619717</c:v>
                </c:pt>
                <c:pt idx="7">
                  <c:v>0.896169014084507</c:v>
                </c:pt>
                <c:pt idx="8">
                  <c:v>0.94999061032863841</c:v>
                </c:pt>
                <c:pt idx="9">
                  <c:v>0.99624413145539892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9-43D4-96AF-6B9CDAD7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97240"/>
        <c:axId val="492395928"/>
      </c:lineChart>
      <c:catAx>
        <c:axId val="5630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93576"/>
        <c:crosses val="autoZero"/>
        <c:auto val="1"/>
        <c:lblAlgn val="ctr"/>
        <c:lblOffset val="100"/>
        <c:noMultiLvlLbl val="0"/>
      </c:catAx>
      <c:valAx>
        <c:axId val="56309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89312"/>
        <c:crosses val="autoZero"/>
        <c:crossBetween val="between"/>
      </c:valAx>
      <c:valAx>
        <c:axId val="4923959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97240"/>
        <c:crosses val="max"/>
        <c:crossBetween val="between"/>
      </c:valAx>
      <c:catAx>
        <c:axId val="492397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395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Post-Improvement</a:t>
            </a:r>
            <a:r>
              <a:rPr lang="en-US" baseline="0"/>
              <a:t> Pareto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Data!$I$45</c:f>
              <c:strCache>
                <c:ptCount val="1"/>
                <c:pt idx="0">
                  <c:v># of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Data!$F$46:$F$56</c:f>
              <c:strCache>
                <c:ptCount val="11"/>
                <c:pt idx="0">
                  <c:v>Tack up</c:v>
                </c:pt>
                <c:pt idx="1">
                  <c:v>Mane Tail</c:v>
                </c:pt>
                <c:pt idx="2">
                  <c:v>Bring Tack down</c:v>
                </c:pt>
                <c:pt idx="3">
                  <c:v>Curry/shed blade</c:v>
                </c:pt>
                <c:pt idx="4">
                  <c:v>Hard brush</c:v>
                </c:pt>
                <c:pt idx="5">
                  <c:v>Pick hoofs</c:v>
                </c:pt>
                <c:pt idx="6">
                  <c:v>Soft brush </c:v>
                </c:pt>
                <c:pt idx="7">
                  <c:v>Horse to Ring</c:v>
                </c:pt>
                <c:pt idx="8">
                  <c:v>Horse from Paddock</c:v>
                </c:pt>
                <c:pt idx="9">
                  <c:v>Horse on Xties</c:v>
                </c:pt>
                <c:pt idx="10">
                  <c:v>Hoof oil </c:v>
                </c:pt>
              </c:strCache>
            </c:strRef>
          </c:cat>
          <c:val>
            <c:numRef>
              <c:f>Data!$I$46:$I$56</c:f>
              <c:numCache>
                <c:formatCode>0.00</c:formatCode>
                <c:ptCount val="11"/>
                <c:pt idx="0">
                  <c:v>1.6413888888888888</c:v>
                </c:pt>
                <c:pt idx="1">
                  <c:v>1.3725000000000001</c:v>
                </c:pt>
                <c:pt idx="2">
                  <c:v>1.2841666666666667</c:v>
                </c:pt>
                <c:pt idx="3">
                  <c:v>1.2622222222222224</c:v>
                </c:pt>
                <c:pt idx="4">
                  <c:v>1.1575000000000002</c:v>
                </c:pt>
                <c:pt idx="5">
                  <c:v>1.0458333333333334</c:v>
                </c:pt>
                <c:pt idx="6">
                  <c:v>0.5838888888888889</c:v>
                </c:pt>
                <c:pt idx="7">
                  <c:v>0.46305555555555555</c:v>
                </c:pt>
                <c:pt idx="8">
                  <c:v>0.16972222222222222</c:v>
                </c:pt>
                <c:pt idx="9">
                  <c:v>9.9722222222222212E-2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FAD-9D5B-C22E6033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23152"/>
        <c:axId val="591324136"/>
      </c:barChart>
      <c:lineChart>
        <c:grouping val="standard"/>
        <c:varyColors val="0"/>
        <c:ser>
          <c:idx val="1"/>
          <c:order val="1"/>
          <c:tx>
            <c:strRef>
              <c:f>Data!$J$45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Data!$F$46:$F$56</c:f>
              <c:strCache>
                <c:ptCount val="11"/>
                <c:pt idx="0">
                  <c:v>Tack up</c:v>
                </c:pt>
                <c:pt idx="1">
                  <c:v>Mane Tail</c:v>
                </c:pt>
                <c:pt idx="2">
                  <c:v>Bring Tack down</c:v>
                </c:pt>
                <c:pt idx="3">
                  <c:v>Curry/shed blade</c:v>
                </c:pt>
                <c:pt idx="4">
                  <c:v>Hard brush</c:v>
                </c:pt>
                <c:pt idx="5">
                  <c:v>Pick hoofs</c:v>
                </c:pt>
                <c:pt idx="6">
                  <c:v>Soft brush </c:v>
                </c:pt>
                <c:pt idx="7">
                  <c:v>Horse to Ring</c:v>
                </c:pt>
                <c:pt idx="8">
                  <c:v>Horse from Paddock</c:v>
                </c:pt>
                <c:pt idx="9">
                  <c:v>Horse on Xties</c:v>
                </c:pt>
                <c:pt idx="10">
                  <c:v>Hoof oil </c:v>
                </c:pt>
              </c:strCache>
            </c:strRef>
          </c:cat>
          <c:val>
            <c:numRef>
              <c:f>Data!$J$46:$J$56</c:f>
              <c:numCache>
                <c:formatCode>0%</c:formatCode>
                <c:ptCount val="11"/>
                <c:pt idx="0">
                  <c:v>0.18076970141948115</c:v>
                </c:pt>
                <c:pt idx="1">
                  <c:v>0.33192608908467935</c:v>
                </c:pt>
                <c:pt idx="2">
                  <c:v>0.47335413607440036</c:v>
                </c:pt>
                <c:pt idx="3">
                  <c:v>0.61236539402838963</c:v>
                </c:pt>
                <c:pt idx="4">
                  <c:v>0.73984336759667158</c:v>
                </c:pt>
                <c:pt idx="5">
                  <c:v>0.85502325012236913</c:v>
                </c:pt>
                <c:pt idx="6">
                  <c:v>0.91932819383259923</c:v>
                </c:pt>
                <c:pt idx="7">
                  <c:v>0.970325501713167</c:v>
                </c:pt>
                <c:pt idx="8">
                  <c:v>0.9890173764072443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A-4FAD-9D5B-C22E6033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56496"/>
        <c:axId val="591678936"/>
      </c:lineChart>
      <c:catAx>
        <c:axId val="5913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4136"/>
        <c:crosses val="autoZero"/>
        <c:auto val="1"/>
        <c:lblAlgn val="ctr"/>
        <c:lblOffset val="100"/>
        <c:noMultiLvlLbl val="0"/>
      </c:catAx>
      <c:valAx>
        <c:axId val="5913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3152"/>
        <c:crosses val="autoZero"/>
        <c:crossBetween val="between"/>
      </c:valAx>
      <c:valAx>
        <c:axId val="59167893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6496"/>
        <c:crosses val="max"/>
        <c:crossBetween val="between"/>
      </c:valAx>
      <c:catAx>
        <c:axId val="56105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678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(xMR)</a:t>
            </a:r>
            <a:r>
              <a:rPr lang="en-US" baseline="0"/>
              <a:t> Chart for Improved Process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Chart'!$G$23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Chart'!$G$24:$G$36</c:f>
              <c:numCache>
                <c:formatCode>General</c:formatCode>
                <c:ptCount val="13"/>
                <c:pt idx="1">
                  <c:v>1.0666666666666629</c:v>
                </c:pt>
                <c:pt idx="2">
                  <c:v>10.733333333333327</c:v>
                </c:pt>
                <c:pt idx="3">
                  <c:v>10.283333333333331</c:v>
                </c:pt>
                <c:pt idx="4">
                  <c:v>0.48333333333334139</c:v>
                </c:pt>
                <c:pt idx="5">
                  <c:v>0.88333333333334707</c:v>
                </c:pt>
                <c:pt idx="6">
                  <c:v>2.2166666666666615</c:v>
                </c:pt>
                <c:pt idx="7">
                  <c:v>1.2333333333333343</c:v>
                </c:pt>
                <c:pt idx="8">
                  <c:v>8.7999999999999972</c:v>
                </c:pt>
                <c:pt idx="9">
                  <c:v>14.43333333333333</c:v>
                </c:pt>
                <c:pt idx="10">
                  <c:v>6.3500000000000014</c:v>
                </c:pt>
                <c:pt idx="11">
                  <c:v>1.8666666666666671</c:v>
                </c:pt>
                <c:pt idx="12">
                  <c:v>3.8000000000000043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7AC-917D-2082BC5A8AF6}"/>
            </c:ext>
          </c:extLst>
        </c:ser>
        <c:ser>
          <c:idx val="1"/>
          <c:order val="1"/>
          <c:tx>
            <c:strRef>
              <c:f>'Control Chart'!$H$23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Chart'!$H$24:$H$36</c:f>
              <c:numCache>
                <c:formatCode>General</c:formatCode>
                <c:ptCount val="13"/>
                <c:pt idx="0">
                  <c:v>5.1791666666666671</c:v>
                </c:pt>
                <c:pt idx="1">
                  <c:v>5.1791666666666671</c:v>
                </c:pt>
                <c:pt idx="2">
                  <c:v>5.1791666666666671</c:v>
                </c:pt>
                <c:pt idx="3">
                  <c:v>5.1791666666666671</c:v>
                </c:pt>
                <c:pt idx="4">
                  <c:v>5.1791666666666671</c:v>
                </c:pt>
                <c:pt idx="5">
                  <c:v>5.1791666666666671</c:v>
                </c:pt>
                <c:pt idx="6">
                  <c:v>5.1791666666666671</c:v>
                </c:pt>
                <c:pt idx="7">
                  <c:v>5.1791666666666671</c:v>
                </c:pt>
                <c:pt idx="8">
                  <c:v>5.1791666666666671</c:v>
                </c:pt>
                <c:pt idx="9">
                  <c:v>5.1791666666666671</c:v>
                </c:pt>
                <c:pt idx="10">
                  <c:v>5.1791666666666671</c:v>
                </c:pt>
                <c:pt idx="11">
                  <c:v>5.1791666666666671</c:v>
                </c:pt>
                <c:pt idx="12">
                  <c:v>5.1791666666666671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F-47AC-917D-2082BC5A8AF6}"/>
            </c:ext>
          </c:extLst>
        </c:ser>
        <c:ser>
          <c:idx val="2"/>
          <c:order val="2"/>
          <c:tx>
            <c:strRef>
              <c:f>'Control Chart'!$I$23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Chart'!$I$24:$I$36</c:f>
              <c:numCache>
                <c:formatCode>General</c:formatCode>
                <c:ptCount val="13"/>
                <c:pt idx="0">
                  <c:v>16.935875000000003</c:v>
                </c:pt>
                <c:pt idx="1">
                  <c:v>16.935875000000003</c:v>
                </c:pt>
                <c:pt idx="2">
                  <c:v>16.935875000000003</c:v>
                </c:pt>
                <c:pt idx="3">
                  <c:v>16.935875000000003</c:v>
                </c:pt>
                <c:pt idx="4">
                  <c:v>16.935875000000003</c:v>
                </c:pt>
                <c:pt idx="5">
                  <c:v>16.935875000000003</c:v>
                </c:pt>
                <c:pt idx="6">
                  <c:v>16.935875000000003</c:v>
                </c:pt>
                <c:pt idx="7">
                  <c:v>16.935875000000003</c:v>
                </c:pt>
                <c:pt idx="8">
                  <c:v>16.935875000000003</c:v>
                </c:pt>
                <c:pt idx="9">
                  <c:v>16.935875000000003</c:v>
                </c:pt>
                <c:pt idx="10">
                  <c:v>16.935875000000003</c:v>
                </c:pt>
                <c:pt idx="11">
                  <c:v>16.935875000000003</c:v>
                </c:pt>
                <c:pt idx="12">
                  <c:v>16.935875000000003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F-47AC-917D-2082BC5A8AF6}"/>
            </c:ext>
          </c:extLst>
        </c:ser>
        <c:ser>
          <c:idx val="3"/>
          <c:order val="3"/>
          <c:tx>
            <c:strRef>
              <c:f>'Control Chart'!$J$23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Chart'!$J$24:$J$36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F-47AC-917D-2082BC5A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49120"/>
        <c:axId val="570253384"/>
      </c:lineChart>
      <c:catAx>
        <c:axId val="57024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53384"/>
        <c:crosses val="autoZero"/>
        <c:auto val="1"/>
        <c:lblAlgn val="ctr"/>
        <c:lblOffset val="100"/>
        <c:noMultiLvlLbl val="0"/>
      </c:catAx>
      <c:valAx>
        <c:axId val="57025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Moving Range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Chart'!$M$23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Chart'!$M$24:$M$36</c:f>
              <c:numCache>
                <c:formatCode>General</c:formatCode>
                <c:ptCount val="13"/>
                <c:pt idx="0">
                  <c:v>40.483333333333334</c:v>
                </c:pt>
                <c:pt idx="1">
                  <c:v>39.416666666666671</c:v>
                </c:pt>
                <c:pt idx="2">
                  <c:v>50.15</c:v>
                </c:pt>
                <c:pt idx="3">
                  <c:v>39.866666666666667</c:v>
                </c:pt>
                <c:pt idx="4">
                  <c:v>39.383333333333326</c:v>
                </c:pt>
                <c:pt idx="5">
                  <c:v>40.266666666666673</c:v>
                </c:pt>
                <c:pt idx="6">
                  <c:v>42.483333333333334</c:v>
                </c:pt>
                <c:pt idx="7">
                  <c:v>41.25</c:v>
                </c:pt>
                <c:pt idx="8">
                  <c:v>50.05</c:v>
                </c:pt>
                <c:pt idx="9">
                  <c:v>35.616666666666667</c:v>
                </c:pt>
                <c:pt idx="10">
                  <c:v>41.966666666666669</c:v>
                </c:pt>
                <c:pt idx="11">
                  <c:v>43.833333333333336</c:v>
                </c:pt>
                <c:pt idx="12">
                  <c:v>40.033333333333331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B-446C-889B-2CCF68B545C8}"/>
            </c:ext>
          </c:extLst>
        </c:ser>
        <c:ser>
          <c:idx val="1"/>
          <c:order val="1"/>
          <c:tx>
            <c:strRef>
              <c:f>'Control Chart'!$N$23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Chart'!$N$24:$N$36</c:f>
              <c:numCache>
                <c:formatCode>General</c:formatCode>
                <c:ptCount val="13"/>
                <c:pt idx="0">
                  <c:v>41.907692307692315</c:v>
                </c:pt>
                <c:pt idx="1">
                  <c:v>41.907692307692315</c:v>
                </c:pt>
                <c:pt idx="2">
                  <c:v>41.907692307692315</c:v>
                </c:pt>
                <c:pt idx="3">
                  <c:v>41.907692307692315</c:v>
                </c:pt>
                <c:pt idx="4">
                  <c:v>41.907692307692315</c:v>
                </c:pt>
                <c:pt idx="5">
                  <c:v>41.907692307692315</c:v>
                </c:pt>
                <c:pt idx="6">
                  <c:v>41.907692307692315</c:v>
                </c:pt>
                <c:pt idx="7">
                  <c:v>41.907692307692315</c:v>
                </c:pt>
                <c:pt idx="8">
                  <c:v>41.907692307692315</c:v>
                </c:pt>
                <c:pt idx="9">
                  <c:v>41.907692307692315</c:v>
                </c:pt>
                <c:pt idx="10">
                  <c:v>41.907692307692315</c:v>
                </c:pt>
                <c:pt idx="11">
                  <c:v>41.907692307692315</c:v>
                </c:pt>
                <c:pt idx="12">
                  <c:v>41.907692307692315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B-446C-889B-2CCF68B545C8}"/>
            </c:ext>
          </c:extLst>
        </c:ser>
        <c:ser>
          <c:idx val="2"/>
          <c:order val="2"/>
          <c:tx>
            <c:strRef>
              <c:f>'Control Chart'!$O$23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Chart'!$O$24:$O$36</c:f>
              <c:numCache>
                <c:formatCode>General</c:formatCode>
                <c:ptCount val="13"/>
                <c:pt idx="0">
                  <c:v>55.68427564102565</c:v>
                </c:pt>
                <c:pt idx="1">
                  <c:v>55.68427564102565</c:v>
                </c:pt>
                <c:pt idx="2">
                  <c:v>55.68427564102565</c:v>
                </c:pt>
                <c:pt idx="3">
                  <c:v>55.68427564102565</c:v>
                </c:pt>
                <c:pt idx="4">
                  <c:v>55.68427564102565</c:v>
                </c:pt>
                <c:pt idx="5">
                  <c:v>55.68427564102565</c:v>
                </c:pt>
                <c:pt idx="6">
                  <c:v>55.68427564102565</c:v>
                </c:pt>
                <c:pt idx="7">
                  <c:v>55.68427564102565</c:v>
                </c:pt>
                <c:pt idx="8">
                  <c:v>55.68427564102565</c:v>
                </c:pt>
                <c:pt idx="9">
                  <c:v>55.68427564102565</c:v>
                </c:pt>
                <c:pt idx="10">
                  <c:v>55.68427564102565</c:v>
                </c:pt>
                <c:pt idx="11">
                  <c:v>55.68427564102565</c:v>
                </c:pt>
                <c:pt idx="12">
                  <c:v>55.68427564102565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B-446C-889B-2CCF68B545C8}"/>
            </c:ext>
          </c:extLst>
        </c:ser>
        <c:ser>
          <c:idx val="3"/>
          <c:order val="3"/>
          <c:tx>
            <c:strRef>
              <c:f>'Control Chart'!$P$23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Chart'!$P$24:$P$36</c:f>
              <c:numCache>
                <c:formatCode>General</c:formatCode>
                <c:ptCount val="13"/>
                <c:pt idx="0">
                  <c:v>28.13110897435898</c:v>
                </c:pt>
                <c:pt idx="1">
                  <c:v>28.13110897435898</c:v>
                </c:pt>
                <c:pt idx="2">
                  <c:v>28.13110897435898</c:v>
                </c:pt>
                <c:pt idx="3">
                  <c:v>28.13110897435898</c:v>
                </c:pt>
                <c:pt idx="4">
                  <c:v>28.13110897435898</c:v>
                </c:pt>
                <c:pt idx="5">
                  <c:v>28.13110897435898</c:v>
                </c:pt>
                <c:pt idx="6">
                  <c:v>28.13110897435898</c:v>
                </c:pt>
                <c:pt idx="7">
                  <c:v>28.13110897435898</c:v>
                </c:pt>
                <c:pt idx="8">
                  <c:v>28.13110897435898</c:v>
                </c:pt>
                <c:pt idx="9">
                  <c:v>28.13110897435898</c:v>
                </c:pt>
                <c:pt idx="10">
                  <c:v>28.13110897435898</c:v>
                </c:pt>
                <c:pt idx="11">
                  <c:v>28.13110897435898</c:v>
                </c:pt>
                <c:pt idx="12">
                  <c:v>28.13110897435898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B-446C-889B-2CCF68B5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604552"/>
        <c:axId val="459606192"/>
      </c:lineChart>
      <c:catAx>
        <c:axId val="45960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06192"/>
        <c:crosses val="autoZero"/>
        <c:auto val="1"/>
        <c:lblAlgn val="ctr"/>
        <c:lblOffset val="100"/>
        <c:noMultiLvlLbl val="0"/>
      </c:catAx>
      <c:valAx>
        <c:axId val="459606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0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Chart for 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Control Chart'!$G$3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Chart'!$G$4:$G$33</c:f>
              <c:numCache>
                <c:formatCode>General</c:formatCode>
                <c:ptCount val="30"/>
                <c:pt idx="1">
                  <c:v>7.8333333333333286</c:v>
                </c:pt>
                <c:pt idx="2">
                  <c:v>2.5166666666666657</c:v>
                </c:pt>
                <c:pt idx="3">
                  <c:v>10.949999999999989</c:v>
                </c:pt>
                <c:pt idx="4">
                  <c:v>22.93333333333333</c:v>
                </c:pt>
                <c:pt idx="5">
                  <c:v>17.600000000000001</c:v>
                </c:pt>
                <c:pt idx="6">
                  <c:v>10.5</c:v>
                </c:pt>
                <c:pt idx="7">
                  <c:v>7.9000000000000057</c:v>
                </c:pt>
                <c:pt idx="8">
                  <c:v>4.2999999999999901</c:v>
                </c:pt>
                <c:pt idx="9">
                  <c:v>7.6833333333333158</c:v>
                </c:pt>
                <c:pt idx="10">
                  <c:v>0.3333333333333286</c:v>
                </c:pt>
                <c:pt idx="11">
                  <c:v>0.54999999999999716</c:v>
                </c:pt>
                <c:pt idx="12">
                  <c:v>0.76666666666667282</c:v>
                </c:pt>
                <c:pt idx="13">
                  <c:v>1.6499999999999986</c:v>
                </c:pt>
                <c:pt idx="14">
                  <c:v>2.7666666666666657</c:v>
                </c:pt>
                <c:pt idx="15">
                  <c:v>6.6999999999999957</c:v>
                </c:pt>
                <c:pt idx="16">
                  <c:v>3.7166666666666757</c:v>
                </c:pt>
                <c:pt idx="17">
                  <c:v>8.5499999999999901</c:v>
                </c:pt>
                <c:pt idx="18">
                  <c:v>1.0666666666666629</c:v>
                </c:pt>
                <c:pt idx="19">
                  <c:v>10.733333333333327</c:v>
                </c:pt>
                <c:pt idx="20">
                  <c:v>10.283333333333331</c:v>
                </c:pt>
                <c:pt idx="21">
                  <c:v>0.48333333333334139</c:v>
                </c:pt>
                <c:pt idx="22">
                  <c:v>0.88333333333334707</c:v>
                </c:pt>
                <c:pt idx="23">
                  <c:v>2.2166666666666615</c:v>
                </c:pt>
                <c:pt idx="24">
                  <c:v>1.2333333333333343</c:v>
                </c:pt>
                <c:pt idx="25">
                  <c:v>8.7999999999999972</c:v>
                </c:pt>
                <c:pt idx="26">
                  <c:v>14.43333333333333</c:v>
                </c:pt>
                <c:pt idx="27">
                  <c:v>6.3500000000000014</c:v>
                </c:pt>
                <c:pt idx="28">
                  <c:v>1.8666666666666671</c:v>
                </c:pt>
                <c:pt idx="29">
                  <c:v>3.8000000000000043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0-4651-A0DB-79DDA52DD723}"/>
            </c:ext>
          </c:extLst>
        </c:ser>
        <c:ser>
          <c:idx val="1"/>
          <c:order val="1"/>
          <c:tx>
            <c:strRef>
              <c:f>'All Data Control Chart'!$H$3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Chart'!$H$4:$H$33</c:f>
              <c:numCache>
                <c:formatCode>General</c:formatCode>
                <c:ptCount val="30"/>
                <c:pt idx="0">
                  <c:v>6.1862068965517247</c:v>
                </c:pt>
                <c:pt idx="1">
                  <c:v>6.1862068965517247</c:v>
                </c:pt>
                <c:pt idx="2">
                  <c:v>6.1862068965517247</c:v>
                </c:pt>
                <c:pt idx="3">
                  <c:v>6.1862068965517247</c:v>
                </c:pt>
                <c:pt idx="4">
                  <c:v>6.1862068965517247</c:v>
                </c:pt>
                <c:pt idx="5">
                  <c:v>6.1862068965517247</c:v>
                </c:pt>
                <c:pt idx="6">
                  <c:v>6.1862068965517247</c:v>
                </c:pt>
                <c:pt idx="7">
                  <c:v>6.1862068965517247</c:v>
                </c:pt>
                <c:pt idx="8">
                  <c:v>6.1862068965517247</c:v>
                </c:pt>
                <c:pt idx="9">
                  <c:v>6.1862068965517247</c:v>
                </c:pt>
                <c:pt idx="10">
                  <c:v>6.1862068965517247</c:v>
                </c:pt>
                <c:pt idx="11">
                  <c:v>6.1862068965517247</c:v>
                </c:pt>
                <c:pt idx="12">
                  <c:v>6.1862068965517247</c:v>
                </c:pt>
                <c:pt idx="13">
                  <c:v>6.1862068965517247</c:v>
                </c:pt>
                <c:pt idx="14">
                  <c:v>6.1862068965517247</c:v>
                </c:pt>
                <c:pt idx="15">
                  <c:v>6.1862068965517247</c:v>
                </c:pt>
                <c:pt idx="16">
                  <c:v>6.1862068965517247</c:v>
                </c:pt>
                <c:pt idx="17">
                  <c:v>6.1862068965517247</c:v>
                </c:pt>
                <c:pt idx="18">
                  <c:v>6.1862068965517247</c:v>
                </c:pt>
                <c:pt idx="19">
                  <c:v>6.1862068965517247</c:v>
                </c:pt>
                <c:pt idx="20">
                  <c:v>6.1862068965517247</c:v>
                </c:pt>
                <c:pt idx="21">
                  <c:v>6.1862068965517247</c:v>
                </c:pt>
                <c:pt idx="22">
                  <c:v>6.1862068965517247</c:v>
                </c:pt>
                <c:pt idx="23">
                  <c:v>6.1862068965517247</c:v>
                </c:pt>
                <c:pt idx="24">
                  <c:v>6.1862068965517247</c:v>
                </c:pt>
                <c:pt idx="25">
                  <c:v>6.1862068965517247</c:v>
                </c:pt>
                <c:pt idx="26">
                  <c:v>6.1862068965517247</c:v>
                </c:pt>
                <c:pt idx="27">
                  <c:v>6.1862068965517247</c:v>
                </c:pt>
                <c:pt idx="28">
                  <c:v>6.1862068965517247</c:v>
                </c:pt>
                <c:pt idx="29">
                  <c:v>6.1862068965517247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0-4651-A0DB-79DDA52DD723}"/>
            </c:ext>
          </c:extLst>
        </c:ser>
        <c:ser>
          <c:idx val="2"/>
          <c:order val="2"/>
          <c:tx>
            <c:strRef>
              <c:f>'All Data Control Chart'!$I$3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Chart'!$I$4:$I$33</c:f>
              <c:numCache>
                <c:formatCode>General</c:formatCode>
                <c:ptCount val="30"/>
                <c:pt idx="0">
                  <c:v>20.228896551724141</c:v>
                </c:pt>
                <c:pt idx="1">
                  <c:v>20.228896551724141</c:v>
                </c:pt>
                <c:pt idx="2">
                  <c:v>20.228896551724141</c:v>
                </c:pt>
                <c:pt idx="3">
                  <c:v>20.228896551724141</c:v>
                </c:pt>
                <c:pt idx="4">
                  <c:v>20.228896551724141</c:v>
                </c:pt>
                <c:pt idx="5">
                  <c:v>20.228896551724141</c:v>
                </c:pt>
                <c:pt idx="6">
                  <c:v>20.228896551724141</c:v>
                </c:pt>
                <c:pt idx="7">
                  <c:v>20.228896551724141</c:v>
                </c:pt>
                <c:pt idx="8">
                  <c:v>20.228896551724141</c:v>
                </c:pt>
                <c:pt idx="9">
                  <c:v>20.228896551724141</c:v>
                </c:pt>
                <c:pt idx="10">
                  <c:v>20.228896551724141</c:v>
                </c:pt>
                <c:pt idx="11">
                  <c:v>20.228896551724141</c:v>
                </c:pt>
                <c:pt idx="12">
                  <c:v>20.228896551724141</c:v>
                </c:pt>
                <c:pt idx="13">
                  <c:v>20.228896551724141</c:v>
                </c:pt>
                <c:pt idx="14">
                  <c:v>20.228896551724141</c:v>
                </c:pt>
                <c:pt idx="15">
                  <c:v>20.228896551724141</c:v>
                </c:pt>
                <c:pt idx="16">
                  <c:v>20.228896551724141</c:v>
                </c:pt>
                <c:pt idx="17">
                  <c:v>20.228896551724141</c:v>
                </c:pt>
                <c:pt idx="18">
                  <c:v>20.228896551724141</c:v>
                </c:pt>
                <c:pt idx="19">
                  <c:v>20.228896551724141</c:v>
                </c:pt>
                <c:pt idx="20">
                  <c:v>20.228896551724141</c:v>
                </c:pt>
                <c:pt idx="21">
                  <c:v>20.228896551724141</c:v>
                </c:pt>
                <c:pt idx="22">
                  <c:v>20.228896551724141</c:v>
                </c:pt>
                <c:pt idx="23">
                  <c:v>20.228896551724141</c:v>
                </c:pt>
                <c:pt idx="24">
                  <c:v>20.228896551724141</c:v>
                </c:pt>
                <c:pt idx="25">
                  <c:v>20.228896551724141</c:v>
                </c:pt>
                <c:pt idx="26">
                  <c:v>20.228896551724141</c:v>
                </c:pt>
                <c:pt idx="27">
                  <c:v>20.228896551724141</c:v>
                </c:pt>
                <c:pt idx="28">
                  <c:v>20.228896551724141</c:v>
                </c:pt>
                <c:pt idx="29">
                  <c:v>20.228896551724141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0-4651-A0DB-79DDA52DD723}"/>
            </c:ext>
          </c:extLst>
        </c:ser>
        <c:ser>
          <c:idx val="3"/>
          <c:order val="3"/>
          <c:tx>
            <c:strRef>
              <c:f>'All Data Control Chart'!$J$3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Chart'!$J$4:$J$33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0-4651-A0DB-79DDA52D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67808"/>
        <c:axId val="457874040"/>
      </c:lineChart>
      <c:catAx>
        <c:axId val="4578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4040"/>
        <c:crosses val="autoZero"/>
        <c:auto val="1"/>
        <c:lblAlgn val="ctr"/>
        <c:lblOffset val="100"/>
        <c:noMultiLvlLbl val="0"/>
      </c:catAx>
      <c:valAx>
        <c:axId val="4578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Moving Range Chart for 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 Control Chart'!$M$3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Chart'!$M$4:$M$33</c:f>
              <c:numCache>
                <c:formatCode>General</c:formatCode>
                <c:ptCount val="30"/>
                <c:pt idx="0">
                  <c:v>49.9</c:v>
                </c:pt>
                <c:pt idx="1">
                  <c:v>57.733333333333327</c:v>
                </c:pt>
                <c:pt idx="2">
                  <c:v>55.216666666666661</c:v>
                </c:pt>
                <c:pt idx="3">
                  <c:v>44.266666666666673</c:v>
                </c:pt>
                <c:pt idx="4">
                  <c:v>67.2</c:v>
                </c:pt>
                <c:pt idx="5">
                  <c:v>49.6</c:v>
                </c:pt>
                <c:pt idx="6">
                  <c:v>60.1</c:v>
                </c:pt>
                <c:pt idx="7">
                  <c:v>52.199999999999996</c:v>
                </c:pt>
                <c:pt idx="8">
                  <c:v>56.499999999999986</c:v>
                </c:pt>
                <c:pt idx="9">
                  <c:v>48.81666666666667</c:v>
                </c:pt>
                <c:pt idx="10">
                  <c:v>49.15</c:v>
                </c:pt>
                <c:pt idx="11">
                  <c:v>49.699999999999996</c:v>
                </c:pt>
                <c:pt idx="12">
                  <c:v>50.466666666666669</c:v>
                </c:pt>
                <c:pt idx="13">
                  <c:v>48.81666666666667</c:v>
                </c:pt>
                <c:pt idx="14">
                  <c:v>46.050000000000004</c:v>
                </c:pt>
                <c:pt idx="15">
                  <c:v>52.75</c:v>
                </c:pt>
                <c:pt idx="16">
                  <c:v>49.033333333333324</c:v>
                </c:pt>
                <c:pt idx="17">
                  <c:v>40.483333333333334</c:v>
                </c:pt>
                <c:pt idx="18">
                  <c:v>39.416666666666671</c:v>
                </c:pt>
                <c:pt idx="19">
                  <c:v>50.15</c:v>
                </c:pt>
                <c:pt idx="20">
                  <c:v>39.866666666666667</c:v>
                </c:pt>
                <c:pt idx="21">
                  <c:v>39.383333333333326</c:v>
                </c:pt>
                <c:pt idx="22">
                  <c:v>40.266666666666673</c:v>
                </c:pt>
                <c:pt idx="23">
                  <c:v>42.483333333333334</c:v>
                </c:pt>
                <c:pt idx="24">
                  <c:v>41.25</c:v>
                </c:pt>
                <c:pt idx="25">
                  <c:v>50.05</c:v>
                </c:pt>
                <c:pt idx="26">
                  <c:v>35.616666666666667</c:v>
                </c:pt>
                <c:pt idx="27">
                  <c:v>41.966666666666669</c:v>
                </c:pt>
                <c:pt idx="28">
                  <c:v>43.833333333333336</c:v>
                </c:pt>
                <c:pt idx="29">
                  <c:v>40.033333333333331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A-47A2-8831-7F27CD031FBF}"/>
            </c:ext>
          </c:extLst>
        </c:ser>
        <c:ser>
          <c:idx val="1"/>
          <c:order val="1"/>
          <c:tx>
            <c:strRef>
              <c:f>'All Data Control Chart'!$N$3</c:f>
              <c:strCache>
                <c:ptCount val="1"/>
                <c:pt idx="0">
                  <c:v>Centerline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Chart'!$N$4:$N$33</c:f>
              <c:numCache>
                <c:formatCode>General</c:formatCode>
                <c:ptCount val="30"/>
                <c:pt idx="0">
                  <c:v>47.743333333333332</c:v>
                </c:pt>
                <c:pt idx="1">
                  <c:v>47.743333333333332</c:v>
                </c:pt>
                <c:pt idx="2">
                  <c:v>47.743333333333332</c:v>
                </c:pt>
                <c:pt idx="3">
                  <c:v>47.743333333333332</c:v>
                </c:pt>
                <c:pt idx="4">
                  <c:v>47.743333333333332</c:v>
                </c:pt>
                <c:pt idx="5">
                  <c:v>47.743333333333332</c:v>
                </c:pt>
                <c:pt idx="6">
                  <c:v>47.743333333333332</c:v>
                </c:pt>
                <c:pt idx="7">
                  <c:v>47.743333333333332</c:v>
                </c:pt>
                <c:pt idx="8">
                  <c:v>47.743333333333332</c:v>
                </c:pt>
                <c:pt idx="9">
                  <c:v>47.743333333333332</c:v>
                </c:pt>
                <c:pt idx="10">
                  <c:v>47.743333333333332</c:v>
                </c:pt>
                <c:pt idx="11">
                  <c:v>47.743333333333332</c:v>
                </c:pt>
                <c:pt idx="12">
                  <c:v>47.743333333333332</c:v>
                </c:pt>
                <c:pt idx="13">
                  <c:v>47.743333333333332</c:v>
                </c:pt>
                <c:pt idx="14">
                  <c:v>47.743333333333332</c:v>
                </c:pt>
                <c:pt idx="15">
                  <c:v>47.743333333333332</c:v>
                </c:pt>
                <c:pt idx="16">
                  <c:v>47.743333333333332</c:v>
                </c:pt>
                <c:pt idx="17">
                  <c:v>47.743333333333332</c:v>
                </c:pt>
                <c:pt idx="18">
                  <c:v>47.743333333333332</c:v>
                </c:pt>
                <c:pt idx="19">
                  <c:v>47.743333333333332</c:v>
                </c:pt>
                <c:pt idx="20">
                  <c:v>47.743333333333332</c:v>
                </c:pt>
                <c:pt idx="21">
                  <c:v>47.743333333333332</c:v>
                </c:pt>
                <c:pt idx="22">
                  <c:v>47.743333333333332</c:v>
                </c:pt>
                <c:pt idx="23">
                  <c:v>47.743333333333332</c:v>
                </c:pt>
                <c:pt idx="24">
                  <c:v>47.743333333333332</c:v>
                </c:pt>
                <c:pt idx="25">
                  <c:v>47.743333333333332</c:v>
                </c:pt>
                <c:pt idx="26">
                  <c:v>47.743333333333332</c:v>
                </c:pt>
                <c:pt idx="27">
                  <c:v>47.743333333333332</c:v>
                </c:pt>
                <c:pt idx="28">
                  <c:v>47.743333333333332</c:v>
                </c:pt>
                <c:pt idx="29">
                  <c:v>47.743333333333332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A-47A2-8831-7F27CD031FBF}"/>
            </c:ext>
          </c:extLst>
        </c:ser>
        <c:ser>
          <c:idx val="2"/>
          <c:order val="2"/>
          <c:tx>
            <c:strRef>
              <c:f>'All Data Control Chart'!$O$3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Chart'!$O$4:$O$33</c:f>
              <c:numCache>
                <c:formatCode>General</c:formatCode>
                <c:ptCount val="30"/>
                <c:pt idx="0">
                  <c:v>64.19864367816092</c:v>
                </c:pt>
                <c:pt idx="1">
                  <c:v>64.19864367816092</c:v>
                </c:pt>
                <c:pt idx="2">
                  <c:v>64.19864367816092</c:v>
                </c:pt>
                <c:pt idx="3">
                  <c:v>64.19864367816092</c:v>
                </c:pt>
                <c:pt idx="4">
                  <c:v>64.19864367816092</c:v>
                </c:pt>
                <c:pt idx="5">
                  <c:v>64.19864367816092</c:v>
                </c:pt>
                <c:pt idx="6">
                  <c:v>64.19864367816092</c:v>
                </c:pt>
                <c:pt idx="7">
                  <c:v>64.19864367816092</c:v>
                </c:pt>
                <c:pt idx="8">
                  <c:v>64.19864367816092</c:v>
                </c:pt>
                <c:pt idx="9">
                  <c:v>64.19864367816092</c:v>
                </c:pt>
                <c:pt idx="10">
                  <c:v>64.19864367816092</c:v>
                </c:pt>
                <c:pt idx="11">
                  <c:v>64.19864367816092</c:v>
                </c:pt>
                <c:pt idx="12">
                  <c:v>64.19864367816092</c:v>
                </c:pt>
                <c:pt idx="13">
                  <c:v>64.19864367816092</c:v>
                </c:pt>
                <c:pt idx="14">
                  <c:v>64.19864367816092</c:v>
                </c:pt>
                <c:pt idx="15">
                  <c:v>64.19864367816092</c:v>
                </c:pt>
                <c:pt idx="16">
                  <c:v>64.19864367816092</c:v>
                </c:pt>
                <c:pt idx="17">
                  <c:v>64.19864367816092</c:v>
                </c:pt>
                <c:pt idx="18">
                  <c:v>64.19864367816092</c:v>
                </c:pt>
                <c:pt idx="19">
                  <c:v>64.19864367816092</c:v>
                </c:pt>
                <c:pt idx="20">
                  <c:v>64.19864367816092</c:v>
                </c:pt>
                <c:pt idx="21">
                  <c:v>64.19864367816092</c:v>
                </c:pt>
                <c:pt idx="22">
                  <c:v>64.19864367816092</c:v>
                </c:pt>
                <c:pt idx="23">
                  <c:v>64.19864367816092</c:v>
                </c:pt>
                <c:pt idx="24">
                  <c:v>64.19864367816092</c:v>
                </c:pt>
                <c:pt idx="25">
                  <c:v>64.19864367816092</c:v>
                </c:pt>
                <c:pt idx="26">
                  <c:v>64.19864367816092</c:v>
                </c:pt>
                <c:pt idx="27">
                  <c:v>64.19864367816092</c:v>
                </c:pt>
                <c:pt idx="28">
                  <c:v>64.19864367816092</c:v>
                </c:pt>
                <c:pt idx="29">
                  <c:v>64.19864367816092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A-47A2-8831-7F27CD031FBF}"/>
            </c:ext>
          </c:extLst>
        </c:ser>
        <c:ser>
          <c:idx val="3"/>
          <c:order val="3"/>
          <c:tx>
            <c:strRef>
              <c:f>'All Data Control Chart'!$P$3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 Control Chart'!$P$4:$P$33</c:f>
              <c:numCache>
                <c:formatCode>General</c:formatCode>
                <c:ptCount val="30"/>
                <c:pt idx="0">
                  <c:v>31.288022988505745</c:v>
                </c:pt>
                <c:pt idx="1">
                  <c:v>31.288022988505745</c:v>
                </c:pt>
                <c:pt idx="2">
                  <c:v>31.288022988505745</c:v>
                </c:pt>
                <c:pt idx="3">
                  <c:v>31.288022988505745</c:v>
                </c:pt>
                <c:pt idx="4">
                  <c:v>31.288022988505745</c:v>
                </c:pt>
                <c:pt idx="5">
                  <c:v>31.288022988505745</c:v>
                </c:pt>
                <c:pt idx="6">
                  <c:v>31.288022988505745</c:v>
                </c:pt>
                <c:pt idx="7">
                  <c:v>31.288022988505745</c:v>
                </c:pt>
                <c:pt idx="8">
                  <c:v>31.288022988505745</c:v>
                </c:pt>
                <c:pt idx="9">
                  <c:v>31.288022988505745</c:v>
                </c:pt>
                <c:pt idx="10">
                  <c:v>31.288022988505745</c:v>
                </c:pt>
                <c:pt idx="11">
                  <c:v>31.288022988505745</c:v>
                </c:pt>
                <c:pt idx="12">
                  <c:v>31.288022988505745</c:v>
                </c:pt>
                <c:pt idx="13">
                  <c:v>31.288022988505745</c:v>
                </c:pt>
                <c:pt idx="14">
                  <c:v>31.288022988505745</c:v>
                </c:pt>
                <c:pt idx="15">
                  <c:v>31.288022988505745</c:v>
                </c:pt>
                <c:pt idx="16">
                  <c:v>31.288022988505745</c:v>
                </c:pt>
                <c:pt idx="17">
                  <c:v>31.288022988505745</c:v>
                </c:pt>
                <c:pt idx="18">
                  <c:v>31.288022988505745</c:v>
                </c:pt>
                <c:pt idx="19">
                  <c:v>31.288022988505745</c:v>
                </c:pt>
                <c:pt idx="20">
                  <c:v>31.288022988505745</c:v>
                </c:pt>
                <c:pt idx="21">
                  <c:v>31.288022988505745</c:v>
                </c:pt>
                <c:pt idx="22">
                  <c:v>31.288022988505745</c:v>
                </c:pt>
                <c:pt idx="23">
                  <c:v>31.288022988505745</c:v>
                </c:pt>
                <c:pt idx="24">
                  <c:v>31.288022988505745</c:v>
                </c:pt>
                <c:pt idx="25">
                  <c:v>31.288022988505745</c:v>
                </c:pt>
                <c:pt idx="26">
                  <c:v>31.288022988505745</c:v>
                </c:pt>
                <c:pt idx="27">
                  <c:v>31.288022988505745</c:v>
                </c:pt>
                <c:pt idx="28">
                  <c:v>31.288022988505745</c:v>
                </c:pt>
                <c:pt idx="29">
                  <c:v>31.288022988505745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A-47A2-8831-7F27CD031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258304"/>
        <c:axId val="570259288"/>
      </c:lineChart>
      <c:catAx>
        <c:axId val="57025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59288"/>
        <c:crosses val="autoZero"/>
        <c:auto val="1"/>
        <c:lblAlgn val="ctr"/>
        <c:lblOffset val="100"/>
        <c:noMultiLvlLbl val="0"/>
      </c:catAx>
      <c:valAx>
        <c:axId val="57025928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131234</xdr:colOff>
      <xdr:row>1</xdr:row>
      <xdr:rowOff>317498</xdr:rowOff>
    </xdr:from>
    <xdr:to>
      <xdr:col>37</xdr:col>
      <xdr:colOff>16934</xdr:colOff>
      <xdr:row>18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49EE0-B33D-4606-B8DB-2955924A5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38098</xdr:colOff>
      <xdr:row>43</xdr:row>
      <xdr:rowOff>152400</xdr:rowOff>
    </xdr:from>
    <xdr:to>
      <xdr:col>18</xdr:col>
      <xdr:colOff>491066</xdr:colOff>
      <xdr:row>60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93363-00DC-4C61-B5AD-17C1F7D93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73025</xdr:colOff>
      <xdr:row>5</xdr:row>
      <xdr:rowOff>38100</xdr:rowOff>
    </xdr:from>
    <xdr:to>
      <xdr:col>19</xdr:col>
      <xdr:colOff>377825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13830-5BC6-4087-BDA7-A93A39004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21</xdr:row>
      <xdr:rowOff>152400</xdr:rowOff>
    </xdr:from>
    <xdr:to>
      <xdr:col>24</xdr:col>
      <xdr:colOff>66675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83E71-F9EA-40FC-B391-E51BF4472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41</xdr:row>
      <xdr:rowOff>88900</xdr:rowOff>
    </xdr:from>
    <xdr:to>
      <xdr:col>10</xdr:col>
      <xdr:colOff>425451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6750C-39B4-4EBA-8499-1D18B425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200024</xdr:colOff>
      <xdr:row>41</xdr:row>
      <xdr:rowOff>44450</xdr:rowOff>
    </xdr:from>
    <xdr:to>
      <xdr:col>19</xdr:col>
      <xdr:colOff>196849</xdr:colOff>
      <xdr:row>56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50B5B-EB36-4790-B40F-F02CB9AC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3363-CB94-4266-82A2-CF2BB8C06811}">
  <sheetPr>
    <pageSetUpPr fitToPage="1"/>
  </sheetPr>
  <dimension ref="A1:AK57"/>
  <sheetViews>
    <sheetView topLeftCell="A8" zoomScale="75" zoomScaleNormal="75" workbookViewId="0">
      <selection activeCell="Q21" sqref="Q21"/>
    </sheetView>
  </sheetViews>
  <sheetFormatPr defaultRowHeight="14.5" x14ac:dyDescent="0.35"/>
  <cols>
    <col min="1" max="1" width="6.90625" style="11" customWidth="1"/>
    <col min="2" max="2" width="15.81640625" style="11" customWidth="1"/>
    <col min="3" max="3" width="9.08984375" style="14" customWidth="1"/>
    <col min="4" max="4" width="8.26953125" style="14" customWidth="1"/>
    <col min="5" max="5" width="7.1796875" style="14" customWidth="1"/>
    <col min="6" max="6" width="20.7265625" style="14" customWidth="1"/>
    <col min="7" max="7" width="9.26953125" style="14" customWidth="1"/>
    <col min="8" max="8" width="8.7265625" style="14" customWidth="1"/>
    <col min="9" max="9" width="10.36328125" style="14" customWidth="1"/>
    <col min="10" max="10" width="10.7265625" style="14" bestFit="1" customWidth="1"/>
    <col min="11" max="11" width="9.90625" style="14" customWidth="1"/>
    <col min="12" max="12" width="9.08984375" style="14" customWidth="1"/>
    <col min="13" max="13" width="11.1796875" style="14" customWidth="1"/>
    <col min="14" max="15" width="9.26953125" style="14" customWidth="1"/>
    <col min="16" max="16" width="12.08984375" style="14" customWidth="1"/>
    <col min="17" max="17" width="11.08984375" style="14" customWidth="1"/>
    <col min="18" max="18" width="11.08984375" style="40" customWidth="1"/>
    <col min="19" max="19" width="11.90625" style="1" hidden="1" customWidth="1"/>
    <col min="20" max="20" width="9.54296875" style="11" customWidth="1"/>
    <col min="21" max="24" width="8.7265625" style="1"/>
    <col min="25" max="25" width="8.984375E-2" style="1" customWidth="1"/>
    <col min="26" max="26" width="22.6328125" style="1" customWidth="1"/>
    <col min="27" max="28" width="9.90625" style="1" hidden="1" customWidth="1"/>
    <col min="29" max="29" width="9.90625" style="1" customWidth="1"/>
    <col min="30" max="30" width="13.453125" style="33" customWidth="1"/>
    <col min="31" max="31" width="8.7265625" style="1"/>
    <col min="32" max="32" width="23.90625" style="1" customWidth="1"/>
    <col min="33" max="33" width="19.26953125" style="1" customWidth="1"/>
    <col min="34" max="34" width="18.453125" customWidth="1"/>
    <col min="35" max="35" width="11.36328125" customWidth="1"/>
    <col min="36" max="36" width="10.26953125" customWidth="1"/>
  </cols>
  <sheetData>
    <row r="1" spans="1:33" s="2" customFormat="1" x14ac:dyDescent="0.35">
      <c r="A1" s="18"/>
      <c r="B1" s="18"/>
      <c r="C1" s="19">
        <v>1</v>
      </c>
      <c r="D1" s="19">
        <v>2</v>
      </c>
      <c r="E1" s="19"/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8</v>
      </c>
      <c r="L1" s="19">
        <v>9</v>
      </c>
      <c r="M1" s="19">
        <v>10</v>
      </c>
      <c r="N1" s="19">
        <v>11</v>
      </c>
      <c r="O1" s="19">
        <v>12</v>
      </c>
      <c r="P1" s="19">
        <v>13</v>
      </c>
      <c r="Q1" s="19"/>
      <c r="R1" s="39"/>
      <c r="S1" s="3"/>
      <c r="T1" s="18"/>
      <c r="U1" s="3"/>
      <c r="V1" s="3"/>
      <c r="W1" s="3"/>
      <c r="X1" s="3"/>
      <c r="Y1" s="3"/>
      <c r="Z1" s="3"/>
      <c r="AA1" s="3"/>
      <c r="AB1" s="3"/>
      <c r="AC1" s="3"/>
      <c r="AD1" s="31"/>
      <c r="AE1" s="3"/>
      <c r="AF1" s="3"/>
      <c r="AG1" s="3"/>
    </row>
    <row r="2" spans="1:33" s="2" customFormat="1" ht="43.5" x14ac:dyDescent="0.35">
      <c r="A2" s="18"/>
      <c r="B2" s="18" t="s">
        <v>0</v>
      </c>
      <c r="C2" s="19" t="s">
        <v>12</v>
      </c>
      <c r="D2" s="19" t="s">
        <v>13</v>
      </c>
      <c r="E2" s="19" t="s">
        <v>71</v>
      </c>
      <c r="F2" s="19" t="s">
        <v>1</v>
      </c>
      <c r="G2" s="19" t="s">
        <v>15</v>
      </c>
      <c r="H2" s="19" t="s">
        <v>14</v>
      </c>
      <c r="I2" s="19" t="s">
        <v>2</v>
      </c>
      <c r="J2" s="19" t="s">
        <v>3</v>
      </c>
      <c r="K2" s="18" t="s">
        <v>4</v>
      </c>
      <c r="L2" s="18" t="s">
        <v>5</v>
      </c>
      <c r="M2" s="18" t="s">
        <v>6</v>
      </c>
      <c r="N2" s="18" t="s">
        <v>7</v>
      </c>
      <c r="O2" s="18" t="s">
        <v>8</v>
      </c>
      <c r="P2" s="18" t="s">
        <v>9</v>
      </c>
      <c r="Q2" s="19" t="s">
        <v>11</v>
      </c>
      <c r="R2" s="39" t="s">
        <v>45</v>
      </c>
      <c r="S2" s="3"/>
      <c r="T2" s="19" t="s">
        <v>42</v>
      </c>
      <c r="U2" s="3" t="s">
        <v>72</v>
      </c>
      <c r="V2" s="3" t="s">
        <v>73</v>
      </c>
      <c r="W2" s="3" t="s">
        <v>74</v>
      </c>
      <c r="X2" s="3" t="s">
        <v>75</v>
      </c>
      <c r="Y2" s="3"/>
      <c r="Z2" s="3"/>
      <c r="AA2" s="3"/>
      <c r="AB2" s="3"/>
      <c r="AC2" s="3"/>
      <c r="AD2" s="31"/>
      <c r="AE2" s="3"/>
      <c r="AF2" s="3"/>
      <c r="AG2" s="3"/>
    </row>
    <row r="3" spans="1:33" s="2" customFormat="1" ht="15.5" customHeight="1" x14ac:dyDescent="0.35">
      <c r="A3" s="148" t="s">
        <v>16</v>
      </c>
      <c r="B3" s="148"/>
      <c r="C3" s="19"/>
      <c r="D3" s="19"/>
      <c r="E3" s="19"/>
      <c r="F3" s="19"/>
      <c r="G3" s="19"/>
      <c r="H3" s="19"/>
      <c r="I3" s="19"/>
      <c r="J3" s="19"/>
      <c r="K3" s="18"/>
      <c r="L3" s="18"/>
      <c r="M3" s="18"/>
      <c r="N3" s="18"/>
      <c r="O3" s="18"/>
      <c r="P3" s="18"/>
      <c r="Q3" s="19"/>
      <c r="R3" s="40" t="s">
        <v>70</v>
      </c>
      <c r="S3" s="3"/>
      <c r="T3" s="19"/>
      <c r="U3" s="3"/>
      <c r="V3" s="3"/>
      <c r="W3" s="3"/>
      <c r="X3" s="3"/>
      <c r="Y3" s="3"/>
      <c r="Z3" s="19" t="s">
        <v>17</v>
      </c>
      <c r="AA3" s="19" t="s">
        <v>18</v>
      </c>
      <c r="AB3" s="19" t="s">
        <v>20</v>
      </c>
      <c r="AC3" s="19" t="s">
        <v>21</v>
      </c>
      <c r="AD3" s="32" t="s">
        <v>41</v>
      </c>
      <c r="AE3" s="3"/>
      <c r="AF3" s="3"/>
      <c r="AG3" s="3"/>
    </row>
    <row r="4" spans="1:33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3.1712962962962958E-3</v>
      </c>
      <c r="N4" s="5">
        <v>2.7777777777777779E-3</v>
      </c>
      <c r="O4" s="5">
        <v>7.1874999999999994E-3</v>
      </c>
      <c r="P4" s="5">
        <v>1.3888888888888889E-3</v>
      </c>
      <c r="Q4" s="15">
        <f t="shared" ref="Q4:Q17" si="0">SUM(F4:P4)</f>
        <v>3.4652777777777775E-2</v>
      </c>
      <c r="R4" s="40">
        <f t="shared" ref="R4:R20" si="1">Q4*1440</f>
        <v>49.9</v>
      </c>
      <c r="T4" s="13"/>
      <c r="V4" s="1">
        <v>1</v>
      </c>
      <c r="Z4" s="25" t="s">
        <v>8</v>
      </c>
      <c r="AA4" s="5">
        <f>$O$22</f>
        <v>0.10357638888888888</v>
      </c>
      <c r="AB4" s="30">
        <f t="shared" ref="AB4:AB14" si="2">AA4*1440</f>
        <v>149.15</v>
      </c>
      <c r="AC4" s="30">
        <f>AA4*24</f>
        <v>2.4858333333333333</v>
      </c>
      <c r="AD4" s="28">
        <f>AC4/AC15</f>
        <v>0.16805633802816902</v>
      </c>
    </row>
    <row r="5" spans="1:33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3.37962962962963E-3</v>
      </c>
      <c r="N5" s="5">
        <v>4.4212962962962956E-3</v>
      </c>
      <c r="O5" s="5">
        <v>7.1527777777777787E-3</v>
      </c>
      <c r="P5" s="5">
        <v>1.5046296296296294E-3</v>
      </c>
      <c r="Q5" s="15">
        <f t="shared" si="0"/>
        <v>4.0092592592592589E-2</v>
      </c>
      <c r="R5" s="40">
        <f t="shared" si="1"/>
        <v>57.733333333333327</v>
      </c>
      <c r="T5" s="13">
        <v>1</v>
      </c>
      <c r="W5" s="1">
        <v>1</v>
      </c>
      <c r="Z5" s="19" t="s">
        <v>1</v>
      </c>
      <c r="AA5" s="5">
        <f>$F$22</f>
        <v>9.0706018518518519E-2</v>
      </c>
      <c r="AB5" s="30">
        <f t="shared" si="2"/>
        <v>130.61666666666667</v>
      </c>
      <c r="AC5" s="30">
        <f t="shared" ref="AC5:AC15" si="3">AA5*24</f>
        <v>2.1769444444444446</v>
      </c>
      <c r="AD5" s="28">
        <f>AC5/AC15+AD4</f>
        <v>0.31523004694835682</v>
      </c>
    </row>
    <row r="6" spans="1:33" x14ac:dyDescent="0.35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3.6111111111111114E-3</v>
      </c>
      <c r="N6" s="5">
        <v>2.0833333333333333E-3</v>
      </c>
      <c r="O6" s="5">
        <v>7.6388888888888886E-3</v>
      </c>
      <c r="P6" s="5">
        <v>2.0833333333333333E-3</v>
      </c>
      <c r="Q6" s="15">
        <f t="shared" si="0"/>
        <v>3.8344907407407404E-2</v>
      </c>
      <c r="R6" s="40">
        <f t="shared" si="1"/>
        <v>55.216666666666661</v>
      </c>
      <c r="S6" s="9"/>
      <c r="T6" s="13">
        <v>2</v>
      </c>
      <c r="W6" s="1">
        <v>1</v>
      </c>
      <c r="Z6" s="19" t="s">
        <v>2</v>
      </c>
      <c r="AA6" s="5">
        <f>$I$22</f>
        <v>7.3252314814814798E-2</v>
      </c>
      <c r="AB6" s="30">
        <f t="shared" si="2"/>
        <v>105.48333333333331</v>
      </c>
      <c r="AC6" s="30">
        <f t="shared" si="3"/>
        <v>1.758055555555555</v>
      </c>
      <c r="AD6" s="28">
        <f>AC6/AC15+AD5</f>
        <v>0.43408450704225349</v>
      </c>
    </row>
    <row r="7" spans="1:33" s="8" customFormat="1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2.3611111111111111E-3</v>
      </c>
      <c r="N7" s="5">
        <v>3.1712962962962958E-3</v>
      </c>
      <c r="O7" s="5">
        <v>5.7638888888888887E-3</v>
      </c>
      <c r="P7" s="5">
        <v>1.8055555555555557E-3</v>
      </c>
      <c r="Q7" s="15">
        <f t="shared" si="0"/>
        <v>3.0740740740740746E-2</v>
      </c>
      <c r="R7" s="40">
        <f t="shared" si="1"/>
        <v>44.266666666666673</v>
      </c>
      <c r="S7" s="10"/>
      <c r="T7" s="13"/>
      <c r="U7" s="7"/>
      <c r="V7" s="7">
        <v>1</v>
      </c>
      <c r="W7" s="7"/>
      <c r="X7" s="7"/>
      <c r="Y7" s="7"/>
      <c r="Z7" s="25" t="s">
        <v>5</v>
      </c>
      <c r="AA7" s="5">
        <f>$L$22</f>
        <v>6.598379629629629E-2</v>
      </c>
      <c r="AB7" s="30">
        <f t="shared" si="2"/>
        <v>95.016666666666652</v>
      </c>
      <c r="AC7" s="30">
        <f t="shared" si="3"/>
        <v>1.5836111111111109</v>
      </c>
      <c r="AD7" s="28">
        <f>AC7/AC15+AD6</f>
        <v>0.54114553990610326</v>
      </c>
      <c r="AE7" s="7"/>
      <c r="AF7" s="7"/>
      <c r="AG7" s="7"/>
    </row>
    <row r="8" spans="1:33" x14ac:dyDescent="0.35">
      <c r="A8" s="137">
        <v>5</v>
      </c>
      <c r="B8" s="138">
        <v>43387</v>
      </c>
      <c r="C8" s="139">
        <v>1</v>
      </c>
      <c r="D8" s="139">
        <v>1</v>
      </c>
      <c r="E8" s="139">
        <v>0</v>
      </c>
      <c r="F8" s="140">
        <v>7.743055555555556E-3</v>
      </c>
      <c r="G8" s="140">
        <v>3.9236111111111112E-3</v>
      </c>
      <c r="H8" s="140">
        <v>0</v>
      </c>
      <c r="I8" s="140">
        <v>2.9976851851851848E-3</v>
      </c>
      <c r="J8" s="140">
        <v>5.138888888888889E-3</v>
      </c>
      <c r="K8" s="140">
        <v>2.2453703703703702E-3</v>
      </c>
      <c r="L8" s="140">
        <v>4.2939814814814811E-3</v>
      </c>
      <c r="M8" s="140">
        <v>5.5671296296296302E-3</v>
      </c>
      <c r="N8" s="140">
        <v>4.2361111111111106E-3</v>
      </c>
      <c r="O8" s="140">
        <v>9.7222222222222224E-3</v>
      </c>
      <c r="P8" s="140">
        <v>7.9861111111111105E-4</v>
      </c>
      <c r="Q8" s="141">
        <f t="shared" si="0"/>
        <v>4.6666666666666669E-2</v>
      </c>
      <c r="R8" s="142">
        <f t="shared" si="1"/>
        <v>67.2</v>
      </c>
      <c r="T8" s="13">
        <v>3</v>
      </c>
      <c r="W8" s="1">
        <v>1</v>
      </c>
      <c r="Z8" s="26" t="s">
        <v>7</v>
      </c>
      <c r="AA8" s="5">
        <f>$N$22</f>
        <v>6.5671296296296311E-2</v>
      </c>
      <c r="AB8" s="30">
        <f t="shared" si="2"/>
        <v>94.566666666666691</v>
      </c>
      <c r="AC8" s="30">
        <f t="shared" si="3"/>
        <v>1.5761111111111115</v>
      </c>
      <c r="AD8" s="28">
        <f>AC8/AC15+AD7</f>
        <v>0.64769953051643192</v>
      </c>
    </row>
    <row r="9" spans="1:33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2.7777777777777779E-3</v>
      </c>
      <c r="O9" s="5">
        <v>5.5671296296296302E-3</v>
      </c>
      <c r="P9" s="5">
        <v>2.2106481481481478E-3</v>
      </c>
      <c r="Q9" s="15">
        <f t="shared" si="0"/>
        <v>3.4444444444444444E-2</v>
      </c>
      <c r="R9" s="40">
        <f t="shared" si="1"/>
        <v>49.6</v>
      </c>
      <c r="T9" s="13"/>
      <c r="X9" s="1">
        <v>1</v>
      </c>
      <c r="Z9" s="19" t="s">
        <v>3</v>
      </c>
      <c r="AA9" s="5">
        <f>$J$22</f>
        <v>6.1504629629629631E-2</v>
      </c>
      <c r="AB9" s="30">
        <f t="shared" si="2"/>
        <v>88.566666666666663</v>
      </c>
      <c r="AC9" s="30">
        <f t="shared" si="3"/>
        <v>1.4761111111111112</v>
      </c>
      <c r="AD9" s="28">
        <f>AC9/AC15+AD8</f>
        <v>0.74749295774647884</v>
      </c>
    </row>
    <row r="10" spans="1:33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3.5995370370370369E-3</v>
      </c>
      <c r="N10" s="5">
        <v>7.0254629629629634E-3</v>
      </c>
      <c r="O10" s="5">
        <v>6.2499999999999995E-3</v>
      </c>
      <c r="P10" s="5">
        <v>1.3888888888888889E-3</v>
      </c>
      <c r="Q10" s="15">
        <f t="shared" si="0"/>
        <v>4.1736111111111113E-2</v>
      </c>
      <c r="R10" s="40">
        <f t="shared" si="1"/>
        <v>60.1</v>
      </c>
      <c r="T10" s="13">
        <v>4</v>
      </c>
      <c r="W10" s="1">
        <v>1</v>
      </c>
      <c r="Z10" s="26" t="s">
        <v>6</v>
      </c>
      <c r="AA10" s="5">
        <f>$M$22</f>
        <v>5.4999999999999993E-2</v>
      </c>
      <c r="AB10" s="30">
        <f t="shared" si="2"/>
        <v>79.199999999999989</v>
      </c>
      <c r="AC10" s="30">
        <f t="shared" si="3"/>
        <v>1.3199999999999998</v>
      </c>
      <c r="AD10" s="28">
        <f>AC10/AC15+AD9</f>
        <v>0.83673239436619717</v>
      </c>
    </row>
    <row r="11" spans="1:33" s="4" customFormat="1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3.0439814814814821E-3</v>
      </c>
      <c r="N11" s="5">
        <v>4.31712962962963E-3</v>
      </c>
      <c r="O11" s="5">
        <v>4.1666666666666666E-3</v>
      </c>
      <c r="P11" s="5">
        <v>1.4467592592592594E-3</v>
      </c>
      <c r="Q11" s="15">
        <f t="shared" si="0"/>
        <v>3.6249999999999998E-2</v>
      </c>
      <c r="R11" s="40">
        <f t="shared" si="1"/>
        <v>52.199999999999996</v>
      </c>
      <c r="S11" s="6"/>
      <c r="T11" s="13">
        <v>5</v>
      </c>
      <c r="U11" s="6"/>
      <c r="V11" s="6"/>
      <c r="W11" s="6">
        <v>1</v>
      </c>
      <c r="X11" s="6"/>
      <c r="Y11" s="6"/>
      <c r="Z11" s="25" t="s">
        <v>4</v>
      </c>
      <c r="AA11" s="5">
        <f>$K$22</f>
        <v>3.6631944444444446E-2</v>
      </c>
      <c r="AB11" s="30">
        <f t="shared" si="2"/>
        <v>52.75</v>
      </c>
      <c r="AC11" s="30">
        <f t="shared" si="3"/>
        <v>0.87916666666666665</v>
      </c>
      <c r="AD11" s="28">
        <f>AC11/AC15+AD10</f>
        <v>0.896169014084507</v>
      </c>
      <c r="AE11" s="6"/>
      <c r="AF11" s="6"/>
      <c r="AG11" s="6"/>
    </row>
    <row r="12" spans="1:33" s="8" customFormat="1" x14ac:dyDescent="0.35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2.8703703703703708E-3</v>
      </c>
      <c r="N12" s="5">
        <v>6.4236111111111117E-3</v>
      </c>
      <c r="O12" s="5">
        <v>5.0000000000000001E-3</v>
      </c>
      <c r="P12" s="5">
        <v>1.6435185185185183E-3</v>
      </c>
      <c r="Q12" s="15">
        <f t="shared" si="0"/>
        <v>3.9236111111111104E-2</v>
      </c>
      <c r="R12" s="40">
        <f t="shared" si="1"/>
        <v>56.499999999999986</v>
      </c>
      <c r="S12" s="7"/>
      <c r="T12" s="13">
        <v>6</v>
      </c>
      <c r="U12" s="7"/>
      <c r="V12" s="7"/>
      <c r="W12" s="7">
        <v>1</v>
      </c>
      <c r="X12" s="7"/>
      <c r="Y12" s="7"/>
      <c r="Z12" s="19" t="s">
        <v>15</v>
      </c>
      <c r="AA12" s="5">
        <f>$G$22</f>
        <v>3.3171296296296303E-2</v>
      </c>
      <c r="AB12" s="30">
        <f t="shared" si="2"/>
        <v>47.766666666666673</v>
      </c>
      <c r="AC12" s="30">
        <f t="shared" si="3"/>
        <v>0.79611111111111121</v>
      </c>
      <c r="AD12" s="28">
        <f>AC12/AC15+AD11</f>
        <v>0.94999061032863841</v>
      </c>
      <c r="AE12" s="7"/>
      <c r="AF12" s="7"/>
      <c r="AG12" s="7"/>
    </row>
    <row r="13" spans="1:33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2.9398148148148148E-3</v>
      </c>
      <c r="N13" s="5">
        <v>3.472222222222222E-3</v>
      </c>
      <c r="O13" s="5">
        <v>5.5555555555555558E-3</v>
      </c>
      <c r="P13" s="5">
        <v>1.3888888888888889E-3</v>
      </c>
      <c r="Q13" s="15">
        <f t="shared" si="0"/>
        <v>3.3900462962962966E-2</v>
      </c>
      <c r="R13" s="40">
        <f t="shared" si="1"/>
        <v>48.81666666666667</v>
      </c>
      <c r="T13" s="13"/>
      <c r="X13" s="1">
        <v>1</v>
      </c>
      <c r="Z13" s="25" t="s">
        <v>9</v>
      </c>
      <c r="AA13" s="5">
        <f>$P$22</f>
        <v>2.8506944444444439E-2</v>
      </c>
      <c r="AB13" s="30">
        <f t="shared" si="2"/>
        <v>41.04999999999999</v>
      </c>
      <c r="AC13" s="30">
        <f t="shared" si="3"/>
        <v>0.68416666666666659</v>
      </c>
      <c r="AD13" s="28">
        <f>AC13/AC15+AD12</f>
        <v>0.99624413145539892</v>
      </c>
    </row>
    <row r="14" spans="1:33" x14ac:dyDescent="0.35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3.2638888888888891E-3</v>
      </c>
      <c r="N14" s="5">
        <v>2.8124999999999995E-3</v>
      </c>
      <c r="O14" s="5">
        <v>5.6018518518518518E-3</v>
      </c>
      <c r="P14" s="5">
        <v>1.4699074074074074E-3</v>
      </c>
      <c r="Q14" s="15">
        <f t="shared" si="0"/>
        <v>3.4131944444444444E-2</v>
      </c>
      <c r="R14" s="40">
        <f t="shared" si="1"/>
        <v>49.15</v>
      </c>
      <c r="T14" s="13"/>
      <c r="X14" s="1">
        <v>1</v>
      </c>
      <c r="Z14" s="19" t="s">
        <v>14</v>
      </c>
      <c r="AA14" s="5">
        <f>$H$22</f>
        <v>2.3148148148148147E-3</v>
      </c>
      <c r="AB14" s="30">
        <f t="shared" si="2"/>
        <v>3.333333333333333</v>
      </c>
      <c r="AC14" s="30">
        <f t="shared" si="3"/>
        <v>5.5555555555555552E-2</v>
      </c>
      <c r="AD14" s="28">
        <f>AC14/AC15+AD13</f>
        <v>0.99999999999999989</v>
      </c>
    </row>
    <row r="15" spans="1:33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2.7430555555555559E-3</v>
      </c>
      <c r="N15" s="5">
        <v>5.185185185185185E-3</v>
      </c>
      <c r="O15" s="5">
        <v>4.8611111111111112E-3</v>
      </c>
      <c r="P15" s="5">
        <v>2.0833333333333333E-3</v>
      </c>
      <c r="Q15" s="15">
        <f t="shared" si="0"/>
        <v>3.4513888888888886E-2</v>
      </c>
      <c r="R15" s="40">
        <f t="shared" si="1"/>
        <v>49.699999999999996</v>
      </c>
      <c r="T15" s="13"/>
      <c r="V15" s="1">
        <v>1</v>
      </c>
      <c r="AA15" s="27">
        <f>SUM(AA4:AA14)</f>
        <v>0.61631944444444442</v>
      </c>
      <c r="AB15" s="30">
        <f t="shared" ref="AB15" si="4">AA15*1440</f>
        <v>887.5</v>
      </c>
      <c r="AC15" s="30">
        <f t="shared" si="3"/>
        <v>14.791666666666666</v>
      </c>
    </row>
    <row r="16" spans="1:33" s="8" customFormat="1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2.9166666666666668E-3</v>
      </c>
      <c r="N16" s="5">
        <v>3.1597222222222222E-3</v>
      </c>
      <c r="O16" s="5">
        <v>6.2499999999999995E-3</v>
      </c>
      <c r="P16" s="5">
        <v>2.4305555555555556E-3</v>
      </c>
      <c r="Q16" s="15">
        <f t="shared" si="0"/>
        <v>3.5046296296296298E-2</v>
      </c>
      <c r="R16" s="40">
        <f t="shared" si="1"/>
        <v>50.466666666666669</v>
      </c>
      <c r="S16" s="7"/>
      <c r="T16" s="13">
        <v>7</v>
      </c>
      <c r="U16" s="7"/>
      <c r="V16" s="7"/>
      <c r="W16" s="7">
        <v>1</v>
      </c>
      <c r="X16" s="7"/>
      <c r="Y16" s="7"/>
      <c r="Z16" s="7"/>
      <c r="AA16" s="7"/>
      <c r="AB16" s="7"/>
      <c r="AC16" s="7"/>
      <c r="AD16" s="34"/>
      <c r="AE16" s="7"/>
      <c r="AF16" s="7"/>
      <c r="AG16" s="7"/>
    </row>
    <row r="17" spans="1:37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3.472222222222222E-3</v>
      </c>
      <c r="O17" s="5">
        <v>6.1111111111111114E-3</v>
      </c>
      <c r="P17" s="5">
        <v>1.3888888888888889E-3</v>
      </c>
      <c r="Q17" s="15">
        <f t="shared" si="0"/>
        <v>3.3900462962962966E-2</v>
      </c>
      <c r="R17" s="40">
        <f t="shared" si="1"/>
        <v>48.81666666666667</v>
      </c>
      <c r="T17" s="13"/>
      <c r="V17" s="1">
        <v>1</v>
      </c>
    </row>
    <row r="18" spans="1:37" x14ac:dyDescent="0.35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3.0092592592592588E-3</v>
      </c>
      <c r="N18" s="5">
        <v>2.9282407407407412E-3</v>
      </c>
      <c r="O18" s="5">
        <v>5.4398148148148149E-3</v>
      </c>
      <c r="P18" s="5">
        <v>1.2152777777777778E-3</v>
      </c>
      <c r="Q18" s="15">
        <f t="shared" ref="Q18:Q20" si="5">SUM(F18:P18)</f>
        <v>3.197916666666667E-2</v>
      </c>
      <c r="R18" s="40">
        <f t="shared" si="1"/>
        <v>46.050000000000004</v>
      </c>
      <c r="T18" s="13"/>
      <c r="X18" s="1">
        <v>1</v>
      </c>
    </row>
    <row r="19" spans="1:37" x14ac:dyDescent="0.35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3.4953703703703705E-3</v>
      </c>
      <c r="N19" s="5">
        <v>4.6296296296296302E-3</v>
      </c>
      <c r="O19" s="5">
        <v>5.8101851851851856E-3</v>
      </c>
      <c r="P19" s="5">
        <v>1.4814814814814814E-3</v>
      </c>
      <c r="Q19" s="15">
        <f t="shared" si="5"/>
        <v>3.6631944444444446E-2</v>
      </c>
      <c r="R19" s="40">
        <f t="shared" si="1"/>
        <v>52.75</v>
      </c>
      <c r="T19" s="13">
        <v>8</v>
      </c>
      <c r="U19" s="1">
        <v>1</v>
      </c>
    </row>
    <row r="20" spans="1:37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2.7777777777777779E-3</v>
      </c>
      <c r="O20" s="5">
        <v>5.4976851851851853E-3</v>
      </c>
      <c r="P20" s="5">
        <v>2.7777777777777779E-3</v>
      </c>
      <c r="Q20" s="15">
        <f t="shared" si="5"/>
        <v>3.4050925925925922E-2</v>
      </c>
      <c r="R20" s="40">
        <f t="shared" si="1"/>
        <v>49.033333333333324</v>
      </c>
      <c r="S20" s="27">
        <f>SUM(Q4:Q20)</f>
        <v>0.61631944444444442</v>
      </c>
      <c r="T20" s="13"/>
      <c r="X20" s="1">
        <v>1</v>
      </c>
    </row>
    <row r="21" spans="1:37" ht="43.5" x14ac:dyDescent="0.35">
      <c r="B21" s="12"/>
      <c r="D21" s="19" t="s">
        <v>17</v>
      </c>
      <c r="E21" s="19"/>
      <c r="F21" s="19" t="s">
        <v>1</v>
      </c>
      <c r="G21" s="19" t="s">
        <v>15</v>
      </c>
      <c r="H21" s="19" t="s">
        <v>14</v>
      </c>
      <c r="I21" s="19" t="s">
        <v>2</v>
      </c>
      <c r="J21" s="19" t="s">
        <v>3</v>
      </c>
      <c r="K21" s="22" t="s">
        <v>4</v>
      </c>
      <c r="L21" s="22" t="s">
        <v>5</v>
      </c>
      <c r="M21" s="22" t="s">
        <v>6</v>
      </c>
      <c r="N21" s="22" t="s">
        <v>7</v>
      </c>
      <c r="O21" s="22" t="s">
        <v>8</v>
      </c>
      <c r="P21" s="22" t="s">
        <v>9</v>
      </c>
      <c r="Q21" s="15"/>
      <c r="S21" s="81">
        <f>SUM(R4:R20)/17</f>
        <v>52.205882352941181</v>
      </c>
      <c r="T21" s="13"/>
      <c r="U21" s="1">
        <f>SUM(U3:U19)</f>
        <v>1</v>
      </c>
      <c r="V21" s="1">
        <f>SUM(V3:V19)</f>
        <v>4</v>
      </c>
      <c r="W21" s="1">
        <f>SUM(W3:W19)</f>
        <v>7</v>
      </c>
      <c r="X21" s="1">
        <f>SUM(X3:X20)</f>
        <v>5</v>
      </c>
      <c r="AI21" s="46"/>
    </row>
    <row r="22" spans="1:37" ht="29.5" thickBot="1" x14ac:dyDescent="0.4">
      <c r="B22" s="12"/>
      <c r="D22" s="19" t="s">
        <v>18</v>
      </c>
      <c r="E22" s="19"/>
      <c r="F22" s="5">
        <f t="shared" ref="F22:P22" si="6">SUM(F4:F20)</f>
        <v>9.0706018518518519E-2</v>
      </c>
      <c r="G22" s="5">
        <f t="shared" si="6"/>
        <v>3.3171296296296303E-2</v>
      </c>
      <c r="H22" s="5">
        <f t="shared" si="6"/>
        <v>2.3148148148148147E-3</v>
      </c>
      <c r="I22" s="5">
        <f t="shared" si="6"/>
        <v>7.3252314814814798E-2</v>
      </c>
      <c r="J22" s="5">
        <f t="shared" si="6"/>
        <v>6.1504629629629631E-2</v>
      </c>
      <c r="K22" s="5">
        <f t="shared" si="6"/>
        <v>3.6631944444444446E-2</v>
      </c>
      <c r="L22" s="5">
        <f t="shared" si="6"/>
        <v>6.598379629629629E-2</v>
      </c>
      <c r="M22" s="5">
        <f t="shared" si="6"/>
        <v>5.4999999999999993E-2</v>
      </c>
      <c r="N22" s="5">
        <f t="shared" si="6"/>
        <v>6.5671296296296311E-2</v>
      </c>
      <c r="O22" s="5">
        <f t="shared" si="6"/>
        <v>0.10357638888888888</v>
      </c>
      <c r="P22" s="5">
        <f t="shared" si="6"/>
        <v>2.8506944444444439E-2</v>
      </c>
      <c r="Q22" s="15">
        <f>SUM(F22:P22)</f>
        <v>0.61631944444444453</v>
      </c>
      <c r="T22" s="13"/>
      <c r="AF22" s="41"/>
      <c r="AG22" s="41"/>
    </row>
    <row r="23" spans="1:37" ht="44" thickBot="1" x14ac:dyDescent="0.4">
      <c r="B23" s="12"/>
      <c r="D23" s="19" t="s">
        <v>19</v>
      </c>
      <c r="E23" s="19" t="s">
        <v>77</v>
      </c>
      <c r="F23" s="28">
        <f>F22/Q22</f>
        <v>0.14717370892018777</v>
      </c>
      <c r="G23" s="28">
        <f>G22/Q22</f>
        <v>5.3821596244131457E-2</v>
      </c>
      <c r="H23" s="28">
        <f>H22/Q22</f>
        <v>3.7558685446009384E-3</v>
      </c>
      <c r="I23" s="28">
        <f>I22/Q22</f>
        <v>0.11885446009389666</v>
      </c>
      <c r="J23" s="28">
        <f>J22/Q22</f>
        <v>9.9793427230046944E-2</v>
      </c>
      <c r="K23" s="28">
        <f>K22/Q22</f>
        <v>5.9436619718309852E-2</v>
      </c>
      <c r="L23" s="28">
        <f>L22/Q22</f>
        <v>0.10706103286384974</v>
      </c>
      <c r="M23" s="28">
        <f>M22/Q22</f>
        <v>8.9239436619718282E-2</v>
      </c>
      <c r="N23" s="28">
        <f>N22/Q22</f>
        <v>0.10655399061032865</v>
      </c>
      <c r="O23" s="28">
        <f>O22/Q22</f>
        <v>0.16805633802816899</v>
      </c>
      <c r="P23" s="28">
        <f>P22/Q22</f>
        <v>4.6253521126760545E-2</v>
      </c>
      <c r="Q23" s="29">
        <f>SUM(F23:P23)</f>
        <v>0.99999999999999967</v>
      </c>
      <c r="T23" s="19" t="s">
        <v>42</v>
      </c>
      <c r="U23" s="3" t="s">
        <v>72</v>
      </c>
      <c r="V23" s="3" t="s">
        <v>73</v>
      </c>
      <c r="W23" s="3" t="s">
        <v>74</v>
      </c>
      <c r="X23" s="3" t="s">
        <v>75</v>
      </c>
      <c r="AF23" s="38" t="s">
        <v>35</v>
      </c>
      <c r="AG23" s="38"/>
      <c r="AH23" s="48" t="s">
        <v>40</v>
      </c>
    </row>
    <row r="24" spans="1:37" x14ac:dyDescent="0.35">
      <c r="A24" s="149" t="s">
        <v>10</v>
      </c>
      <c r="B24" s="14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R24" s="40" t="s">
        <v>70</v>
      </c>
      <c r="T24" s="21"/>
      <c r="AF24" s="36"/>
      <c r="AG24" s="36"/>
    </row>
    <row r="25" spans="1:37" x14ac:dyDescent="0.35">
      <c r="A25" s="11">
        <v>1</v>
      </c>
      <c r="B25" s="12">
        <v>43411</v>
      </c>
      <c r="C25" s="14">
        <v>1</v>
      </c>
      <c r="D25" s="14">
        <v>1</v>
      </c>
      <c r="E25" s="14">
        <v>1</v>
      </c>
      <c r="F25" s="5">
        <v>3.4490740740740745E-3</v>
      </c>
      <c r="G25" s="5">
        <v>0</v>
      </c>
      <c r="H25" s="5">
        <v>3.4722222222222224E-4</v>
      </c>
      <c r="I25" s="5">
        <v>4.4791666666666669E-3</v>
      </c>
      <c r="J25" s="5">
        <v>3.6805555555555554E-3</v>
      </c>
      <c r="K25" s="5">
        <v>1.3888888888888889E-3</v>
      </c>
      <c r="L25" s="5">
        <v>4.4675925925925933E-3</v>
      </c>
      <c r="M25" s="5">
        <v>3.2407407407407406E-3</v>
      </c>
      <c r="N25" s="5">
        <v>0</v>
      </c>
      <c r="O25" s="5">
        <v>5.6712962962962958E-3</v>
      </c>
      <c r="P25" s="5">
        <v>1.3888888888888889E-3</v>
      </c>
      <c r="Q25" s="15">
        <f t="shared" ref="Q25:Q35" si="7">SUM(F25:P25)</f>
        <v>2.8113425925925927E-2</v>
      </c>
      <c r="R25" s="40">
        <f t="shared" ref="R25:R37" si="8">Q25*1440</f>
        <v>40.483333333333334</v>
      </c>
      <c r="T25" s="13"/>
      <c r="V25" s="1">
        <v>1</v>
      </c>
      <c r="AF25" s="36" t="s">
        <v>22</v>
      </c>
      <c r="AG25" s="36">
        <v>52.205882352941181</v>
      </c>
      <c r="AH25" s="42">
        <f>AG25/1440</f>
        <v>3.6254084967320264E-2</v>
      </c>
      <c r="AJ25">
        <f>20%*52.2059</f>
        <v>10.441180000000001</v>
      </c>
      <c r="AK25" s="42">
        <f>AJ25/1440</f>
        <v>7.2508194444444451E-3</v>
      </c>
    </row>
    <row r="26" spans="1:37" s="17" customFormat="1" x14ac:dyDescent="0.35">
      <c r="A26" s="11">
        <v>2</v>
      </c>
      <c r="B26" s="12">
        <v>43414</v>
      </c>
      <c r="C26" s="14">
        <v>1</v>
      </c>
      <c r="D26" s="14">
        <v>0</v>
      </c>
      <c r="E26" s="14">
        <v>1</v>
      </c>
      <c r="F26" s="5">
        <v>3.8425925925925923E-3</v>
      </c>
      <c r="G26" s="5">
        <v>0</v>
      </c>
      <c r="H26" s="5">
        <v>4.6296296296296293E-4</v>
      </c>
      <c r="I26" s="5">
        <v>4.5138888888888893E-3</v>
      </c>
      <c r="J26" s="5">
        <v>3.0671296296296297E-3</v>
      </c>
      <c r="K26" s="5">
        <v>1.4467592592592594E-3</v>
      </c>
      <c r="L26" s="5">
        <v>5.4166666666666669E-3</v>
      </c>
      <c r="M26" s="5">
        <v>2.6388888888888885E-3</v>
      </c>
      <c r="N26" s="5">
        <v>0</v>
      </c>
      <c r="O26" s="5">
        <v>4.3981481481481484E-3</v>
      </c>
      <c r="P26" s="5">
        <v>1.5856481481481479E-3</v>
      </c>
      <c r="Q26" s="15">
        <f t="shared" si="7"/>
        <v>2.7372685185185187E-2</v>
      </c>
      <c r="R26" s="40">
        <f t="shared" si="8"/>
        <v>39.416666666666671</v>
      </c>
      <c r="S26" s="16"/>
      <c r="T26" s="13"/>
      <c r="U26" s="16"/>
      <c r="V26" s="16">
        <v>1</v>
      </c>
      <c r="W26" s="16"/>
      <c r="X26" s="16"/>
      <c r="Y26" s="16"/>
      <c r="AB26" s="16"/>
      <c r="AC26" s="16"/>
      <c r="AD26" s="35"/>
      <c r="AE26" s="16"/>
      <c r="AF26" s="36" t="s">
        <v>23</v>
      </c>
      <c r="AG26" s="36">
        <v>1.3695867455952</v>
      </c>
      <c r="AH26" s="42">
        <f>AG26/1440</f>
        <v>9.5110190666333337E-4</v>
      </c>
    </row>
    <row r="27" spans="1:37" x14ac:dyDescent="0.35">
      <c r="A27" s="137">
        <v>3</v>
      </c>
      <c r="B27" s="138">
        <v>43415</v>
      </c>
      <c r="C27" s="139">
        <v>0</v>
      </c>
      <c r="D27" s="139">
        <v>1</v>
      </c>
      <c r="E27" s="139">
        <v>1</v>
      </c>
      <c r="F27" s="140">
        <v>6.2731481481481484E-3</v>
      </c>
      <c r="G27" s="140">
        <v>0</v>
      </c>
      <c r="H27" s="140">
        <v>3.4722222222222224E-4</v>
      </c>
      <c r="I27" s="140">
        <v>6.1574074074074074E-3</v>
      </c>
      <c r="J27" s="140">
        <v>4.4907407407407405E-3</v>
      </c>
      <c r="K27" s="140">
        <v>2.0833333333333333E-3</v>
      </c>
      <c r="L27" s="140">
        <v>4.340277777777778E-3</v>
      </c>
      <c r="M27" s="140">
        <v>3.6805555555555554E-3</v>
      </c>
      <c r="N27" s="140">
        <v>0</v>
      </c>
      <c r="O27" s="140">
        <v>6.0648148148148145E-3</v>
      </c>
      <c r="P27" s="140">
        <v>1.3888888888888889E-3</v>
      </c>
      <c r="Q27" s="146">
        <f t="shared" si="7"/>
        <v>3.4826388888888886E-2</v>
      </c>
      <c r="R27" s="147">
        <f t="shared" si="8"/>
        <v>50.15</v>
      </c>
      <c r="T27" s="13">
        <v>1</v>
      </c>
      <c r="U27" s="1">
        <v>1</v>
      </c>
      <c r="AF27" s="36" t="s">
        <v>24</v>
      </c>
      <c r="AG27" s="36">
        <v>49.9</v>
      </c>
      <c r="AH27" s="42">
        <f>AG27/1440</f>
        <v>3.4652777777777775E-2</v>
      </c>
    </row>
    <row r="28" spans="1:37" x14ac:dyDescent="0.35">
      <c r="A28" s="11">
        <v>4</v>
      </c>
      <c r="B28" s="12">
        <v>43417</v>
      </c>
      <c r="C28" s="14">
        <v>0</v>
      </c>
      <c r="D28" s="14">
        <v>0</v>
      </c>
      <c r="E28" s="14">
        <v>1</v>
      </c>
      <c r="F28" s="5">
        <v>2.7777777777777779E-3</v>
      </c>
      <c r="G28" s="5">
        <v>0</v>
      </c>
      <c r="H28" s="5">
        <v>5.4398148148148144E-4</v>
      </c>
      <c r="I28" s="5">
        <v>2.7777777777777779E-3</v>
      </c>
      <c r="J28" s="5">
        <v>4.1666666666666666E-3</v>
      </c>
      <c r="K28" s="5">
        <v>2.1412037037037038E-3</v>
      </c>
      <c r="L28" s="5">
        <v>5.5555555555555558E-3</v>
      </c>
      <c r="M28" s="5">
        <v>3.1481481481481482E-3</v>
      </c>
      <c r="N28" s="5">
        <v>0</v>
      </c>
      <c r="O28" s="5">
        <v>5.115740740740741E-3</v>
      </c>
      <c r="P28" s="5">
        <v>1.4583333333333334E-3</v>
      </c>
      <c r="Q28" s="146">
        <f t="shared" si="7"/>
        <v>2.7685185185185188E-2</v>
      </c>
      <c r="R28" s="147">
        <f t="shared" si="8"/>
        <v>39.866666666666667</v>
      </c>
      <c r="T28" s="13"/>
      <c r="V28" s="1">
        <v>1</v>
      </c>
      <c r="AF28" s="36" t="s">
        <v>25</v>
      </c>
      <c r="AG28" s="36">
        <v>48.81666666666667</v>
      </c>
    </row>
    <row r="29" spans="1:37" x14ac:dyDescent="0.35">
      <c r="A29" s="11">
        <v>5</v>
      </c>
      <c r="B29" s="12">
        <v>43418</v>
      </c>
      <c r="C29" s="14">
        <v>0</v>
      </c>
      <c r="D29" s="14">
        <v>0</v>
      </c>
      <c r="E29" s="14">
        <v>1</v>
      </c>
      <c r="F29" s="20">
        <v>2.7546296296296294E-3</v>
      </c>
      <c r="G29" s="5">
        <v>0</v>
      </c>
      <c r="H29" s="5">
        <v>4.1666666666666669E-4</v>
      </c>
      <c r="I29" s="20">
        <v>3.7615740740740739E-3</v>
      </c>
      <c r="J29" s="20">
        <v>3.483796296296296E-3</v>
      </c>
      <c r="K29" s="20">
        <v>1.9675925925925928E-3</v>
      </c>
      <c r="L29" s="20">
        <v>5.2662037037037035E-3</v>
      </c>
      <c r="M29" s="20">
        <v>2.7893518518518519E-3</v>
      </c>
      <c r="N29" s="5">
        <v>0</v>
      </c>
      <c r="O29" s="20">
        <v>5.6712962962962958E-3</v>
      </c>
      <c r="P29" s="20">
        <v>1.2384259259259258E-3</v>
      </c>
      <c r="Q29" s="146">
        <f t="shared" si="7"/>
        <v>2.7349537037037033E-2</v>
      </c>
      <c r="R29" s="147">
        <f t="shared" si="8"/>
        <v>39.383333333333326</v>
      </c>
      <c r="V29" s="1">
        <v>1</v>
      </c>
      <c r="AF29" s="36" t="s">
        <v>26</v>
      </c>
      <c r="AG29" s="36">
        <v>5.6469508155349732</v>
      </c>
      <c r="AH29" s="42">
        <f>AG29/1440</f>
        <v>3.9214936218992871E-3</v>
      </c>
      <c r="AJ29">
        <f>AG25*0.8</f>
        <v>41.764705882352949</v>
      </c>
    </row>
    <row r="30" spans="1:37" x14ac:dyDescent="0.35">
      <c r="A30" s="11">
        <v>6</v>
      </c>
      <c r="B30" s="12">
        <v>43422</v>
      </c>
      <c r="C30" s="14">
        <v>1</v>
      </c>
      <c r="D30" s="14">
        <v>0</v>
      </c>
      <c r="E30" s="14">
        <v>1</v>
      </c>
      <c r="F30" s="20">
        <v>3.4027777777777784E-3</v>
      </c>
      <c r="G30" s="5">
        <v>0</v>
      </c>
      <c r="H30" s="5">
        <v>2.5462962962962961E-4</v>
      </c>
      <c r="I30" s="20">
        <v>4.0509259259259257E-3</v>
      </c>
      <c r="J30" s="20">
        <v>3.4490740740740745E-3</v>
      </c>
      <c r="K30" s="20">
        <v>1.4004629629629629E-3</v>
      </c>
      <c r="L30" s="20">
        <v>5.7291666666666671E-3</v>
      </c>
      <c r="M30" s="20">
        <v>3.2986111111111111E-3</v>
      </c>
      <c r="N30" s="5">
        <v>0</v>
      </c>
      <c r="O30" s="20">
        <v>4.9768518518518521E-3</v>
      </c>
      <c r="P30" s="20">
        <v>1.4004629629629629E-3</v>
      </c>
      <c r="Q30" s="146">
        <f t="shared" si="7"/>
        <v>2.7962962962962967E-2</v>
      </c>
      <c r="R30" s="147">
        <f t="shared" si="8"/>
        <v>40.266666666666673</v>
      </c>
      <c r="V30" s="1">
        <v>1</v>
      </c>
      <c r="AF30" s="36" t="s">
        <v>27</v>
      </c>
      <c r="AG30" s="36">
        <v>31.8880535130711</v>
      </c>
    </row>
    <row r="31" spans="1:37" x14ac:dyDescent="0.35">
      <c r="A31" s="11">
        <v>7</v>
      </c>
      <c r="B31" s="12">
        <v>43424</v>
      </c>
      <c r="C31" s="14">
        <v>0</v>
      </c>
      <c r="D31" s="14">
        <v>0</v>
      </c>
      <c r="E31" s="14">
        <v>1</v>
      </c>
      <c r="F31" s="20">
        <v>3.0671296296296297E-3</v>
      </c>
      <c r="G31" s="5">
        <v>0</v>
      </c>
      <c r="H31" s="5">
        <v>4.5138888888888892E-4</v>
      </c>
      <c r="I31" s="20">
        <v>5.185185185185185E-3</v>
      </c>
      <c r="J31" s="20">
        <v>4.1782407407407402E-3</v>
      </c>
      <c r="K31" s="20">
        <v>2.3379629629629631E-3</v>
      </c>
      <c r="L31" s="20">
        <v>5.2199074074074066E-3</v>
      </c>
      <c r="M31" s="20">
        <v>2.9166666666666668E-3</v>
      </c>
      <c r="N31" s="5">
        <v>0</v>
      </c>
      <c r="O31" s="20">
        <v>4.8032407407407407E-3</v>
      </c>
      <c r="P31" s="20">
        <v>1.3425925925925925E-3</v>
      </c>
      <c r="Q31" s="146">
        <f t="shared" si="7"/>
        <v>2.9502314814814815E-2</v>
      </c>
      <c r="R31" s="147">
        <f t="shared" si="8"/>
        <v>42.483333333333334</v>
      </c>
      <c r="V31" s="1">
        <v>1</v>
      </c>
      <c r="AF31" s="36" t="s">
        <v>28</v>
      </c>
      <c r="AG31" s="36">
        <v>1.8750522661381415</v>
      </c>
    </row>
    <row r="32" spans="1:37" x14ac:dyDescent="0.35">
      <c r="A32" s="11">
        <v>8</v>
      </c>
      <c r="B32" s="12">
        <v>43425</v>
      </c>
      <c r="C32" s="14">
        <v>0</v>
      </c>
      <c r="D32" s="14">
        <v>1</v>
      </c>
      <c r="E32" s="14">
        <v>0</v>
      </c>
      <c r="F32" s="20">
        <v>3.483796296296296E-3</v>
      </c>
      <c r="G32" s="5">
        <v>2.3263888888888887E-3</v>
      </c>
      <c r="H32" s="5">
        <v>0</v>
      </c>
      <c r="I32" s="20">
        <v>3.9583333333333337E-3</v>
      </c>
      <c r="J32" s="20">
        <v>3.645833333333333E-3</v>
      </c>
      <c r="K32" s="20">
        <v>1.5277777777777779E-3</v>
      </c>
      <c r="L32" s="20">
        <v>3.9583333333333337E-3</v>
      </c>
      <c r="M32" s="20">
        <v>3.4490740740740745E-3</v>
      </c>
      <c r="N32" s="5">
        <v>0</v>
      </c>
      <c r="O32" s="20">
        <v>5.1041666666666666E-3</v>
      </c>
      <c r="P32" s="20">
        <v>1.1921296296296296E-3</v>
      </c>
      <c r="Q32" s="146">
        <f t="shared" si="7"/>
        <v>2.8645833333333332E-2</v>
      </c>
      <c r="R32" s="147">
        <f t="shared" si="8"/>
        <v>41.25</v>
      </c>
      <c r="X32" s="1">
        <v>1</v>
      </c>
      <c r="AF32" s="36" t="s">
        <v>29</v>
      </c>
      <c r="AG32" s="36">
        <v>1.2648666605433374</v>
      </c>
    </row>
    <row r="33" spans="1:34" x14ac:dyDescent="0.35">
      <c r="A33" s="137">
        <v>9</v>
      </c>
      <c r="B33" s="138">
        <v>43428</v>
      </c>
      <c r="C33" s="139">
        <v>1</v>
      </c>
      <c r="D33" s="139">
        <v>1</v>
      </c>
      <c r="E33" s="139">
        <v>0</v>
      </c>
      <c r="F33" s="143">
        <v>5.9259259259259256E-3</v>
      </c>
      <c r="G33" s="140">
        <v>2.8356481481481479E-3</v>
      </c>
      <c r="H33" s="140">
        <v>3.4722222222222224E-4</v>
      </c>
      <c r="I33" s="143">
        <v>2.5231481481481481E-3</v>
      </c>
      <c r="J33" s="143">
        <v>3.7847222222222223E-3</v>
      </c>
      <c r="K33" s="143">
        <v>4.1898148148148146E-3</v>
      </c>
      <c r="L33" s="143">
        <v>2.3379629629629631E-3</v>
      </c>
      <c r="M33" s="143">
        <v>4.6180555555555558E-3</v>
      </c>
      <c r="N33" s="140">
        <v>0</v>
      </c>
      <c r="O33" s="143">
        <v>5.7638888888888887E-3</v>
      </c>
      <c r="P33" s="143">
        <v>2.4305555555555556E-3</v>
      </c>
      <c r="Q33" s="146">
        <f t="shared" si="7"/>
        <v>3.4756944444444444E-2</v>
      </c>
      <c r="R33" s="147">
        <f t="shared" si="8"/>
        <v>50.05</v>
      </c>
      <c r="T33" s="11">
        <v>2</v>
      </c>
      <c r="W33" s="1">
        <v>1</v>
      </c>
      <c r="AF33" s="36" t="s">
        <v>30</v>
      </c>
      <c r="AG33" s="36">
        <v>22.93333333333333</v>
      </c>
    </row>
    <row r="34" spans="1:34" x14ac:dyDescent="0.35">
      <c r="A34" s="11">
        <v>10</v>
      </c>
      <c r="B34" s="12">
        <v>43429</v>
      </c>
      <c r="C34" s="14">
        <v>1</v>
      </c>
      <c r="D34" s="14">
        <v>1</v>
      </c>
      <c r="E34" s="14">
        <v>1</v>
      </c>
      <c r="F34" s="5">
        <v>3.6805555555555554E-3</v>
      </c>
      <c r="G34" s="5">
        <v>0</v>
      </c>
      <c r="H34" s="5">
        <v>3.8194444444444446E-4</v>
      </c>
      <c r="I34" s="5">
        <v>3.6342592592592594E-3</v>
      </c>
      <c r="J34" s="5">
        <v>2.9861111111111113E-3</v>
      </c>
      <c r="K34" s="5">
        <v>8.6805555555555551E-4</v>
      </c>
      <c r="L34" s="5">
        <v>2.8009259259259259E-3</v>
      </c>
      <c r="M34" s="5">
        <v>3.2175925925925926E-3</v>
      </c>
      <c r="N34" s="5">
        <v>0</v>
      </c>
      <c r="O34" s="5">
        <v>5.6828703703703702E-3</v>
      </c>
      <c r="P34" s="5">
        <v>1.4814814814814814E-3</v>
      </c>
      <c r="Q34" s="146">
        <f t="shared" si="7"/>
        <v>2.4733796296296295E-2</v>
      </c>
      <c r="R34" s="147">
        <f t="shared" si="8"/>
        <v>35.616666666666667</v>
      </c>
      <c r="V34" s="1">
        <v>1</v>
      </c>
      <c r="AC34" s="1">
        <f>67.2 - 44.26667</f>
        <v>22.933330000000005</v>
      </c>
      <c r="AF34" s="36" t="s">
        <v>31</v>
      </c>
      <c r="AG34" s="36">
        <v>44.266666666666673</v>
      </c>
      <c r="AH34" s="42">
        <f>AG34/1440</f>
        <v>3.0740740740740746E-2</v>
      </c>
    </row>
    <row r="35" spans="1:34" x14ac:dyDescent="0.35">
      <c r="A35" s="11">
        <v>11</v>
      </c>
      <c r="B35" s="12">
        <v>43432</v>
      </c>
      <c r="C35" s="14">
        <v>0</v>
      </c>
      <c r="D35" s="14">
        <v>0</v>
      </c>
      <c r="E35" s="14">
        <v>1</v>
      </c>
      <c r="F35" s="20">
        <v>4.7453703703703703E-3</v>
      </c>
      <c r="G35" s="5">
        <v>0</v>
      </c>
      <c r="H35" s="5">
        <v>2.8935185185185189E-4</v>
      </c>
      <c r="I35" s="20">
        <v>4.4212962962962956E-3</v>
      </c>
      <c r="J35" s="20">
        <v>4.0856481481481481E-3</v>
      </c>
      <c r="K35" s="20">
        <v>1.6319444444444445E-3</v>
      </c>
      <c r="L35" s="20">
        <v>3.6805555555555554E-3</v>
      </c>
      <c r="M35" s="20">
        <v>3.645833333333333E-3</v>
      </c>
      <c r="N35" s="5">
        <v>0</v>
      </c>
      <c r="O35" s="20">
        <v>5.0347222222222225E-3</v>
      </c>
      <c r="P35" s="20">
        <v>1.6087962962962963E-3</v>
      </c>
      <c r="Q35" s="15">
        <f t="shared" si="7"/>
        <v>2.914351851851852E-2</v>
      </c>
      <c r="R35" s="40">
        <f t="shared" si="8"/>
        <v>41.966666666666669</v>
      </c>
      <c r="X35" s="1">
        <v>1</v>
      </c>
      <c r="AF35" s="36" t="s">
        <v>32</v>
      </c>
      <c r="AG35" s="36">
        <v>67.2</v>
      </c>
      <c r="AH35" s="42">
        <f>AG35/1440</f>
        <v>4.6666666666666669E-2</v>
      </c>
    </row>
    <row r="36" spans="1:34" x14ac:dyDescent="0.35">
      <c r="A36" s="11">
        <v>12</v>
      </c>
      <c r="B36" s="12">
        <v>43435</v>
      </c>
      <c r="C36" s="14">
        <v>1</v>
      </c>
      <c r="D36" s="14">
        <v>1</v>
      </c>
      <c r="E36" s="14">
        <v>0</v>
      </c>
      <c r="F36" s="20">
        <v>3.7268518518518514E-3</v>
      </c>
      <c r="G36" s="5">
        <v>1.9097222222222222E-3</v>
      </c>
      <c r="H36" s="5">
        <v>0</v>
      </c>
      <c r="I36" s="20">
        <v>3.6111111111111114E-3</v>
      </c>
      <c r="J36" s="23">
        <v>4.2824074074074075E-3</v>
      </c>
      <c r="K36" s="23">
        <v>1.9907407407407408E-3</v>
      </c>
      <c r="L36" s="23">
        <v>5.4976851851851853E-3</v>
      </c>
      <c r="M36" s="23">
        <v>3.6342592592592594E-3</v>
      </c>
      <c r="N36" s="5">
        <v>0</v>
      </c>
      <c r="O36" s="23">
        <v>4.6874999999999998E-3</v>
      </c>
      <c r="P36" s="23">
        <v>1.0995370370370371E-3</v>
      </c>
      <c r="Q36" s="24">
        <f t="shared" ref="Q36:Q37" si="9">SUM(F36:P36)</f>
        <v>3.0439814814814819E-2</v>
      </c>
      <c r="R36" s="40">
        <f t="shared" si="8"/>
        <v>43.833333333333336</v>
      </c>
      <c r="V36" s="1">
        <v>1</v>
      </c>
      <c r="AF36" s="36" t="s">
        <v>33</v>
      </c>
      <c r="AG36" s="36">
        <v>887.50000000000011</v>
      </c>
    </row>
    <row r="37" spans="1:34" ht="15" thickBot="1" x14ac:dyDescent="0.4">
      <c r="A37" s="11">
        <v>13</v>
      </c>
      <c r="B37" s="12">
        <v>43436</v>
      </c>
      <c r="C37" s="14">
        <v>1</v>
      </c>
      <c r="D37" s="14">
        <v>1</v>
      </c>
      <c r="E37" s="14">
        <v>1</v>
      </c>
      <c r="F37" s="20">
        <v>6.3773148148148148E-3</v>
      </c>
      <c r="G37" s="20">
        <v>0</v>
      </c>
      <c r="H37" s="5">
        <v>3.1250000000000001E-4</v>
      </c>
      <c r="I37" s="20">
        <v>3.5185185185185185E-3</v>
      </c>
      <c r="J37" s="23">
        <v>2.9282407407407412E-3</v>
      </c>
      <c r="K37" s="23">
        <v>1.3541666666666667E-3</v>
      </c>
      <c r="L37" s="23">
        <v>2.9166666666666668E-3</v>
      </c>
      <c r="M37" s="23">
        <v>3.2986111111111111E-3</v>
      </c>
      <c r="N37" s="5">
        <v>0</v>
      </c>
      <c r="O37" s="23">
        <v>5.4166666666666669E-3</v>
      </c>
      <c r="P37" s="23">
        <v>1.6782407407407406E-3</v>
      </c>
      <c r="Q37" s="24">
        <f t="shared" si="9"/>
        <v>2.7800925925925927E-2</v>
      </c>
      <c r="R37" s="40">
        <f t="shared" si="8"/>
        <v>40.033333333333331</v>
      </c>
      <c r="V37" s="1">
        <v>1</v>
      </c>
      <c r="AF37" s="37" t="s">
        <v>34</v>
      </c>
      <c r="AG37" s="37">
        <v>17</v>
      </c>
      <c r="AH37" s="47"/>
    </row>
    <row r="38" spans="1:34" x14ac:dyDescent="0.35">
      <c r="S38" s="81">
        <f>SUM(R25:R37)/13</f>
        <v>41.907692307692315</v>
      </c>
      <c r="U38" s="1">
        <f>SUM(U24:U37)</f>
        <v>1</v>
      </c>
      <c r="V38" s="1">
        <f>SUM(V24:V37)</f>
        <v>9</v>
      </c>
      <c r="W38" s="1">
        <f>SUM(W24:W37)</f>
        <v>1</v>
      </c>
      <c r="X38" s="1">
        <f>SUM(X24:X37)</f>
        <v>2</v>
      </c>
      <c r="AF38" s="36"/>
      <c r="AG38" s="36"/>
    </row>
    <row r="39" spans="1:34" ht="44" thickBot="1" x14ac:dyDescent="0.4">
      <c r="D39" s="19" t="s">
        <v>17</v>
      </c>
      <c r="E39" s="19"/>
      <c r="F39" s="19" t="s">
        <v>1</v>
      </c>
      <c r="G39" s="19" t="s">
        <v>15</v>
      </c>
      <c r="H39" s="19" t="s">
        <v>14</v>
      </c>
      <c r="I39" s="19" t="s">
        <v>2</v>
      </c>
      <c r="J39" s="19" t="s">
        <v>3</v>
      </c>
      <c r="K39" s="26" t="s">
        <v>4</v>
      </c>
      <c r="L39" s="26" t="s">
        <v>5</v>
      </c>
      <c r="M39" s="26" t="s">
        <v>6</v>
      </c>
      <c r="N39" s="26" t="s">
        <v>7</v>
      </c>
      <c r="O39" s="26" t="s">
        <v>8</v>
      </c>
      <c r="P39" s="26" t="s">
        <v>9</v>
      </c>
      <c r="Q39" s="15"/>
    </row>
    <row r="40" spans="1:34" ht="29.5" thickBot="1" x14ac:dyDescent="0.4">
      <c r="D40" s="19" t="s">
        <v>18</v>
      </c>
      <c r="E40" s="19"/>
      <c r="F40" s="5">
        <f t="shared" ref="F40:P40" si="10">SUM(F25:F38)</f>
        <v>5.3506944444444447E-2</v>
      </c>
      <c r="G40" s="5">
        <f t="shared" si="10"/>
        <v>7.0717592592592585E-3</v>
      </c>
      <c r="H40" s="5">
        <f t="shared" si="10"/>
        <v>4.1550925925925922E-3</v>
      </c>
      <c r="I40" s="5">
        <f t="shared" si="10"/>
        <v>5.25925925925926E-2</v>
      </c>
      <c r="J40" s="5">
        <f t="shared" si="10"/>
        <v>4.822916666666667E-2</v>
      </c>
      <c r="K40" s="5">
        <f t="shared" si="10"/>
        <v>2.4328703703703707E-2</v>
      </c>
      <c r="L40" s="5">
        <f t="shared" si="10"/>
        <v>5.7187500000000002E-2</v>
      </c>
      <c r="M40" s="5">
        <f t="shared" si="10"/>
        <v>4.3576388888888894E-2</v>
      </c>
      <c r="N40" s="5">
        <f t="shared" si="10"/>
        <v>0</v>
      </c>
      <c r="O40" s="5">
        <f t="shared" si="10"/>
        <v>6.8391203703703704E-2</v>
      </c>
      <c r="P40" s="5">
        <f t="shared" si="10"/>
        <v>1.9293981481481481E-2</v>
      </c>
      <c r="Q40" s="15">
        <f>SUM(F40:P40)</f>
        <v>0.37833333333333335</v>
      </c>
      <c r="AF40" s="38" t="s">
        <v>70</v>
      </c>
      <c r="AG40" s="38"/>
      <c r="AH40" s="48" t="s">
        <v>40</v>
      </c>
    </row>
    <row r="41" spans="1:34" ht="43.5" x14ac:dyDescent="0.35">
      <c r="D41" s="19" t="s">
        <v>19</v>
      </c>
      <c r="E41" s="19"/>
      <c r="F41" s="28">
        <f>F40/Q40</f>
        <v>0.141428046989721</v>
      </c>
      <c r="G41" s="28">
        <f>G40/Q40</f>
        <v>1.8691874694077334E-2</v>
      </c>
      <c r="H41" s="28">
        <f>H40/Q40</f>
        <v>1.0982623592755749E-2</v>
      </c>
      <c r="I41" s="28">
        <f>I40/Q40</f>
        <v>0.13901125795398925</v>
      </c>
      <c r="J41" s="28">
        <f>J40/Q40</f>
        <v>0.12747797356828194</v>
      </c>
      <c r="K41" s="28">
        <f>K40/Q40</f>
        <v>6.4304943710230059E-2</v>
      </c>
      <c r="L41" s="28">
        <f>L40/Q40</f>
        <v>0.15115638766519823</v>
      </c>
      <c r="M41" s="28">
        <f>M40/Q40</f>
        <v>0.11517988252569751</v>
      </c>
      <c r="N41" s="28">
        <f>N40/Q40</f>
        <v>0</v>
      </c>
      <c r="O41" s="28">
        <f>O40/Q40</f>
        <v>0.18076970141948115</v>
      </c>
      <c r="P41" s="28">
        <f>P40/Q40</f>
        <v>5.0997307880567791E-2</v>
      </c>
      <c r="Q41" s="29">
        <f>SUM(F41:P41)</f>
        <v>1.0000000000000002</v>
      </c>
      <c r="AF41" s="36"/>
      <c r="AG41" s="36"/>
    </row>
    <row r="42" spans="1:34" x14ac:dyDescent="0.35">
      <c r="AF42" s="36" t="s">
        <v>22</v>
      </c>
      <c r="AG42" s="36">
        <v>41.907692307692315</v>
      </c>
      <c r="AH42" s="42">
        <f>AG42/1440</f>
        <v>2.9102564102564107E-2</v>
      </c>
    </row>
    <row r="43" spans="1:34" x14ac:dyDescent="0.35">
      <c r="AF43" s="36" t="s">
        <v>23</v>
      </c>
      <c r="AG43" s="36">
        <v>1.1414781106139258</v>
      </c>
      <c r="AH43" s="42">
        <f>AG43/1440</f>
        <v>7.9269313237078178E-4</v>
      </c>
    </row>
    <row r="44" spans="1:34" x14ac:dyDescent="0.35">
      <c r="AF44" s="36" t="s">
        <v>24</v>
      </c>
      <c r="AG44" s="36">
        <v>40.483333333333334</v>
      </c>
      <c r="AH44" s="42">
        <f>AG44/1440</f>
        <v>2.8113425925925927E-2</v>
      </c>
    </row>
    <row r="45" spans="1:34" ht="29" x14ac:dyDescent="0.35">
      <c r="F45" s="19" t="s">
        <v>17</v>
      </c>
      <c r="G45" s="19" t="s">
        <v>18</v>
      </c>
      <c r="H45" s="19" t="s">
        <v>20</v>
      </c>
      <c r="I45" s="19" t="s">
        <v>21</v>
      </c>
      <c r="J45" s="32" t="s">
        <v>41</v>
      </c>
      <c r="AF45" s="36" t="s">
        <v>25</v>
      </c>
      <c r="AG45" s="36" t="e">
        <v>#N/A</v>
      </c>
    </row>
    <row r="46" spans="1:34" x14ac:dyDescent="0.35">
      <c r="F46" s="111" t="s">
        <v>8</v>
      </c>
      <c r="G46" s="5">
        <f>O40</f>
        <v>6.8391203703703704E-2</v>
      </c>
      <c r="H46" s="30">
        <f>R25</f>
        <v>40.483333333333334</v>
      </c>
      <c r="I46" s="30">
        <f t="shared" ref="I46:I56" si="11">G46*24</f>
        <v>1.6413888888888888</v>
      </c>
      <c r="J46" s="28">
        <f>I46/I57</f>
        <v>0.18076970141948115</v>
      </c>
      <c r="AF46" s="36" t="s">
        <v>26</v>
      </c>
      <c r="AG46" s="36">
        <v>4.115657857638265</v>
      </c>
      <c r="AH46" s="42">
        <f>AG46/1440</f>
        <v>2.8580957344710172E-3</v>
      </c>
    </row>
    <row r="47" spans="1:34" x14ac:dyDescent="0.35">
      <c r="F47" s="111" t="s">
        <v>5</v>
      </c>
      <c r="G47" s="5">
        <f>L40</f>
        <v>5.7187500000000002E-2</v>
      </c>
      <c r="H47" s="30">
        <f t="shared" ref="H47:H56" si="12">G47*1440</f>
        <v>82.350000000000009</v>
      </c>
      <c r="I47" s="30">
        <f t="shared" si="11"/>
        <v>1.3725000000000001</v>
      </c>
      <c r="J47" s="28">
        <f>I47/I57+J46</f>
        <v>0.33192608908467935</v>
      </c>
      <c r="AF47" s="36" t="s">
        <v>27</v>
      </c>
      <c r="AG47" s="36">
        <v>16.938639601139595</v>
      </c>
    </row>
    <row r="48" spans="1:34" x14ac:dyDescent="0.35">
      <c r="F48" s="19" t="s">
        <v>1</v>
      </c>
      <c r="G48" s="5">
        <f>F40</f>
        <v>5.3506944444444447E-2</v>
      </c>
      <c r="H48" s="30">
        <f t="shared" si="12"/>
        <v>77.05</v>
      </c>
      <c r="I48" s="30">
        <f t="shared" si="11"/>
        <v>1.2841666666666667</v>
      </c>
      <c r="J48" s="28">
        <f>I48/I57+J47</f>
        <v>0.47335413607440036</v>
      </c>
      <c r="AF48" s="36" t="s">
        <v>28</v>
      </c>
      <c r="AG48" s="36">
        <v>1.2199817008325682</v>
      </c>
    </row>
    <row r="49" spans="6:34" x14ac:dyDescent="0.35">
      <c r="F49" s="19" t="s">
        <v>2</v>
      </c>
      <c r="G49" s="5">
        <f>I40</f>
        <v>5.25925925925926E-2</v>
      </c>
      <c r="H49" s="30">
        <f t="shared" si="12"/>
        <v>75.733333333333348</v>
      </c>
      <c r="I49" s="30">
        <f t="shared" si="11"/>
        <v>1.2622222222222224</v>
      </c>
      <c r="J49" s="28">
        <f>I49/I57+J48</f>
        <v>0.61236539402838963</v>
      </c>
      <c r="AF49" s="36" t="s">
        <v>29</v>
      </c>
      <c r="AG49" s="36">
        <v>1.1356532767596399</v>
      </c>
    </row>
    <row r="50" spans="6:34" x14ac:dyDescent="0.35">
      <c r="F50" s="19" t="s">
        <v>3</v>
      </c>
      <c r="G50" s="5">
        <f>J40</f>
        <v>4.822916666666667E-2</v>
      </c>
      <c r="H50" s="30">
        <f t="shared" si="12"/>
        <v>69.45</v>
      </c>
      <c r="I50" s="30">
        <f t="shared" si="11"/>
        <v>1.1575000000000002</v>
      </c>
      <c r="J50" s="28">
        <f>I50/I57+J49</f>
        <v>0.73984336759667158</v>
      </c>
      <c r="AF50" s="36" t="s">
        <v>30</v>
      </c>
      <c r="AG50" s="36">
        <v>14.533333333333331</v>
      </c>
    </row>
    <row r="51" spans="6:34" x14ac:dyDescent="0.35">
      <c r="F51" s="111" t="s">
        <v>6</v>
      </c>
      <c r="G51" s="5">
        <f>M40</f>
        <v>4.3576388888888894E-2</v>
      </c>
      <c r="H51" s="30">
        <f t="shared" si="12"/>
        <v>62.750000000000007</v>
      </c>
      <c r="I51" s="30">
        <f t="shared" si="11"/>
        <v>1.0458333333333334</v>
      </c>
      <c r="J51" s="28">
        <f>I51/I57+J50</f>
        <v>0.85502325012236913</v>
      </c>
      <c r="AF51" s="36" t="s">
        <v>31</v>
      </c>
      <c r="AG51" s="36">
        <v>35.616666666666667</v>
      </c>
      <c r="AH51" s="42">
        <f>AG51/1440</f>
        <v>2.4733796296296295E-2</v>
      </c>
    </row>
    <row r="52" spans="6:34" x14ac:dyDescent="0.35">
      <c r="F52" s="111" t="s">
        <v>4</v>
      </c>
      <c r="G52" s="5">
        <f>K40</f>
        <v>2.4328703703703707E-2</v>
      </c>
      <c r="H52" s="30">
        <f t="shared" si="12"/>
        <v>35.033333333333339</v>
      </c>
      <c r="I52" s="30">
        <f t="shared" si="11"/>
        <v>0.5838888888888889</v>
      </c>
      <c r="J52" s="28">
        <f>I52/I57+J51</f>
        <v>0.91932819383259923</v>
      </c>
      <c r="AF52" s="36" t="s">
        <v>32</v>
      </c>
      <c r="AG52" s="36">
        <v>50.15</v>
      </c>
      <c r="AH52" s="42">
        <f>AG52/1440</f>
        <v>3.4826388888888886E-2</v>
      </c>
    </row>
    <row r="53" spans="6:34" x14ac:dyDescent="0.35">
      <c r="F53" s="111" t="s">
        <v>9</v>
      </c>
      <c r="G53" s="5">
        <f>P40</f>
        <v>1.9293981481481481E-2</v>
      </c>
      <c r="H53" s="30">
        <f t="shared" si="12"/>
        <v>27.783333333333331</v>
      </c>
      <c r="I53" s="30">
        <f t="shared" si="11"/>
        <v>0.46305555555555555</v>
      </c>
      <c r="J53" s="28">
        <f>I53/I57+J52</f>
        <v>0.970325501713167</v>
      </c>
      <c r="AF53" s="36" t="s">
        <v>33</v>
      </c>
      <c r="AG53" s="36">
        <v>544.80000000000007</v>
      </c>
    </row>
    <row r="54" spans="6:34" ht="15" thickBot="1" x14ac:dyDescent="0.4">
      <c r="F54" s="19" t="s">
        <v>15</v>
      </c>
      <c r="G54" s="5">
        <f>G40</f>
        <v>7.0717592592592585E-3</v>
      </c>
      <c r="H54" s="30">
        <f t="shared" si="12"/>
        <v>10.183333333333332</v>
      </c>
      <c r="I54" s="30">
        <f t="shared" si="11"/>
        <v>0.16972222222222222</v>
      </c>
      <c r="J54" s="28">
        <f>I54/I57+J53</f>
        <v>0.9890173764072443</v>
      </c>
      <c r="AF54" s="37" t="s">
        <v>34</v>
      </c>
      <c r="AG54" s="37">
        <v>13</v>
      </c>
      <c r="AH54" s="47"/>
    </row>
    <row r="55" spans="6:34" x14ac:dyDescent="0.35">
      <c r="F55" s="19" t="s">
        <v>14</v>
      </c>
      <c r="G55" s="5">
        <f>H40</f>
        <v>4.1550925925925922E-3</v>
      </c>
      <c r="H55" s="30">
        <f t="shared" si="12"/>
        <v>5.9833333333333325</v>
      </c>
      <c r="I55" s="30">
        <f t="shared" si="11"/>
        <v>9.9722222222222212E-2</v>
      </c>
      <c r="J55" s="28">
        <f>I55/I57+J54</f>
        <v>1</v>
      </c>
    </row>
    <row r="56" spans="6:34" x14ac:dyDescent="0.35">
      <c r="F56" s="111" t="s">
        <v>7</v>
      </c>
      <c r="G56" s="5">
        <f>N40</f>
        <v>0</v>
      </c>
      <c r="H56" s="30">
        <f t="shared" si="12"/>
        <v>0</v>
      </c>
      <c r="I56" s="30">
        <f t="shared" si="11"/>
        <v>0</v>
      </c>
      <c r="J56" s="28">
        <f>I56/I57+J55</f>
        <v>1</v>
      </c>
    </row>
    <row r="57" spans="6:34" x14ac:dyDescent="0.35">
      <c r="F57" s="1"/>
      <c r="G57" s="27">
        <f>SUM(G46:G56)</f>
        <v>0.37833333333333335</v>
      </c>
      <c r="H57" s="30">
        <f t="shared" ref="H57" si="13">G57*1440</f>
        <v>544.80000000000007</v>
      </c>
      <c r="I57" s="30">
        <f t="shared" ref="I57" si="14">G57*24</f>
        <v>9.08</v>
      </c>
      <c r="J57" s="33"/>
    </row>
  </sheetData>
  <sortState ref="F46:I56">
    <sortCondition descending="1" ref="I46:I56"/>
  </sortState>
  <mergeCells count="2">
    <mergeCell ref="A3:B3"/>
    <mergeCell ref="A24:B24"/>
  </mergeCells>
  <pageMargins left="0.25" right="0.25" top="0.75" bottom="0.75" header="0.3" footer="0.3"/>
  <pageSetup scale="71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2DB9-B136-4916-8049-B9A5AEB25F34}">
  <dimension ref="C4:L18"/>
  <sheetViews>
    <sheetView workbookViewId="0">
      <selection activeCell="L6" sqref="L6"/>
    </sheetView>
  </sheetViews>
  <sheetFormatPr defaultRowHeight="14.5" x14ac:dyDescent="0.35"/>
  <sheetData>
    <row r="4" spans="3:12" x14ac:dyDescent="0.35">
      <c r="L4">
        <f>((1.95*5)/3)*((1.95*5)/3)</f>
        <v>10.5625</v>
      </c>
    </row>
    <row r="5" spans="3:12" x14ac:dyDescent="0.35">
      <c r="C5" t="s">
        <v>131</v>
      </c>
      <c r="L5">
        <f>((1.645*5)/2)*((1.645*5)/2)</f>
        <v>16.912656249999998</v>
      </c>
    </row>
    <row r="6" spans="3:12" x14ac:dyDescent="0.35">
      <c r="D6" t="s">
        <v>134</v>
      </c>
      <c r="E6">
        <v>2.12</v>
      </c>
      <c r="L6">
        <f>((1.95*5)/2)*((1.95*5)/2)</f>
        <v>23.765625</v>
      </c>
    </row>
    <row r="7" spans="3:12" x14ac:dyDescent="0.35">
      <c r="D7" t="s">
        <v>132</v>
      </c>
      <c r="E7">
        <v>0.05</v>
      </c>
    </row>
    <row r="8" spans="3:12" x14ac:dyDescent="0.35">
      <c r="D8" t="s">
        <v>133</v>
      </c>
      <c r="E8">
        <v>17</v>
      </c>
    </row>
    <row r="9" spans="3:12" x14ac:dyDescent="0.35">
      <c r="D9" t="s">
        <v>132</v>
      </c>
      <c r="E9">
        <v>0.05</v>
      </c>
      <c r="L9">
        <f>((1.95*5)/2)</f>
        <v>4.875</v>
      </c>
    </row>
    <row r="10" spans="3:12" x14ac:dyDescent="0.35">
      <c r="G10" t="s">
        <v>52</v>
      </c>
      <c r="H10" t="s">
        <v>136</v>
      </c>
      <c r="L10">
        <f>L9*L9</f>
        <v>23.765625</v>
      </c>
    </row>
    <row r="11" spans="3:12" x14ac:dyDescent="0.35">
      <c r="G11">
        <f>52.2059+2.12*(5.648/SQRT(17))</f>
        <v>55.109963365635039</v>
      </c>
      <c r="H11">
        <f>52.2059-2.12*(5.648/SQRT(17))</f>
        <v>49.30183663436496</v>
      </c>
    </row>
    <row r="13" spans="3:12" x14ac:dyDescent="0.35">
      <c r="G13" t="s">
        <v>135</v>
      </c>
      <c r="H13">
        <f>2.12*(5.648/SQRT(17))</f>
        <v>2.9040633656350421</v>
      </c>
    </row>
    <row r="16" spans="3:12" x14ac:dyDescent="0.35">
      <c r="D16">
        <f>_xlfn.CONFIDENCE.NORM(0.05,5.648,17)</f>
        <v>2.6848394365409693</v>
      </c>
    </row>
    <row r="18" spans="4:4" x14ac:dyDescent="0.35">
      <c r="D18">
        <f>_xlfn.CONFIDENCE.T(0.05,5.648,17)</f>
        <v>2.9039336406056786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071E-B3F9-4231-88B4-A50E30489484}">
  <dimension ref="A1:AC53"/>
  <sheetViews>
    <sheetView topLeftCell="M4" zoomScale="75" zoomScaleNormal="75" workbookViewId="0">
      <selection activeCell="Z16" sqref="Z16"/>
    </sheetView>
  </sheetViews>
  <sheetFormatPr defaultRowHeight="14.5" x14ac:dyDescent="0.35"/>
  <cols>
    <col min="2" max="2" width="11.453125" customWidth="1"/>
    <col min="3" max="3" width="13.36328125" hidden="1" customWidth="1"/>
    <col min="4" max="4" width="14.08984375" hidden="1" customWidth="1"/>
    <col min="5" max="5" width="13.453125" hidden="1" customWidth="1"/>
    <col min="6" max="6" width="14.54296875" customWidth="1"/>
    <col min="7" max="7" width="17.81640625" customWidth="1"/>
    <col min="8" max="8" width="13.1796875" bestFit="1" customWidth="1"/>
    <col min="9" max="9" width="15.90625" bestFit="1" customWidth="1"/>
    <col min="10" max="10" width="14" customWidth="1"/>
    <col min="11" max="11" width="11.7265625" customWidth="1"/>
    <col min="12" max="12" width="12.26953125" customWidth="1"/>
    <col min="13" max="13" width="13.26953125" customWidth="1"/>
    <col min="14" max="14" width="12.08984375" customWidth="1"/>
    <col min="15" max="15" width="11.7265625" customWidth="1"/>
    <col min="16" max="16" width="12.26953125" bestFit="1" customWidth="1"/>
    <col min="17" max="17" width="9.7265625" customWidth="1"/>
    <col min="18" max="18" width="17.90625" bestFit="1" customWidth="1"/>
    <col min="19" max="19" width="13.1796875" bestFit="1" customWidth="1"/>
    <col min="21" max="21" width="18.54296875" style="94" bestFit="1" customWidth="1"/>
    <col min="22" max="22" width="19.36328125" style="94" bestFit="1" customWidth="1"/>
    <col min="23" max="23" width="14.26953125" style="94" bestFit="1" customWidth="1"/>
    <col min="24" max="24" width="15.81640625" style="94" customWidth="1"/>
    <col min="25" max="25" width="13.1796875" style="94" bestFit="1" customWidth="1"/>
    <col min="26" max="26" width="13.7265625" style="94" bestFit="1" customWidth="1"/>
    <col min="27" max="27" width="13.1796875" style="94" bestFit="1" customWidth="1"/>
    <col min="28" max="28" width="13.7265625" style="94" bestFit="1" customWidth="1"/>
    <col min="29" max="29" width="13.1796875" style="94" bestFit="1" customWidth="1"/>
  </cols>
  <sheetData>
    <row r="1" spans="1:26" x14ac:dyDescent="0.35">
      <c r="A1" t="s">
        <v>83</v>
      </c>
    </row>
    <row r="2" spans="1:26" x14ac:dyDescent="0.35">
      <c r="A2" s="90"/>
      <c r="B2" s="90"/>
      <c r="C2" s="19" t="s">
        <v>93</v>
      </c>
      <c r="D2" s="19" t="s">
        <v>123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94</v>
      </c>
      <c r="O2" s="19" t="s">
        <v>95</v>
      </c>
      <c r="P2" s="19" t="s">
        <v>124</v>
      </c>
      <c r="Q2" s="19"/>
      <c r="R2" s="39"/>
    </row>
    <row r="3" spans="1:26" ht="24.5" customHeight="1" x14ac:dyDescent="0.35">
      <c r="A3" s="90"/>
      <c r="B3" s="90" t="s">
        <v>0</v>
      </c>
      <c r="C3" s="19" t="s">
        <v>12</v>
      </c>
      <c r="D3" s="19" t="s">
        <v>13</v>
      </c>
      <c r="E3" s="19" t="s">
        <v>71</v>
      </c>
      <c r="F3" s="19" t="s">
        <v>1</v>
      </c>
      <c r="G3" s="19" t="s">
        <v>15</v>
      </c>
      <c r="H3" s="19" t="s">
        <v>14</v>
      </c>
      <c r="I3" s="19" t="s">
        <v>2</v>
      </c>
      <c r="J3" s="19" t="s">
        <v>3</v>
      </c>
      <c r="K3" s="90" t="s">
        <v>4</v>
      </c>
      <c r="L3" s="90" t="s">
        <v>5</v>
      </c>
      <c r="M3" s="90" t="s">
        <v>6</v>
      </c>
      <c r="N3" s="90" t="s">
        <v>7</v>
      </c>
      <c r="O3" s="90" t="s">
        <v>8</v>
      </c>
      <c r="P3" s="90" t="s">
        <v>9</v>
      </c>
      <c r="Q3" s="19" t="s">
        <v>11</v>
      </c>
      <c r="R3" s="39" t="s">
        <v>45</v>
      </c>
    </row>
    <row r="4" spans="1:26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3.1712962962962958E-3</v>
      </c>
      <c r="N4" s="5">
        <v>2.7777777777777779E-3</v>
      </c>
      <c r="O4" s="5">
        <v>7.1874999999999994E-3</v>
      </c>
      <c r="P4" s="5">
        <v>1.3888888888888889E-3</v>
      </c>
      <c r="Q4" s="15">
        <f t="shared" ref="Q4:Q20" si="0">SUM(F4:P4)</f>
        <v>3.4652777777777775E-2</v>
      </c>
      <c r="R4" s="40">
        <f t="shared" ref="R4:R20" si="1">Q4*1440</f>
        <v>49.9</v>
      </c>
    </row>
    <row r="5" spans="1:26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3.37962962962963E-3</v>
      </c>
      <c r="N5" s="5">
        <v>4.4212962962962956E-3</v>
      </c>
      <c r="O5" s="5">
        <v>7.1527777777777787E-3</v>
      </c>
      <c r="P5" s="5">
        <v>1.5046296296296294E-3</v>
      </c>
      <c r="Q5" s="15">
        <f t="shared" si="0"/>
        <v>4.0092592592592589E-2</v>
      </c>
      <c r="R5" s="40">
        <f t="shared" si="1"/>
        <v>57.733333333333327</v>
      </c>
      <c r="U5" s="94" t="s">
        <v>98</v>
      </c>
    </row>
    <row r="6" spans="1:26" ht="15" thickBot="1" x14ac:dyDescent="0.4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3.6111111111111114E-3</v>
      </c>
      <c r="N6" s="5">
        <v>2.0833333333333333E-3</v>
      </c>
      <c r="O6" s="5">
        <v>7.6388888888888886E-3</v>
      </c>
      <c r="P6" s="5">
        <v>2.0833333333333333E-3</v>
      </c>
      <c r="Q6" s="15">
        <f t="shared" si="0"/>
        <v>3.8344907407407404E-2</v>
      </c>
      <c r="R6" s="40">
        <f t="shared" si="1"/>
        <v>55.216666666666661</v>
      </c>
    </row>
    <row r="7" spans="1:26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2.3611111111111111E-3</v>
      </c>
      <c r="N7" s="5">
        <v>3.1712962962962958E-3</v>
      </c>
      <c r="O7" s="5">
        <v>5.7638888888888887E-3</v>
      </c>
      <c r="P7" s="5">
        <v>1.8055555555555557E-3</v>
      </c>
      <c r="Q7" s="15">
        <f t="shared" si="0"/>
        <v>3.0740740740740746E-2</v>
      </c>
      <c r="R7" s="40">
        <f t="shared" si="1"/>
        <v>44.266666666666673</v>
      </c>
      <c r="U7" s="95" t="s">
        <v>99</v>
      </c>
      <c r="V7" s="95"/>
    </row>
    <row r="8" spans="1:26" x14ac:dyDescent="0.35">
      <c r="A8" s="11">
        <v>5</v>
      </c>
      <c r="B8" s="12">
        <v>43387</v>
      </c>
      <c r="C8" s="14">
        <v>1</v>
      </c>
      <c r="D8" s="14">
        <v>1</v>
      </c>
      <c r="E8" s="14">
        <v>0</v>
      </c>
      <c r="F8" s="5">
        <v>7.743055555555556E-3</v>
      </c>
      <c r="G8" s="5">
        <v>3.9236111111111112E-3</v>
      </c>
      <c r="H8" s="5">
        <v>0</v>
      </c>
      <c r="I8" s="5">
        <v>2.9976851851851848E-3</v>
      </c>
      <c r="J8" s="5">
        <v>5.138888888888889E-3</v>
      </c>
      <c r="K8" s="5">
        <v>2.2453703703703702E-3</v>
      </c>
      <c r="L8" s="5">
        <v>4.2939814814814811E-3</v>
      </c>
      <c r="M8" s="5">
        <v>5.5671296296296302E-3</v>
      </c>
      <c r="N8" s="5">
        <v>4.2361111111111106E-3</v>
      </c>
      <c r="O8" s="5">
        <v>9.7222222222222224E-3</v>
      </c>
      <c r="P8" s="5">
        <v>7.9861111111111105E-4</v>
      </c>
      <c r="Q8" s="15">
        <f t="shared" si="0"/>
        <v>4.6666666666666669E-2</v>
      </c>
      <c r="R8" s="40">
        <f t="shared" si="1"/>
        <v>67.2</v>
      </c>
      <c r="U8" s="96" t="s">
        <v>100</v>
      </c>
      <c r="V8" s="96">
        <v>0.96548516096659442</v>
      </c>
    </row>
    <row r="9" spans="1:26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2.7777777777777779E-3</v>
      </c>
      <c r="O9" s="5">
        <v>5.5671296296296302E-3</v>
      </c>
      <c r="P9" s="5">
        <v>2.2106481481481478E-3</v>
      </c>
      <c r="Q9" s="15">
        <f t="shared" si="0"/>
        <v>3.4444444444444444E-2</v>
      </c>
      <c r="R9" s="40">
        <f t="shared" si="1"/>
        <v>49.6</v>
      </c>
      <c r="U9" s="96" t="s">
        <v>101</v>
      </c>
      <c r="V9" s="96">
        <v>0.9321615960466908</v>
      </c>
    </row>
    <row r="10" spans="1:26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3.5995370370370369E-3</v>
      </c>
      <c r="N10" s="5">
        <v>7.0254629629629634E-3</v>
      </c>
      <c r="O10" s="5">
        <v>6.2499999999999995E-3</v>
      </c>
      <c r="P10" s="5">
        <v>1.3888888888888889E-3</v>
      </c>
      <c r="Q10" s="15">
        <f t="shared" si="0"/>
        <v>4.1736111111111113E-2</v>
      </c>
      <c r="R10" s="40">
        <f t="shared" si="1"/>
        <v>60.1</v>
      </c>
      <c r="U10" s="96" t="s">
        <v>102</v>
      </c>
      <c r="V10" s="107">
        <v>0.90954879472892103</v>
      </c>
    </row>
    <row r="11" spans="1:26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3.0439814814814821E-3</v>
      </c>
      <c r="N11" s="5">
        <v>4.31712962962963E-3</v>
      </c>
      <c r="O11" s="5">
        <v>4.1666666666666666E-3</v>
      </c>
      <c r="P11" s="5">
        <v>1.4467592592592594E-3</v>
      </c>
      <c r="Q11" s="15">
        <f t="shared" si="0"/>
        <v>3.6249999999999998E-2</v>
      </c>
      <c r="R11" s="40">
        <f t="shared" si="1"/>
        <v>52.199999999999996</v>
      </c>
      <c r="U11" s="96" t="s">
        <v>23</v>
      </c>
      <c r="V11" s="96">
        <v>1.6983264921698711</v>
      </c>
    </row>
    <row r="12" spans="1:26" ht="15" thickBot="1" x14ac:dyDescent="0.4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2.8703703703703708E-3</v>
      </c>
      <c r="N12" s="5">
        <v>6.4236111111111117E-3</v>
      </c>
      <c r="O12" s="5">
        <v>5.0000000000000001E-3</v>
      </c>
      <c r="P12" s="5">
        <v>1.6435185185185183E-3</v>
      </c>
      <c r="Q12" s="15">
        <f t="shared" si="0"/>
        <v>3.9236111111111104E-2</v>
      </c>
      <c r="R12" s="40">
        <f t="shared" si="1"/>
        <v>56.499999999999986</v>
      </c>
      <c r="U12" s="97" t="s">
        <v>103</v>
      </c>
      <c r="V12" s="97">
        <v>17</v>
      </c>
    </row>
    <row r="13" spans="1:26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2.9398148148148148E-3</v>
      </c>
      <c r="N13" s="5">
        <v>3.472222222222222E-3</v>
      </c>
      <c r="O13" s="5">
        <v>5.5555555555555558E-3</v>
      </c>
      <c r="P13" s="5">
        <v>1.3888888888888889E-3</v>
      </c>
      <c r="Q13" s="15">
        <f t="shared" si="0"/>
        <v>3.3900462962962966E-2</v>
      </c>
      <c r="R13" s="40">
        <f t="shared" si="1"/>
        <v>48.81666666666667</v>
      </c>
    </row>
    <row r="14" spans="1:26" ht="15" thickBot="1" x14ac:dyDescent="0.4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3.2638888888888891E-3</v>
      </c>
      <c r="N14" s="5">
        <v>2.8124999999999995E-3</v>
      </c>
      <c r="O14" s="5">
        <v>5.6018518518518518E-3</v>
      </c>
      <c r="P14" s="5">
        <v>1.4699074074074074E-3</v>
      </c>
      <c r="Q14" s="15">
        <f t="shared" si="0"/>
        <v>3.4131944444444444E-2</v>
      </c>
      <c r="R14" s="40">
        <f t="shared" si="1"/>
        <v>49.15</v>
      </c>
      <c r="U14" s="94" t="s">
        <v>104</v>
      </c>
    </row>
    <row r="15" spans="1:26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2.7430555555555559E-3</v>
      </c>
      <c r="N15" s="5">
        <v>5.185185185185185E-3</v>
      </c>
      <c r="O15" s="5">
        <v>4.8611111111111112E-3</v>
      </c>
      <c r="P15" s="5">
        <v>2.0833333333333333E-3</v>
      </c>
      <c r="Q15" s="15">
        <f t="shared" si="0"/>
        <v>3.4513888888888886E-2</v>
      </c>
      <c r="R15" s="40">
        <f t="shared" si="1"/>
        <v>49.699999999999996</v>
      </c>
      <c r="U15" s="98"/>
      <c r="V15" s="98" t="s">
        <v>108</v>
      </c>
      <c r="W15" s="98" t="s">
        <v>109</v>
      </c>
      <c r="X15" s="98" t="s">
        <v>110</v>
      </c>
      <c r="Y15" s="98" t="s">
        <v>111</v>
      </c>
      <c r="Z15" s="98" t="s">
        <v>112</v>
      </c>
    </row>
    <row r="16" spans="1:26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2.9166666666666668E-3</v>
      </c>
      <c r="N16" s="5">
        <v>3.1597222222222222E-3</v>
      </c>
      <c r="O16" s="5">
        <v>6.2499999999999995E-3</v>
      </c>
      <c r="P16" s="5">
        <v>2.4305555555555556E-3</v>
      </c>
      <c r="Q16" s="15">
        <f t="shared" si="0"/>
        <v>3.5046296296296298E-2</v>
      </c>
      <c r="R16" s="40">
        <f t="shared" si="1"/>
        <v>50.466666666666669</v>
      </c>
      <c r="U16" s="96" t="s">
        <v>105</v>
      </c>
      <c r="V16" s="96">
        <v>4</v>
      </c>
      <c r="W16" s="96">
        <v>475.59710172107827</v>
      </c>
      <c r="X16" s="96">
        <v>118.89927543026957</v>
      </c>
      <c r="Y16" s="96">
        <v>41.222738525287127</v>
      </c>
      <c r="Z16" s="106">
        <v>6.4259124103298027E-7</v>
      </c>
    </row>
    <row r="17" spans="1:29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3.472222222222222E-3</v>
      </c>
      <c r="O17" s="5">
        <v>6.1111111111111114E-3</v>
      </c>
      <c r="P17" s="5">
        <v>1.3888888888888889E-3</v>
      </c>
      <c r="Q17" s="15">
        <f t="shared" si="0"/>
        <v>3.3900462962962966E-2</v>
      </c>
      <c r="R17" s="40">
        <f t="shared" si="1"/>
        <v>48.81666666666667</v>
      </c>
      <c r="U17" s="96" t="s">
        <v>106</v>
      </c>
      <c r="V17" s="96">
        <v>12</v>
      </c>
      <c r="W17" s="96">
        <v>34.611754488072236</v>
      </c>
      <c r="X17" s="96">
        <v>2.8843128740060195</v>
      </c>
      <c r="Y17" s="96"/>
      <c r="Z17" s="96"/>
    </row>
    <row r="18" spans="1:29" ht="15" thickBot="1" x14ac:dyDescent="0.4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3.0092592592592588E-3</v>
      </c>
      <c r="N18" s="5">
        <v>2.9282407407407412E-3</v>
      </c>
      <c r="O18" s="5">
        <v>5.4398148148148149E-3</v>
      </c>
      <c r="P18" s="5">
        <v>1.2152777777777778E-3</v>
      </c>
      <c r="Q18" s="15">
        <f t="shared" si="0"/>
        <v>3.197916666666667E-2</v>
      </c>
      <c r="R18" s="40">
        <f t="shared" si="1"/>
        <v>46.050000000000004</v>
      </c>
      <c r="U18" s="97" t="s">
        <v>70</v>
      </c>
      <c r="V18" s="97">
        <v>16</v>
      </c>
      <c r="W18" s="97">
        <v>510.2088562091505</v>
      </c>
      <c r="X18" s="97"/>
      <c r="Y18" s="97"/>
      <c r="Z18" s="97"/>
    </row>
    <row r="19" spans="1:29" ht="15" thickBot="1" x14ac:dyDescent="0.4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3.4953703703703705E-3</v>
      </c>
      <c r="N19" s="5">
        <v>4.6296296296296302E-3</v>
      </c>
      <c r="O19" s="5">
        <v>5.8101851851851856E-3</v>
      </c>
      <c r="P19" s="5">
        <v>1.4814814814814814E-3</v>
      </c>
      <c r="Q19" s="15">
        <f t="shared" si="0"/>
        <v>3.6631944444444446E-2</v>
      </c>
      <c r="R19" s="40">
        <f t="shared" si="1"/>
        <v>52.75</v>
      </c>
    </row>
    <row r="20" spans="1:29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2.7777777777777779E-3</v>
      </c>
      <c r="O20" s="5">
        <v>5.4976851851851853E-3</v>
      </c>
      <c r="P20" s="5">
        <v>2.7777777777777779E-3</v>
      </c>
      <c r="Q20" s="15">
        <f t="shared" si="0"/>
        <v>3.4050925925925922E-2</v>
      </c>
      <c r="R20" s="40">
        <f t="shared" si="1"/>
        <v>49.033333333333324</v>
      </c>
      <c r="U20" s="98"/>
      <c r="V20" s="98" t="s">
        <v>113</v>
      </c>
      <c r="W20" s="98" t="s">
        <v>23</v>
      </c>
      <c r="X20" s="98" t="s">
        <v>114</v>
      </c>
      <c r="Y20" s="98" t="s">
        <v>115</v>
      </c>
      <c r="Z20" s="98" t="s">
        <v>116</v>
      </c>
      <c r="AA20" s="98" t="s">
        <v>117</v>
      </c>
      <c r="AB20" s="98" t="s">
        <v>118</v>
      </c>
      <c r="AC20" s="98" t="s">
        <v>119</v>
      </c>
    </row>
    <row r="21" spans="1:29" x14ac:dyDescent="0.35">
      <c r="U21" s="96" t="s">
        <v>107</v>
      </c>
      <c r="V21" s="96">
        <v>23.444935564661982</v>
      </c>
      <c r="W21" s="96">
        <v>2.5245399091576304</v>
      </c>
      <c r="X21" s="96">
        <v>9.2868151854588472</v>
      </c>
      <c r="Y21" s="96">
        <v>7.9176890988433095E-7</v>
      </c>
      <c r="Z21" s="96">
        <v>17.944435621582397</v>
      </c>
      <c r="AA21" s="96">
        <v>28.945435507741568</v>
      </c>
      <c r="AB21" s="96">
        <v>17.944435621582397</v>
      </c>
      <c r="AC21" s="96">
        <v>28.945435507741568</v>
      </c>
    </row>
    <row r="22" spans="1:29" ht="14" customHeight="1" x14ac:dyDescent="0.35">
      <c r="B22" s="90"/>
      <c r="C22" s="19" t="s">
        <v>93</v>
      </c>
      <c r="D22" s="19" t="s">
        <v>123</v>
      </c>
      <c r="E22" s="19" t="s">
        <v>84</v>
      </c>
      <c r="F22" s="19" t="s">
        <v>1</v>
      </c>
      <c r="G22" s="19" t="s">
        <v>15</v>
      </c>
      <c r="H22" s="90" t="s">
        <v>6</v>
      </c>
      <c r="I22" s="90" t="s">
        <v>7</v>
      </c>
      <c r="J22" s="39" t="s">
        <v>96</v>
      </c>
      <c r="O22" s="19"/>
      <c r="P22" s="19"/>
      <c r="Q22" s="19"/>
      <c r="T22" s="109" t="s">
        <v>85</v>
      </c>
      <c r="U22" s="96" t="s">
        <v>1</v>
      </c>
      <c r="V22" s="96">
        <v>0.85733311682220537</v>
      </c>
      <c r="W22" s="96">
        <v>0.42611943951695469</v>
      </c>
      <c r="X22" s="96">
        <v>2.0119549528040093</v>
      </c>
      <c r="Y22" s="96">
        <v>6.7228970095788168E-2</v>
      </c>
      <c r="Z22" s="96">
        <v>-7.1101384967944048E-2</v>
      </c>
      <c r="AA22" s="96">
        <v>1.7857676186123548</v>
      </c>
      <c r="AB22" s="96">
        <v>-7.1101384967944048E-2</v>
      </c>
      <c r="AC22" s="96">
        <v>1.7857676186123548</v>
      </c>
    </row>
    <row r="23" spans="1:29" x14ac:dyDescent="0.35">
      <c r="A23">
        <v>1</v>
      </c>
      <c r="B23" s="12">
        <v>43380</v>
      </c>
      <c r="C23" s="14">
        <v>1</v>
      </c>
      <c r="D23" s="14">
        <v>0</v>
      </c>
      <c r="E23" s="14">
        <v>1</v>
      </c>
      <c r="F23" s="84">
        <f t="shared" ref="F23:G38" si="2">F4*1440</f>
        <v>9.0333333333333332</v>
      </c>
      <c r="G23" s="84">
        <f t="shared" si="2"/>
        <v>0</v>
      </c>
      <c r="H23" s="84">
        <f t="shared" ref="H23:H39" si="3">M4*1440</f>
        <v>4.5666666666666655</v>
      </c>
      <c r="I23" s="84">
        <f t="shared" ref="I23:I39" si="4">N4*1440</f>
        <v>4</v>
      </c>
      <c r="J23" s="104">
        <v>49.9</v>
      </c>
      <c r="O23" s="84"/>
      <c r="P23" s="84"/>
      <c r="Q23" s="15"/>
      <c r="T23" s="110" t="s">
        <v>86</v>
      </c>
      <c r="U23" s="96" t="s">
        <v>15</v>
      </c>
      <c r="V23" s="96">
        <v>0.69332875903206592</v>
      </c>
      <c r="W23" s="96">
        <v>0.21875071842449351</v>
      </c>
      <c r="X23" s="96">
        <v>3.1694924891018506</v>
      </c>
      <c r="Y23" s="101">
        <v>8.0772299355631808E-3</v>
      </c>
      <c r="Z23" s="96">
        <v>0.21671188722985613</v>
      </c>
      <c r="AA23" s="96">
        <v>1.1699456308342757</v>
      </c>
      <c r="AB23" s="96">
        <v>0.21671188722985613</v>
      </c>
      <c r="AC23" s="96">
        <v>1.1699456308342757</v>
      </c>
    </row>
    <row r="24" spans="1:29" x14ac:dyDescent="0.35">
      <c r="A24">
        <v>2</v>
      </c>
      <c r="B24" s="12">
        <v>43382</v>
      </c>
      <c r="C24" s="14">
        <v>0</v>
      </c>
      <c r="D24" s="14">
        <v>0</v>
      </c>
      <c r="E24" s="14">
        <v>0</v>
      </c>
      <c r="F24" s="84">
        <f t="shared" si="2"/>
        <v>10</v>
      </c>
      <c r="G24" s="84">
        <f t="shared" si="2"/>
        <v>5</v>
      </c>
      <c r="H24" s="84">
        <f t="shared" si="3"/>
        <v>4.8666666666666671</v>
      </c>
      <c r="I24" s="84">
        <f t="shared" si="4"/>
        <v>6.3666666666666654</v>
      </c>
      <c r="J24" s="104">
        <v>57.733333333333327</v>
      </c>
      <c r="O24" s="84"/>
      <c r="P24" s="84"/>
      <c r="Q24" s="15"/>
      <c r="T24" s="110" t="s">
        <v>92</v>
      </c>
      <c r="U24" s="96" t="s">
        <v>6</v>
      </c>
      <c r="V24" s="96">
        <v>2.9811018589697933</v>
      </c>
      <c r="W24" s="96">
        <v>0.57448146740629125</v>
      </c>
      <c r="X24" s="96">
        <v>5.1892045750911313</v>
      </c>
      <c r="Y24" s="101">
        <v>2.2588194276870936E-4</v>
      </c>
      <c r="Z24" s="96">
        <v>1.7294142673789101</v>
      </c>
      <c r="AA24" s="96">
        <v>4.2327894505606762</v>
      </c>
      <c r="AB24" s="96">
        <v>1.7294142673789101</v>
      </c>
      <c r="AC24" s="96">
        <v>4.2327894505606762</v>
      </c>
    </row>
    <row r="25" spans="1:29" ht="15" thickBot="1" x14ac:dyDescent="0.4">
      <c r="A25">
        <v>3</v>
      </c>
      <c r="B25" s="12">
        <v>43383</v>
      </c>
      <c r="C25" s="14">
        <v>0</v>
      </c>
      <c r="D25" s="14">
        <v>1</v>
      </c>
      <c r="E25" s="14">
        <v>0</v>
      </c>
      <c r="F25" s="84">
        <f t="shared" si="2"/>
        <v>7.2166666666666659</v>
      </c>
      <c r="G25" s="84">
        <f t="shared" si="2"/>
        <v>6.2833333333333332</v>
      </c>
      <c r="H25" s="84">
        <f t="shared" si="3"/>
        <v>5.2</v>
      </c>
      <c r="I25" s="84">
        <f t="shared" si="4"/>
        <v>3</v>
      </c>
      <c r="J25" s="104">
        <v>55.216666666666669</v>
      </c>
      <c r="O25" s="84"/>
      <c r="P25" s="84"/>
      <c r="Q25" s="15"/>
      <c r="T25" s="110" t="s">
        <v>94</v>
      </c>
      <c r="U25" s="97" t="s">
        <v>7</v>
      </c>
      <c r="V25" s="97">
        <v>1.1392262654738798</v>
      </c>
      <c r="W25" s="97">
        <v>0.23697412239779875</v>
      </c>
      <c r="X25" s="97">
        <v>4.8073867895225595</v>
      </c>
      <c r="Y25" s="102">
        <v>4.2812265536117561E-4</v>
      </c>
      <c r="Z25" s="97">
        <v>0.62290400729442386</v>
      </c>
      <c r="AA25" s="97">
        <v>1.6555485236533358</v>
      </c>
      <c r="AB25" s="97">
        <v>0.62290400729442386</v>
      </c>
      <c r="AC25" s="97">
        <v>1.6555485236533358</v>
      </c>
    </row>
    <row r="26" spans="1:29" x14ac:dyDescent="0.35">
      <c r="A26">
        <v>4</v>
      </c>
      <c r="B26" s="12">
        <v>43386</v>
      </c>
      <c r="C26" s="14">
        <v>1</v>
      </c>
      <c r="D26" s="14">
        <v>1</v>
      </c>
      <c r="E26" s="14">
        <v>1</v>
      </c>
      <c r="F26" s="84">
        <f t="shared" si="2"/>
        <v>7.333333333333333</v>
      </c>
      <c r="G26" s="84">
        <f t="shared" si="2"/>
        <v>0</v>
      </c>
      <c r="H26" s="84">
        <f t="shared" si="3"/>
        <v>3.4</v>
      </c>
      <c r="I26" s="84">
        <f t="shared" si="4"/>
        <v>4.5666666666666655</v>
      </c>
      <c r="J26" s="104">
        <v>44.266666666666659</v>
      </c>
      <c r="O26" s="84"/>
      <c r="P26" s="84"/>
      <c r="Q26" s="15"/>
    </row>
    <row r="27" spans="1:29" x14ac:dyDescent="0.35">
      <c r="A27">
        <v>5</v>
      </c>
      <c r="B27" s="12">
        <v>43387</v>
      </c>
      <c r="C27" s="14">
        <v>1</v>
      </c>
      <c r="D27" s="14">
        <v>1</v>
      </c>
      <c r="E27" s="14">
        <v>0</v>
      </c>
      <c r="F27" s="84">
        <f t="shared" si="2"/>
        <v>11.15</v>
      </c>
      <c r="G27" s="84">
        <f t="shared" si="2"/>
        <v>5.65</v>
      </c>
      <c r="H27" s="84">
        <f t="shared" si="3"/>
        <v>8.0166666666666675</v>
      </c>
      <c r="I27" s="84">
        <f t="shared" si="4"/>
        <v>6.1</v>
      </c>
      <c r="J27" s="104">
        <v>67.2</v>
      </c>
      <c r="O27" s="84"/>
      <c r="P27" s="84"/>
      <c r="Q27" s="15"/>
    </row>
    <row r="28" spans="1:29" x14ac:dyDescent="0.35">
      <c r="A28">
        <v>6</v>
      </c>
      <c r="B28" s="12">
        <v>43389</v>
      </c>
      <c r="C28" s="14">
        <v>0</v>
      </c>
      <c r="D28" s="14">
        <v>0</v>
      </c>
      <c r="E28" s="14">
        <v>0</v>
      </c>
      <c r="F28" s="84">
        <f t="shared" si="2"/>
        <v>6.3833333333333337</v>
      </c>
      <c r="G28" s="84">
        <f t="shared" si="2"/>
        <v>2</v>
      </c>
      <c r="H28" s="84">
        <f t="shared" si="3"/>
        <v>4</v>
      </c>
      <c r="I28" s="84">
        <f t="shared" si="4"/>
        <v>4</v>
      </c>
      <c r="J28" s="104">
        <v>49.599999999999994</v>
      </c>
      <c r="O28" s="84"/>
      <c r="P28" s="84"/>
      <c r="Q28" s="15"/>
    </row>
    <row r="29" spans="1:29" x14ac:dyDescent="0.35">
      <c r="A29">
        <v>7</v>
      </c>
      <c r="B29" s="12">
        <v>43390</v>
      </c>
      <c r="C29" s="14">
        <v>0</v>
      </c>
      <c r="D29" s="14">
        <v>0</v>
      </c>
      <c r="E29" s="14">
        <v>0</v>
      </c>
      <c r="F29" s="84">
        <f t="shared" si="2"/>
        <v>8</v>
      </c>
      <c r="G29" s="84">
        <f t="shared" si="2"/>
        <v>2.6666666666666665</v>
      </c>
      <c r="H29" s="84">
        <f t="shared" si="3"/>
        <v>5.1833333333333336</v>
      </c>
      <c r="I29" s="84">
        <f t="shared" si="4"/>
        <v>10.116666666666667</v>
      </c>
      <c r="J29" s="104">
        <v>60.1</v>
      </c>
      <c r="O29" s="84"/>
      <c r="P29" s="84"/>
      <c r="Q29" s="15"/>
      <c r="U29" s="94" t="s">
        <v>120</v>
      </c>
    </row>
    <row r="30" spans="1:29" ht="15" thickBot="1" x14ac:dyDescent="0.4">
      <c r="A30">
        <v>8</v>
      </c>
      <c r="B30" s="12">
        <v>43392</v>
      </c>
      <c r="C30" s="14">
        <v>0</v>
      </c>
      <c r="D30" s="14">
        <v>1</v>
      </c>
      <c r="E30" s="14">
        <v>0</v>
      </c>
      <c r="F30" s="84">
        <f t="shared" si="2"/>
        <v>7.5</v>
      </c>
      <c r="G30" s="84">
        <f t="shared" si="2"/>
        <v>3</v>
      </c>
      <c r="H30" s="84">
        <f t="shared" si="3"/>
        <v>4.3833333333333346</v>
      </c>
      <c r="I30" s="84">
        <f t="shared" si="4"/>
        <v>6.2166666666666668</v>
      </c>
      <c r="J30" s="104">
        <v>52.2</v>
      </c>
      <c r="O30" s="84"/>
      <c r="P30" s="84"/>
      <c r="Q30" s="15"/>
    </row>
    <row r="31" spans="1:29" x14ac:dyDescent="0.35">
      <c r="A31">
        <v>9</v>
      </c>
      <c r="B31" s="12">
        <v>43393</v>
      </c>
      <c r="C31" s="14">
        <v>1</v>
      </c>
      <c r="D31" s="14">
        <v>1</v>
      </c>
      <c r="E31" s="14">
        <v>0</v>
      </c>
      <c r="F31" s="84">
        <f t="shared" si="2"/>
        <v>9</v>
      </c>
      <c r="G31" s="84">
        <f t="shared" si="2"/>
        <v>4</v>
      </c>
      <c r="H31" s="84">
        <f t="shared" si="3"/>
        <v>4.1333333333333337</v>
      </c>
      <c r="I31" s="84">
        <f t="shared" si="4"/>
        <v>9.25</v>
      </c>
      <c r="J31" s="104">
        <v>56.5</v>
      </c>
      <c r="O31" s="84"/>
      <c r="P31" s="84"/>
      <c r="Q31" s="15"/>
      <c r="U31" s="98" t="s">
        <v>121</v>
      </c>
      <c r="V31" s="98" t="s">
        <v>126</v>
      </c>
      <c r="W31" s="98" t="s">
        <v>122</v>
      </c>
    </row>
    <row r="32" spans="1:29" x14ac:dyDescent="0.35">
      <c r="A32">
        <v>10</v>
      </c>
      <c r="B32" s="12">
        <v>43394</v>
      </c>
      <c r="C32" s="14">
        <v>1</v>
      </c>
      <c r="D32" s="14">
        <v>1</v>
      </c>
      <c r="E32" s="14">
        <v>0</v>
      </c>
      <c r="F32" s="84">
        <f t="shared" si="2"/>
        <v>6.916666666666667</v>
      </c>
      <c r="G32" s="84">
        <f t="shared" si="2"/>
        <v>4</v>
      </c>
      <c r="H32" s="84">
        <f t="shared" si="3"/>
        <v>4.2333333333333334</v>
      </c>
      <c r="I32" s="84">
        <f t="shared" si="4"/>
        <v>5</v>
      </c>
      <c r="J32" s="104">
        <v>48.81666666666667</v>
      </c>
      <c r="O32" s="84"/>
      <c r="P32" s="84"/>
      <c r="Q32" s="15"/>
      <c r="U32" s="96">
        <v>1</v>
      </c>
      <c r="V32" s="96">
        <v>49.360114937813478</v>
      </c>
      <c r="W32" s="96">
        <v>0.53988506218652077</v>
      </c>
    </row>
    <row r="33" spans="1:23" x14ac:dyDescent="0.35">
      <c r="A33">
        <v>11</v>
      </c>
      <c r="B33" s="12">
        <v>43396</v>
      </c>
      <c r="C33" s="14">
        <v>0</v>
      </c>
      <c r="D33" s="14">
        <v>0</v>
      </c>
      <c r="E33" s="14">
        <v>0</v>
      </c>
      <c r="F33" s="84">
        <f t="shared" si="2"/>
        <v>8.0166666666666675</v>
      </c>
      <c r="G33" s="84">
        <f t="shared" si="2"/>
        <v>3.166666666666667</v>
      </c>
      <c r="H33" s="84">
        <f t="shared" si="3"/>
        <v>4.7</v>
      </c>
      <c r="I33" s="84">
        <f t="shared" si="4"/>
        <v>4.0499999999999989</v>
      </c>
      <c r="J33" s="104">
        <v>49.15</v>
      </c>
      <c r="O33" s="84"/>
      <c r="P33" s="84"/>
      <c r="Q33" s="15"/>
      <c r="U33" s="96">
        <v>2</v>
      </c>
      <c r="V33" s="96">
        <v>57.246013465214396</v>
      </c>
      <c r="W33" s="96">
        <v>0.4873198681189308</v>
      </c>
    </row>
    <row r="34" spans="1:23" x14ac:dyDescent="0.35">
      <c r="A34">
        <v>12</v>
      </c>
      <c r="B34" s="12">
        <v>43397</v>
      </c>
      <c r="C34" s="14">
        <v>0</v>
      </c>
      <c r="D34" s="14">
        <v>1</v>
      </c>
      <c r="E34" s="14">
        <v>1</v>
      </c>
      <c r="F34" s="84">
        <f t="shared" si="2"/>
        <v>7</v>
      </c>
      <c r="G34" s="84">
        <f t="shared" si="2"/>
        <v>0</v>
      </c>
      <c r="H34" s="84">
        <f t="shared" si="3"/>
        <v>3.9500000000000006</v>
      </c>
      <c r="I34" s="84">
        <f t="shared" si="4"/>
        <v>7.4666666666666668</v>
      </c>
      <c r="J34" s="104">
        <v>49.7</v>
      </c>
      <c r="O34" s="84"/>
      <c r="P34" s="84"/>
      <c r="Q34" s="15"/>
      <c r="U34" s="96">
        <v>3</v>
      </c>
      <c r="V34" s="96">
        <v>52.90784705671161</v>
      </c>
      <c r="W34" s="96">
        <v>2.3088196099550586</v>
      </c>
    </row>
    <row r="35" spans="1:23" x14ac:dyDescent="0.35">
      <c r="A35">
        <v>13</v>
      </c>
      <c r="B35" s="12">
        <v>43400</v>
      </c>
      <c r="C35" s="14">
        <v>1</v>
      </c>
      <c r="D35" s="14">
        <v>1</v>
      </c>
      <c r="E35" s="14">
        <v>0</v>
      </c>
      <c r="F35" s="84">
        <f t="shared" si="2"/>
        <v>6.5000000000000009</v>
      </c>
      <c r="G35" s="84">
        <f t="shared" si="2"/>
        <v>5</v>
      </c>
      <c r="H35" s="84">
        <f t="shared" si="3"/>
        <v>4.2</v>
      </c>
      <c r="I35" s="84">
        <f t="shared" si="4"/>
        <v>4.55</v>
      </c>
      <c r="J35" s="104">
        <v>50.466666666666661</v>
      </c>
      <c r="O35" s="84"/>
      <c r="P35" s="84"/>
      <c r="Q35" s="15"/>
      <c r="U35" s="96">
        <v>4</v>
      </c>
      <c r="V35" s="96">
        <v>45.07025802085284</v>
      </c>
      <c r="W35" s="96">
        <v>-0.80359135418618166</v>
      </c>
    </row>
    <row r="36" spans="1:23" x14ac:dyDescent="0.35">
      <c r="A36">
        <v>14</v>
      </c>
      <c r="B36" s="12">
        <v>43402</v>
      </c>
      <c r="C36" s="14">
        <v>0</v>
      </c>
      <c r="D36" s="14">
        <v>0</v>
      </c>
      <c r="E36" s="14">
        <v>1</v>
      </c>
      <c r="F36" s="84">
        <f t="shared" si="2"/>
        <v>6.083333333333333</v>
      </c>
      <c r="G36" s="84">
        <f t="shared" si="2"/>
        <v>0</v>
      </c>
      <c r="H36" s="84">
        <f t="shared" si="3"/>
        <v>5</v>
      </c>
      <c r="I36" s="84">
        <f t="shared" si="4"/>
        <v>5</v>
      </c>
      <c r="J36" s="104">
        <v>48.816666666666663</v>
      </c>
      <c r="O36" s="84"/>
      <c r="P36" s="84"/>
      <c r="Q36" s="15"/>
      <c r="U36" s="96">
        <v>5</v>
      </c>
      <c r="V36" s="96">
        <v>67.769287427892593</v>
      </c>
      <c r="W36" s="96">
        <v>-0.5692874278925899</v>
      </c>
    </row>
    <row r="37" spans="1:23" x14ac:dyDescent="0.35">
      <c r="A37">
        <v>15</v>
      </c>
      <c r="B37" s="12">
        <v>43404</v>
      </c>
      <c r="C37" s="14">
        <v>0</v>
      </c>
      <c r="D37" s="14">
        <v>0</v>
      </c>
      <c r="E37" s="14">
        <v>0</v>
      </c>
      <c r="F37" s="84">
        <f t="shared" si="2"/>
        <v>6.2333333333333334</v>
      </c>
      <c r="G37" s="84">
        <f t="shared" si="2"/>
        <v>4</v>
      </c>
      <c r="H37" s="84">
        <f t="shared" si="3"/>
        <v>4.333333333333333</v>
      </c>
      <c r="I37" s="84">
        <f t="shared" si="4"/>
        <v>4.2166666666666677</v>
      </c>
      <c r="J37" s="104">
        <v>46.050000000000004</v>
      </c>
      <c r="O37" s="84"/>
      <c r="P37" s="84"/>
      <c r="Q37" s="15"/>
      <c r="U37" s="96">
        <v>6</v>
      </c>
      <c r="V37" s="96">
        <v>46.785548642882553</v>
      </c>
      <c r="W37" s="96">
        <v>2.8144513571174414</v>
      </c>
    </row>
    <row r="38" spans="1:23" x14ac:dyDescent="0.35">
      <c r="A38">
        <v>16</v>
      </c>
      <c r="B38" s="12">
        <v>43409</v>
      </c>
      <c r="C38" s="14">
        <v>0</v>
      </c>
      <c r="D38" s="14">
        <v>0</v>
      </c>
      <c r="E38" s="14">
        <v>1</v>
      </c>
      <c r="F38" s="84">
        <f t="shared" si="2"/>
        <v>7.3666666666666671</v>
      </c>
      <c r="G38" s="84">
        <f t="shared" si="2"/>
        <v>0</v>
      </c>
      <c r="H38" s="84">
        <f t="shared" si="3"/>
        <v>5.0333333333333332</v>
      </c>
      <c r="I38" s="84">
        <f t="shared" si="4"/>
        <v>6.6666666666666679</v>
      </c>
      <c r="J38" s="104">
        <v>52.75</v>
      </c>
      <c r="O38" s="84"/>
      <c r="P38" s="84"/>
      <c r="Q38" s="15"/>
      <c r="U38" s="96">
        <v>7</v>
      </c>
      <c r="V38" s="96">
        <v>59.129694211362647</v>
      </c>
      <c r="W38" s="96">
        <v>0.97030578863735428</v>
      </c>
    </row>
    <row r="39" spans="1:23" x14ac:dyDescent="0.35">
      <c r="A39">
        <v>17</v>
      </c>
      <c r="B39" s="12">
        <v>43410</v>
      </c>
      <c r="C39" s="14">
        <v>0</v>
      </c>
      <c r="D39" s="14">
        <v>1</v>
      </c>
      <c r="E39" s="14">
        <v>0</v>
      </c>
      <c r="F39" s="84">
        <f t="shared" ref="F39:G39" si="5">F20*1440</f>
        <v>6.883333333333332</v>
      </c>
      <c r="G39" s="84">
        <f t="shared" si="5"/>
        <v>3</v>
      </c>
      <c r="H39" s="84">
        <f t="shared" si="3"/>
        <v>4</v>
      </c>
      <c r="I39" s="84">
        <f t="shared" si="4"/>
        <v>4</v>
      </c>
      <c r="J39" s="104">
        <v>49.033333333333324</v>
      </c>
      <c r="O39" s="84"/>
      <c r="P39" s="84"/>
      <c r="Q39" s="15"/>
      <c r="U39" s="96">
        <v>8</v>
      </c>
      <c r="V39" s="96">
        <v>52.104273316771604</v>
      </c>
      <c r="W39" s="96">
        <v>9.5726683228399168E-2</v>
      </c>
    </row>
    <row r="40" spans="1:23" x14ac:dyDescent="0.35">
      <c r="S40" s="88"/>
      <c r="U40" s="96">
        <v>9</v>
      </c>
      <c r="V40" s="96">
        <v>56.7939792915653</v>
      </c>
      <c r="W40" s="96">
        <v>-0.29397929156530012</v>
      </c>
    </row>
    <row r="41" spans="1:23" ht="16" customHeight="1" x14ac:dyDescent="0.35">
      <c r="B41" s="90" t="s">
        <v>0</v>
      </c>
      <c r="C41" s="19" t="s">
        <v>1</v>
      </c>
      <c r="D41" s="19" t="s">
        <v>15</v>
      </c>
      <c r="E41" s="19" t="s">
        <v>14</v>
      </c>
      <c r="F41" s="19" t="s">
        <v>2</v>
      </c>
      <c r="G41" s="19" t="s">
        <v>3</v>
      </c>
      <c r="H41" s="90" t="s">
        <v>4</v>
      </c>
      <c r="I41" s="90" t="s">
        <v>5</v>
      </c>
      <c r="J41" s="90" t="s">
        <v>6</v>
      </c>
      <c r="K41" s="90" t="s">
        <v>7</v>
      </c>
      <c r="L41" s="90" t="s">
        <v>8</v>
      </c>
      <c r="M41" s="90" t="s">
        <v>9</v>
      </c>
      <c r="N41" s="19" t="s">
        <v>11</v>
      </c>
      <c r="O41" s="39" t="s">
        <v>96</v>
      </c>
      <c r="R41" s="36"/>
      <c r="S41" s="86"/>
      <c r="U41" s="96">
        <v>10</v>
      </c>
      <c r="V41" s="96">
        <v>50.464267189152032</v>
      </c>
      <c r="W41" s="96">
        <v>-1.6476005224853623</v>
      </c>
    </row>
    <row r="42" spans="1:23" x14ac:dyDescent="0.35">
      <c r="R42" s="36"/>
      <c r="S42" s="86"/>
      <c r="U42" s="96">
        <v>11</v>
      </c>
      <c r="V42" s="96">
        <v>51.138475567115435</v>
      </c>
      <c r="W42" s="96">
        <v>-1.9884755671154366</v>
      </c>
    </row>
    <row r="43" spans="1:23" x14ac:dyDescent="0.35">
      <c r="R43" s="36"/>
      <c r="S43" s="86"/>
      <c r="U43" s="96">
        <v>12</v>
      </c>
      <c r="V43" s="96">
        <v>49.727842507553078</v>
      </c>
      <c r="W43" s="96">
        <v>-2.7842507553074825E-2</v>
      </c>
    </row>
    <row r="44" spans="1:23" x14ac:dyDescent="0.35">
      <c r="U44" s="96">
        <v>13</v>
      </c>
      <c r="V44" s="96">
        <v>50.188351934745938</v>
      </c>
      <c r="W44" s="96">
        <v>0.27831473192072309</v>
      </c>
    </row>
    <row r="45" spans="1:23" x14ac:dyDescent="0.35">
      <c r="U45" s="96">
        <v>14</v>
      </c>
      <c r="V45" s="96">
        <v>49.262019314215429</v>
      </c>
      <c r="W45" s="96">
        <v>-0.44535264754876636</v>
      </c>
    </row>
    <row r="46" spans="1:23" x14ac:dyDescent="0.35">
      <c r="U46" s="96">
        <v>15</v>
      </c>
      <c r="V46" s="96">
        <v>49.284139170599289</v>
      </c>
      <c r="W46" s="96">
        <v>-3.2341391705992848</v>
      </c>
    </row>
    <row r="47" spans="1:23" x14ac:dyDescent="0.35">
      <c r="U47" s="96">
        <v>16</v>
      </c>
      <c r="V47" s="96">
        <v>52.360343985226059</v>
      </c>
      <c r="W47" s="96">
        <v>0.38965601477394074</v>
      </c>
    </row>
    <row r="48" spans="1:23" ht="15" thickBot="1" x14ac:dyDescent="0.4">
      <c r="U48" s="97">
        <v>17</v>
      </c>
      <c r="V48" s="97">
        <v>47.907543960325718</v>
      </c>
      <c r="W48" s="97">
        <v>1.1257893730076063</v>
      </c>
    </row>
    <row r="49" spans="21:23" x14ac:dyDescent="0.35">
      <c r="U49" s="96">
        <v>16</v>
      </c>
      <c r="V49" s="96">
        <v>51.298087124958045</v>
      </c>
      <c r="W49" s="96">
        <v>1.4519128750419554</v>
      </c>
    </row>
    <row r="50" spans="21:23" ht="15" thickBot="1" x14ac:dyDescent="0.4">
      <c r="U50" s="97">
        <v>17</v>
      </c>
      <c r="V50" s="97">
        <v>47.464581350267693</v>
      </c>
      <c r="W50" s="97">
        <v>1.5687519830656314</v>
      </c>
    </row>
    <row r="51" spans="21:23" x14ac:dyDescent="0.35">
      <c r="U51" s="96">
        <v>15</v>
      </c>
      <c r="V51" s="96">
        <v>47.026383061123191</v>
      </c>
      <c r="W51" s="96">
        <v>-0.97638306112318674</v>
      </c>
    </row>
    <row r="52" spans="21:23" x14ac:dyDescent="0.35">
      <c r="U52" s="96">
        <v>16</v>
      </c>
      <c r="V52" s="96">
        <v>52.565575830098702</v>
      </c>
      <c r="W52" s="96">
        <v>0.18442416990129828</v>
      </c>
    </row>
    <row r="53" spans="21:23" ht="15" thickBot="1" x14ac:dyDescent="0.4">
      <c r="U53" s="97">
        <v>17</v>
      </c>
      <c r="V53" s="97">
        <v>47.648155990976946</v>
      </c>
      <c r="W53" s="97">
        <v>1.3851773423563785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BFF0-DEB2-42CF-ADAF-3FF2DD8D3049}">
  <dimension ref="B2:T54"/>
  <sheetViews>
    <sheetView topLeftCell="H34" workbookViewId="0">
      <selection activeCell="U45" sqref="U45"/>
    </sheetView>
  </sheetViews>
  <sheetFormatPr defaultRowHeight="14.5" x14ac:dyDescent="0.35"/>
  <cols>
    <col min="2" max="2" width="8.36328125" bestFit="1" customWidth="1"/>
    <col min="3" max="3" width="11.26953125" bestFit="1" customWidth="1"/>
    <col min="4" max="4" width="12.26953125" bestFit="1" customWidth="1"/>
    <col min="8" max="8" width="12.08984375" customWidth="1"/>
    <col min="9" max="9" width="12.26953125" customWidth="1"/>
    <col min="10" max="11" width="10.1796875" customWidth="1"/>
    <col min="12" max="12" width="10.453125" bestFit="1" customWidth="1"/>
    <col min="19" max="19" width="17" customWidth="1"/>
    <col min="20" max="20" width="14.08984375" customWidth="1"/>
  </cols>
  <sheetData>
    <row r="2" spans="2:4" x14ac:dyDescent="0.35">
      <c r="B2" s="112"/>
      <c r="C2" s="112" t="s">
        <v>0</v>
      </c>
    </row>
    <row r="3" spans="2:4" x14ac:dyDescent="0.35">
      <c r="B3" s="148" t="s">
        <v>16</v>
      </c>
      <c r="C3" s="148"/>
      <c r="D3" t="s">
        <v>70</v>
      </c>
    </row>
    <row r="4" spans="2:4" x14ac:dyDescent="0.35">
      <c r="B4" s="11">
        <v>1</v>
      </c>
      <c r="C4" s="12">
        <v>43380</v>
      </c>
      <c r="D4">
        <v>49.9</v>
      </c>
    </row>
    <row r="5" spans="2:4" x14ac:dyDescent="0.35">
      <c r="B5" s="11">
        <v>2</v>
      </c>
      <c r="C5" s="12">
        <v>43382</v>
      </c>
      <c r="D5">
        <v>57.733333333333327</v>
      </c>
    </row>
    <row r="6" spans="2:4" x14ac:dyDescent="0.35">
      <c r="B6" s="11">
        <v>3</v>
      </c>
      <c r="C6" s="12">
        <v>43383</v>
      </c>
      <c r="D6">
        <v>55.216666666666661</v>
      </c>
    </row>
    <row r="7" spans="2:4" x14ac:dyDescent="0.35">
      <c r="B7" s="11">
        <v>4</v>
      </c>
      <c r="C7" s="12">
        <v>43386</v>
      </c>
      <c r="D7">
        <v>44.266666666666673</v>
      </c>
    </row>
    <row r="8" spans="2:4" x14ac:dyDescent="0.35">
      <c r="B8" s="11">
        <v>5</v>
      </c>
      <c r="C8" s="12">
        <v>43387</v>
      </c>
      <c r="D8">
        <v>67.2</v>
      </c>
    </row>
    <row r="9" spans="2:4" x14ac:dyDescent="0.35">
      <c r="B9" s="11">
        <v>6</v>
      </c>
      <c r="C9" s="12">
        <v>43389</v>
      </c>
      <c r="D9">
        <v>49.6</v>
      </c>
    </row>
    <row r="10" spans="2:4" x14ac:dyDescent="0.35">
      <c r="B10" s="11">
        <v>7</v>
      </c>
      <c r="C10" s="12">
        <v>43390</v>
      </c>
      <c r="D10">
        <v>60.1</v>
      </c>
    </row>
    <row r="11" spans="2:4" x14ac:dyDescent="0.35">
      <c r="B11" s="11">
        <v>8</v>
      </c>
      <c r="C11" s="12">
        <v>43392</v>
      </c>
      <c r="D11">
        <v>52.199999999999996</v>
      </c>
    </row>
    <row r="12" spans="2:4" x14ac:dyDescent="0.35">
      <c r="B12" s="11">
        <v>9</v>
      </c>
      <c r="C12" s="12">
        <v>43393</v>
      </c>
      <c r="D12">
        <v>56.499999999999986</v>
      </c>
    </row>
    <row r="13" spans="2:4" x14ac:dyDescent="0.35">
      <c r="B13" s="11">
        <v>10</v>
      </c>
      <c r="C13" s="12">
        <v>43394</v>
      </c>
      <c r="D13">
        <v>48.81666666666667</v>
      </c>
    </row>
    <row r="14" spans="2:4" x14ac:dyDescent="0.35">
      <c r="B14" s="11">
        <v>11</v>
      </c>
      <c r="C14" s="12">
        <v>43396</v>
      </c>
      <c r="D14">
        <v>49.15</v>
      </c>
    </row>
    <row r="15" spans="2:4" x14ac:dyDescent="0.35">
      <c r="B15" s="11">
        <v>12</v>
      </c>
      <c r="C15" s="12">
        <v>43397</v>
      </c>
      <c r="D15">
        <v>49.699999999999996</v>
      </c>
    </row>
    <row r="16" spans="2:4" x14ac:dyDescent="0.35">
      <c r="B16" s="11">
        <v>13</v>
      </c>
      <c r="C16" s="12">
        <v>43400</v>
      </c>
      <c r="D16">
        <v>50.466666666666669</v>
      </c>
    </row>
    <row r="17" spans="2:16" x14ac:dyDescent="0.35">
      <c r="B17" s="11">
        <v>14</v>
      </c>
      <c r="C17" s="12">
        <v>43402</v>
      </c>
      <c r="D17">
        <v>48.81666666666667</v>
      </c>
    </row>
    <row r="18" spans="2:16" x14ac:dyDescent="0.35">
      <c r="B18" s="11">
        <v>15</v>
      </c>
      <c r="C18" s="12">
        <v>43404</v>
      </c>
      <c r="D18">
        <v>46.050000000000004</v>
      </c>
    </row>
    <row r="19" spans="2:16" x14ac:dyDescent="0.35">
      <c r="B19" s="11">
        <v>16</v>
      </c>
      <c r="C19" s="12">
        <v>43409</v>
      </c>
      <c r="D19">
        <v>52.75</v>
      </c>
    </row>
    <row r="20" spans="2:16" x14ac:dyDescent="0.35">
      <c r="B20" s="11">
        <v>17</v>
      </c>
      <c r="C20" s="12">
        <v>43410</v>
      </c>
      <c r="D20">
        <v>49.033333333333324</v>
      </c>
    </row>
    <row r="22" spans="2:16" s="2" customFormat="1" x14ac:dyDescent="0.35">
      <c r="B22" s="149" t="s">
        <v>10</v>
      </c>
      <c r="C22" s="149"/>
      <c r="D22" s="2" t="s">
        <v>70</v>
      </c>
      <c r="H22" s="71" t="s">
        <v>156</v>
      </c>
      <c r="N22" s="71" t="s">
        <v>156</v>
      </c>
    </row>
    <row r="23" spans="2:16" s="71" customFormat="1" x14ac:dyDescent="0.35">
      <c r="B23" s="71" t="s">
        <v>154</v>
      </c>
      <c r="C23" s="71" t="s">
        <v>153</v>
      </c>
      <c r="D23" s="71" t="s">
        <v>11</v>
      </c>
      <c r="G23" s="135" t="s">
        <v>155</v>
      </c>
      <c r="H23" s="135" t="s">
        <v>157</v>
      </c>
      <c r="I23" s="135" t="s">
        <v>163</v>
      </c>
      <c r="J23" s="135" t="s">
        <v>164</v>
      </c>
      <c r="K23" s="136"/>
      <c r="M23" s="135" t="s">
        <v>165</v>
      </c>
      <c r="N23" s="135" t="s">
        <v>157</v>
      </c>
      <c r="O23" s="135" t="s">
        <v>163</v>
      </c>
      <c r="P23" s="135" t="s">
        <v>164</v>
      </c>
    </row>
    <row r="24" spans="2:16" x14ac:dyDescent="0.35">
      <c r="B24" s="11">
        <v>1</v>
      </c>
      <c r="C24" s="12">
        <v>43411</v>
      </c>
      <c r="D24">
        <v>40.483333333333334</v>
      </c>
      <c r="G24" s="130"/>
      <c r="H24">
        <v>5.1791666666666671</v>
      </c>
      <c r="I24">
        <v>16.935875000000003</v>
      </c>
      <c r="J24">
        <v>0</v>
      </c>
      <c r="K24">
        <v>1</v>
      </c>
      <c r="L24" s="12">
        <v>43411</v>
      </c>
      <c r="M24">
        <v>40.483333333333334</v>
      </c>
      <c r="N24">
        <v>41.907692307692315</v>
      </c>
      <c r="O24">
        <v>55.68427564102565</v>
      </c>
      <c r="P24">
        <v>28.13110897435898</v>
      </c>
    </row>
    <row r="25" spans="2:16" x14ac:dyDescent="0.35">
      <c r="B25" s="11">
        <v>2</v>
      </c>
      <c r="C25" s="12">
        <v>43414</v>
      </c>
      <c r="D25">
        <v>39.416666666666671</v>
      </c>
      <c r="G25">
        <f t="shared" ref="G25:G36" si="0">ABS(D25-D24)</f>
        <v>1.0666666666666629</v>
      </c>
      <c r="H25">
        <v>5.1791666666666671</v>
      </c>
      <c r="I25">
        <v>16.935875000000003</v>
      </c>
      <c r="J25">
        <v>0</v>
      </c>
      <c r="K25">
        <v>2</v>
      </c>
      <c r="L25" s="12">
        <v>43414</v>
      </c>
      <c r="M25">
        <v>39.416666666666671</v>
      </c>
      <c r="N25">
        <v>41.907692307692315</v>
      </c>
      <c r="O25">
        <v>55.68427564102565</v>
      </c>
      <c r="P25">
        <v>28.13110897435898</v>
      </c>
    </row>
    <row r="26" spans="2:16" x14ac:dyDescent="0.35">
      <c r="B26" s="11">
        <v>3</v>
      </c>
      <c r="C26" s="12">
        <v>43415</v>
      </c>
      <c r="D26">
        <v>50.15</v>
      </c>
      <c r="G26">
        <f t="shared" si="0"/>
        <v>10.733333333333327</v>
      </c>
      <c r="H26">
        <v>5.1791666666666671</v>
      </c>
      <c r="I26">
        <v>16.935875000000003</v>
      </c>
      <c r="J26">
        <v>0</v>
      </c>
      <c r="K26">
        <v>3</v>
      </c>
      <c r="L26" s="12">
        <v>43415</v>
      </c>
      <c r="M26">
        <v>50.15</v>
      </c>
      <c r="N26">
        <v>41.907692307692315</v>
      </c>
      <c r="O26">
        <v>55.68427564102565</v>
      </c>
      <c r="P26">
        <v>28.13110897435898</v>
      </c>
    </row>
    <row r="27" spans="2:16" x14ac:dyDescent="0.35">
      <c r="B27" s="11">
        <v>4</v>
      </c>
      <c r="C27" s="12">
        <v>43417</v>
      </c>
      <c r="D27">
        <v>39.866666666666667</v>
      </c>
      <c r="G27">
        <f t="shared" si="0"/>
        <v>10.283333333333331</v>
      </c>
      <c r="H27">
        <v>5.1791666666666671</v>
      </c>
      <c r="I27">
        <v>16.935875000000003</v>
      </c>
      <c r="J27">
        <v>0</v>
      </c>
      <c r="K27">
        <v>4</v>
      </c>
      <c r="L27" s="12">
        <v>43417</v>
      </c>
      <c r="M27">
        <v>39.866666666666667</v>
      </c>
      <c r="N27">
        <v>41.907692307692315</v>
      </c>
      <c r="O27">
        <v>55.68427564102565</v>
      </c>
      <c r="P27">
        <v>28.13110897435898</v>
      </c>
    </row>
    <row r="28" spans="2:16" x14ac:dyDescent="0.35">
      <c r="B28" s="11">
        <v>5</v>
      </c>
      <c r="C28" s="12">
        <v>43418</v>
      </c>
      <c r="D28">
        <v>39.383333333333326</v>
      </c>
      <c r="G28">
        <f t="shared" si="0"/>
        <v>0.48333333333334139</v>
      </c>
      <c r="H28">
        <v>5.1791666666666671</v>
      </c>
      <c r="I28">
        <v>16.935875000000003</v>
      </c>
      <c r="J28">
        <v>0</v>
      </c>
      <c r="K28">
        <v>5</v>
      </c>
      <c r="L28" s="12">
        <v>43418</v>
      </c>
      <c r="M28">
        <v>39.383333333333326</v>
      </c>
      <c r="N28">
        <v>41.907692307692315</v>
      </c>
      <c r="O28">
        <v>55.68427564102565</v>
      </c>
      <c r="P28">
        <v>28.13110897435898</v>
      </c>
    </row>
    <row r="29" spans="2:16" x14ac:dyDescent="0.35">
      <c r="B29" s="11">
        <v>6</v>
      </c>
      <c r="C29" s="12">
        <v>43422</v>
      </c>
      <c r="D29">
        <v>40.266666666666673</v>
      </c>
      <c r="G29">
        <f t="shared" si="0"/>
        <v>0.88333333333334707</v>
      </c>
      <c r="H29">
        <v>5.1791666666666671</v>
      </c>
      <c r="I29">
        <v>16.935875000000003</v>
      </c>
      <c r="J29">
        <v>0</v>
      </c>
      <c r="K29">
        <v>6</v>
      </c>
      <c r="L29" s="12">
        <v>43422</v>
      </c>
      <c r="M29">
        <v>40.266666666666673</v>
      </c>
      <c r="N29">
        <v>41.907692307692315</v>
      </c>
      <c r="O29">
        <v>55.68427564102565</v>
      </c>
      <c r="P29">
        <v>28.13110897435898</v>
      </c>
    </row>
    <row r="30" spans="2:16" x14ac:dyDescent="0.35">
      <c r="B30" s="11">
        <v>7</v>
      </c>
      <c r="C30" s="12">
        <v>43424</v>
      </c>
      <c r="D30">
        <v>42.483333333333334</v>
      </c>
      <c r="G30">
        <f t="shared" si="0"/>
        <v>2.2166666666666615</v>
      </c>
      <c r="H30">
        <v>5.1791666666666671</v>
      </c>
      <c r="I30">
        <v>16.935875000000003</v>
      </c>
      <c r="J30">
        <v>0</v>
      </c>
      <c r="K30">
        <v>7</v>
      </c>
      <c r="L30" s="12">
        <v>43424</v>
      </c>
      <c r="M30">
        <v>42.483333333333334</v>
      </c>
      <c r="N30">
        <v>41.907692307692315</v>
      </c>
      <c r="O30">
        <v>55.68427564102565</v>
      </c>
      <c r="P30">
        <v>28.13110897435898</v>
      </c>
    </row>
    <row r="31" spans="2:16" x14ac:dyDescent="0.35">
      <c r="B31" s="11">
        <v>8</v>
      </c>
      <c r="C31" s="12">
        <v>43425</v>
      </c>
      <c r="D31">
        <v>41.25</v>
      </c>
      <c r="G31">
        <f t="shared" si="0"/>
        <v>1.2333333333333343</v>
      </c>
      <c r="H31">
        <v>5.1791666666666671</v>
      </c>
      <c r="I31">
        <v>16.935875000000003</v>
      </c>
      <c r="J31">
        <v>0</v>
      </c>
      <c r="K31">
        <v>8</v>
      </c>
      <c r="L31" s="12">
        <v>43425</v>
      </c>
      <c r="M31">
        <v>41.25</v>
      </c>
      <c r="N31">
        <v>41.907692307692315</v>
      </c>
      <c r="O31">
        <v>55.68427564102565</v>
      </c>
      <c r="P31">
        <v>28.13110897435898</v>
      </c>
    </row>
    <row r="32" spans="2:16" x14ac:dyDescent="0.35">
      <c r="B32" s="11">
        <v>9</v>
      </c>
      <c r="C32" s="12">
        <v>43428</v>
      </c>
      <c r="D32">
        <v>50.05</v>
      </c>
      <c r="G32">
        <f t="shared" si="0"/>
        <v>8.7999999999999972</v>
      </c>
      <c r="H32">
        <v>5.1791666666666671</v>
      </c>
      <c r="I32">
        <v>16.935875000000003</v>
      </c>
      <c r="J32">
        <v>0</v>
      </c>
      <c r="K32">
        <v>9</v>
      </c>
      <c r="L32" s="12">
        <v>43428</v>
      </c>
      <c r="M32">
        <v>50.05</v>
      </c>
      <c r="N32">
        <v>41.907692307692315</v>
      </c>
      <c r="O32">
        <v>55.68427564102565</v>
      </c>
      <c r="P32">
        <v>28.13110897435898</v>
      </c>
    </row>
    <row r="33" spans="2:20" x14ac:dyDescent="0.35">
      <c r="B33" s="11">
        <v>10</v>
      </c>
      <c r="C33" s="12">
        <v>43429</v>
      </c>
      <c r="D33">
        <v>35.616666666666667</v>
      </c>
      <c r="G33">
        <f t="shared" si="0"/>
        <v>14.43333333333333</v>
      </c>
      <c r="H33">
        <v>5.1791666666666671</v>
      </c>
      <c r="I33">
        <v>16.935875000000003</v>
      </c>
      <c r="J33">
        <v>0</v>
      </c>
      <c r="K33">
        <v>10</v>
      </c>
      <c r="L33" s="12">
        <v>43429</v>
      </c>
      <c r="M33">
        <v>35.616666666666667</v>
      </c>
      <c r="N33">
        <v>41.907692307692315</v>
      </c>
      <c r="O33">
        <v>55.68427564102565</v>
      </c>
      <c r="P33">
        <v>28.13110897435898</v>
      </c>
    </row>
    <row r="34" spans="2:20" x14ac:dyDescent="0.35">
      <c r="B34" s="11">
        <v>11</v>
      </c>
      <c r="C34" s="12">
        <v>43432</v>
      </c>
      <c r="D34">
        <v>41.966666666666669</v>
      </c>
      <c r="G34">
        <f t="shared" si="0"/>
        <v>6.3500000000000014</v>
      </c>
      <c r="H34">
        <v>5.1791666666666671</v>
      </c>
      <c r="I34">
        <v>16.935875000000003</v>
      </c>
      <c r="J34">
        <v>0</v>
      </c>
      <c r="K34">
        <v>11</v>
      </c>
      <c r="L34" s="12">
        <v>43432</v>
      </c>
      <c r="M34">
        <v>41.966666666666669</v>
      </c>
      <c r="N34">
        <v>41.907692307692315</v>
      </c>
      <c r="O34">
        <v>55.68427564102565</v>
      </c>
      <c r="P34">
        <v>28.13110897435898</v>
      </c>
    </row>
    <row r="35" spans="2:20" x14ac:dyDescent="0.35">
      <c r="B35" s="11">
        <v>12</v>
      </c>
      <c r="C35" s="12">
        <v>43435</v>
      </c>
      <c r="D35">
        <v>43.833333333333336</v>
      </c>
      <c r="G35">
        <f t="shared" si="0"/>
        <v>1.8666666666666671</v>
      </c>
      <c r="H35">
        <v>5.1791666666666671</v>
      </c>
      <c r="I35">
        <v>16.935875000000003</v>
      </c>
      <c r="J35">
        <v>0</v>
      </c>
      <c r="K35">
        <v>12</v>
      </c>
      <c r="L35" s="12">
        <v>43435</v>
      </c>
      <c r="M35">
        <v>43.833333333333336</v>
      </c>
      <c r="N35">
        <v>41.907692307692315</v>
      </c>
      <c r="O35">
        <v>55.68427564102565</v>
      </c>
      <c r="P35">
        <v>28.13110897435898</v>
      </c>
    </row>
    <row r="36" spans="2:20" x14ac:dyDescent="0.35">
      <c r="B36" s="131">
        <v>13</v>
      </c>
      <c r="C36" s="132">
        <v>43436</v>
      </c>
      <c r="D36" s="133">
        <v>40.033333333333331</v>
      </c>
      <c r="E36" s="133"/>
      <c r="F36" s="133"/>
      <c r="G36" s="133">
        <f t="shared" si="0"/>
        <v>3.8000000000000043</v>
      </c>
      <c r="H36" s="133">
        <v>5.1791666666666671</v>
      </c>
      <c r="I36" s="133">
        <v>16.935875000000003</v>
      </c>
      <c r="J36" s="133">
        <v>0</v>
      </c>
      <c r="K36" s="133">
        <v>13</v>
      </c>
      <c r="L36" s="132">
        <v>43436</v>
      </c>
      <c r="M36" s="133">
        <v>40.033333333333331</v>
      </c>
      <c r="N36" s="133">
        <v>41.907692307692315</v>
      </c>
      <c r="O36" s="133">
        <v>55.68427564102565</v>
      </c>
      <c r="P36" s="133">
        <v>28.13110897435898</v>
      </c>
    </row>
    <row r="37" spans="2:20" x14ac:dyDescent="0.35">
      <c r="F37" t="s">
        <v>156</v>
      </c>
      <c r="G37">
        <f>AVERAGE(G25:G36)</f>
        <v>5.1791666666666671</v>
      </c>
      <c r="L37" t="s">
        <v>166</v>
      </c>
      <c r="M37">
        <f>AVERAGE(M24:M36)</f>
        <v>41.907692307692315</v>
      </c>
    </row>
    <row r="39" spans="2:20" ht="15" thickBot="1" x14ac:dyDescent="0.4">
      <c r="D39" t="s">
        <v>161</v>
      </c>
      <c r="F39" t="s">
        <v>158</v>
      </c>
      <c r="H39">
        <f>3.27*G37</f>
        <v>16.935875000000003</v>
      </c>
      <c r="N39" t="s">
        <v>163</v>
      </c>
      <c r="O39">
        <f>M37+(2.66*G37)</f>
        <v>55.68427564102565</v>
      </c>
    </row>
    <row r="40" spans="2:20" x14ac:dyDescent="0.35">
      <c r="D40" t="s">
        <v>162</v>
      </c>
      <c r="F40" t="s">
        <v>159</v>
      </c>
      <c r="H40">
        <f>0*G37</f>
        <v>0</v>
      </c>
      <c r="N40" t="s">
        <v>164</v>
      </c>
      <c r="O40">
        <f>M37-(2.66*G37)</f>
        <v>28.13110897435898</v>
      </c>
      <c r="S40" s="38" t="s">
        <v>167</v>
      </c>
      <c r="T40" s="38"/>
    </row>
    <row r="41" spans="2:20" x14ac:dyDescent="0.35">
      <c r="F41" s="134" t="s">
        <v>160</v>
      </c>
      <c r="S41" s="36"/>
      <c r="T41" s="36"/>
    </row>
    <row r="42" spans="2:20" x14ac:dyDescent="0.35">
      <c r="S42" s="36" t="s">
        <v>22</v>
      </c>
      <c r="T42" s="36">
        <v>41.907692307692315</v>
      </c>
    </row>
    <row r="43" spans="2:20" x14ac:dyDescent="0.35">
      <c r="S43" s="36" t="s">
        <v>23</v>
      </c>
      <c r="T43" s="36">
        <v>1.1414781106139258</v>
      </c>
    </row>
    <row r="44" spans="2:20" x14ac:dyDescent="0.35">
      <c r="S44" s="36" t="s">
        <v>24</v>
      </c>
      <c r="T44" s="36">
        <v>40.483333333333334</v>
      </c>
    </row>
    <row r="45" spans="2:20" x14ac:dyDescent="0.35">
      <c r="S45" s="36" t="s">
        <v>25</v>
      </c>
      <c r="T45" s="36" t="e">
        <v>#N/A</v>
      </c>
    </row>
    <row r="46" spans="2:20" x14ac:dyDescent="0.35">
      <c r="S46" s="36" t="s">
        <v>26</v>
      </c>
      <c r="T46" s="36">
        <v>4.115657857638265</v>
      </c>
    </row>
    <row r="47" spans="2:20" x14ac:dyDescent="0.35">
      <c r="S47" s="36" t="s">
        <v>27</v>
      </c>
      <c r="T47" s="36">
        <v>16.938639601139595</v>
      </c>
    </row>
    <row r="48" spans="2:20" x14ac:dyDescent="0.35">
      <c r="S48" s="36" t="s">
        <v>28</v>
      </c>
      <c r="T48" s="36">
        <v>1.2199817008325682</v>
      </c>
    </row>
    <row r="49" spans="19:20" x14ac:dyDescent="0.35">
      <c r="S49" s="36" t="s">
        <v>29</v>
      </c>
      <c r="T49" s="36">
        <v>1.1356532767596399</v>
      </c>
    </row>
    <row r="50" spans="19:20" x14ac:dyDescent="0.35">
      <c r="S50" s="36" t="s">
        <v>30</v>
      </c>
      <c r="T50" s="36">
        <v>14.533333333333331</v>
      </c>
    </row>
    <row r="51" spans="19:20" x14ac:dyDescent="0.35">
      <c r="S51" s="36" t="s">
        <v>31</v>
      </c>
      <c r="T51" s="36">
        <v>35.616666666666667</v>
      </c>
    </row>
    <row r="52" spans="19:20" x14ac:dyDescent="0.35">
      <c r="S52" s="36" t="s">
        <v>32</v>
      </c>
      <c r="T52" s="36">
        <v>50.15</v>
      </c>
    </row>
    <row r="53" spans="19:20" x14ac:dyDescent="0.35">
      <c r="S53" s="36" t="s">
        <v>33</v>
      </c>
      <c r="T53" s="36">
        <v>544.80000000000007</v>
      </c>
    </row>
    <row r="54" spans="19:20" ht="15" thickBot="1" x14ac:dyDescent="0.4">
      <c r="S54" s="37" t="s">
        <v>34</v>
      </c>
      <c r="T54" s="37">
        <v>13</v>
      </c>
    </row>
  </sheetData>
  <mergeCells count="2">
    <mergeCell ref="B3:C3"/>
    <mergeCell ref="B22:C2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655F-05A7-4E31-8511-C1E3CD6397AC}">
  <dimension ref="B2:P41"/>
  <sheetViews>
    <sheetView topLeftCell="A2" workbookViewId="0">
      <selection activeCell="B8" sqref="B8:P8"/>
    </sheetView>
  </sheetViews>
  <sheetFormatPr defaultRowHeight="14.5" x14ac:dyDescent="0.35"/>
  <cols>
    <col min="2" max="2" width="8.36328125" bestFit="1" customWidth="1"/>
    <col min="3" max="3" width="11.26953125" bestFit="1" customWidth="1"/>
    <col min="4" max="4" width="12.26953125" bestFit="1" customWidth="1"/>
    <col min="8" max="8" width="12.08984375" customWidth="1"/>
    <col min="9" max="9" width="12.26953125" customWidth="1"/>
    <col min="10" max="11" width="10.1796875" customWidth="1"/>
    <col min="12" max="12" width="10.453125" bestFit="1" customWidth="1"/>
  </cols>
  <sheetData>
    <row r="2" spans="2:16" x14ac:dyDescent="0.35">
      <c r="B2" s="112"/>
      <c r="C2" s="112" t="s">
        <v>0</v>
      </c>
      <c r="G2" s="2"/>
      <c r="H2" s="71" t="s">
        <v>156</v>
      </c>
      <c r="I2" s="2"/>
      <c r="J2" s="2"/>
      <c r="K2" s="2"/>
      <c r="L2" s="2"/>
      <c r="M2" s="2"/>
      <c r="N2" s="71" t="s">
        <v>156</v>
      </c>
      <c r="O2" s="2"/>
      <c r="P2" s="2"/>
    </row>
    <row r="3" spans="2:16" x14ac:dyDescent="0.35">
      <c r="B3" s="148" t="s">
        <v>16</v>
      </c>
      <c r="C3" s="148"/>
      <c r="D3" t="s">
        <v>70</v>
      </c>
      <c r="G3" s="135" t="s">
        <v>155</v>
      </c>
      <c r="H3" s="135" t="s">
        <v>157</v>
      </c>
      <c r="I3" s="135" t="s">
        <v>163</v>
      </c>
      <c r="J3" s="135" t="s">
        <v>164</v>
      </c>
      <c r="K3" s="136"/>
      <c r="L3" s="71"/>
      <c r="M3" s="135" t="s">
        <v>165</v>
      </c>
      <c r="N3" s="135" t="s">
        <v>157</v>
      </c>
      <c r="O3" s="135" t="s">
        <v>163</v>
      </c>
      <c r="P3" s="135" t="s">
        <v>164</v>
      </c>
    </row>
    <row r="4" spans="2:16" x14ac:dyDescent="0.35">
      <c r="B4" s="11">
        <v>1</v>
      </c>
      <c r="C4" s="12">
        <v>43380</v>
      </c>
      <c r="D4">
        <v>49.9</v>
      </c>
      <c r="G4" s="130"/>
      <c r="H4">
        <v>6.1862068965517247</v>
      </c>
      <c r="I4">
        <v>20.228896551724141</v>
      </c>
      <c r="J4">
        <v>0</v>
      </c>
      <c r="L4" s="12"/>
      <c r="M4">
        <v>49.9</v>
      </c>
      <c r="N4">
        <v>47.743333333333332</v>
      </c>
      <c r="O4">
        <v>64.19864367816092</v>
      </c>
      <c r="P4">
        <v>31.288022988505745</v>
      </c>
    </row>
    <row r="5" spans="2:16" x14ac:dyDescent="0.35">
      <c r="B5" s="11">
        <v>2</v>
      </c>
      <c r="C5" s="12">
        <v>43382</v>
      </c>
      <c r="D5">
        <v>57.733333333333327</v>
      </c>
      <c r="G5">
        <f t="shared" ref="G5:G33" si="0">ABS(D5-D4)</f>
        <v>7.8333333333333286</v>
      </c>
      <c r="H5">
        <v>6.1862068965517247</v>
      </c>
      <c r="I5">
        <v>20.228896551724141</v>
      </c>
      <c r="J5">
        <v>0</v>
      </c>
      <c r="L5" s="12"/>
      <c r="M5">
        <v>57.733333333333327</v>
      </c>
      <c r="N5">
        <v>47.743333333333332</v>
      </c>
      <c r="O5">
        <v>64.19864367816092</v>
      </c>
      <c r="P5">
        <v>31.288022988505745</v>
      </c>
    </row>
    <row r="6" spans="2:16" x14ac:dyDescent="0.35">
      <c r="B6" s="11">
        <v>3</v>
      </c>
      <c r="C6" s="12">
        <v>43383</v>
      </c>
      <c r="D6">
        <v>55.216666666666661</v>
      </c>
      <c r="G6">
        <f t="shared" si="0"/>
        <v>2.5166666666666657</v>
      </c>
      <c r="H6">
        <v>6.1862068965517247</v>
      </c>
      <c r="I6">
        <v>20.228896551724141</v>
      </c>
      <c r="J6">
        <v>0</v>
      </c>
      <c r="L6" s="12"/>
      <c r="M6">
        <v>55.216666666666661</v>
      </c>
      <c r="N6">
        <v>47.743333333333332</v>
      </c>
      <c r="O6">
        <v>64.19864367816092</v>
      </c>
      <c r="P6">
        <v>31.288022988505745</v>
      </c>
    </row>
    <row r="7" spans="2:16" x14ac:dyDescent="0.35">
      <c r="B7" s="11">
        <v>4</v>
      </c>
      <c r="C7" s="12">
        <v>43386</v>
      </c>
      <c r="D7">
        <v>44.266666666666673</v>
      </c>
      <c r="G7">
        <f t="shared" si="0"/>
        <v>10.949999999999989</v>
      </c>
      <c r="H7">
        <v>6.1862068965517247</v>
      </c>
      <c r="I7">
        <v>20.228896551724141</v>
      </c>
      <c r="J7">
        <v>0</v>
      </c>
      <c r="L7" s="12"/>
      <c r="M7">
        <v>44.266666666666673</v>
      </c>
      <c r="N7">
        <v>47.743333333333332</v>
      </c>
      <c r="O7">
        <v>64.19864367816092</v>
      </c>
      <c r="P7">
        <v>31.288022988505745</v>
      </c>
    </row>
    <row r="8" spans="2:16" x14ac:dyDescent="0.35">
      <c r="B8" s="137">
        <v>5</v>
      </c>
      <c r="C8" s="138">
        <v>43387</v>
      </c>
      <c r="D8" s="145">
        <v>67.2</v>
      </c>
      <c r="E8" s="145"/>
      <c r="F8" s="145"/>
      <c r="G8" s="145">
        <f t="shared" si="0"/>
        <v>22.93333333333333</v>
      </c>
      <c r="H8" s="145">
        <v>6.1862068965517247</v>
      </c>
      <c r="I8" s="145">
        <v>20.228896551724141</v>
      </c>
      <c r="J8" s="145">
        <v>0</v>
      </c>
      <c r="K8" s="145"/>
      <c r="L8" s="138"/>
      <c r="M8" s="145">
        <v>67.2</v>
      </c>
      <c r="N8" s="145">
        <v>47.743333333333332</v>
      </c>
      <c r="O8" s="145">
        <v>64.19864367816092</v>
      </c>
      <c r="P8" s="145">
        <v>31.288022988505745</v>
      </c>
    </row>
    <row r="9" spans="2:16" x14ac:dyDescent="0.35">
      <c r="B9" s="11">
        <v>6</v>
      </c>
      <c r="C9" s="12">
        <v>43389</v>
      </c>
      <c r="D9">
        <v>49.6</v>
      </c>
      <c r="G9">
        <f t="shared" si="0"/>
        <v>17.600000000000001</v>
      </c>
      <c r="H9">
        <v>6.1862068965517247</v>
      </c>
      <c r="I9">
        <v>20.228896551724141</v>
      </c>
      <c r="J9">
        <v>0</v>
      </c>
      <c r="L9" s="12"/>
      <c r="M9">
        <v>49.6</v>
      </c>
      <c r="N9">
        <v>47.743333333333332</v>
      </c>
      <c r="O9">
        <v>64.19864367816092</v>
      </c>
      <c r="P9">
        <v>31.288022988505745</v>
      </c>
    </row>
    <row r="10" spans="2:16" x14ac:dyDescent="0.35">
      <c r="B10" s="11">
        <v>7</v>
      </c>
      <c r="C10" s="12">
        <v>43390</v>
      </c>
      <c r="D10">
        <v>60.1</v>
      </c>
      <c r="G10">
        <f t="shared" si="0"/>
        <v>10.5</v>
      </c>
      <c r="H10">
        <v>6.1862068965517247</v>
      </c>
      <c r="I10">
        <v>20.228896551724141</v>
      </c>
      <c r="J10">
        <v>0</v>
      </c>
      <c r="L10" s="12"/>
      <c r="M10">
        <v>60.1</v>
      </c>
      <c r="N10">
        <v>47.743333333333332</v>
      </c>
      <c r="O10">
        <v>64.19864367816092</v>
      </c>
      <c r="P10">
        <v>31.288022988505745</v>
      </c>
    </row>
    <row r="11" spans="2:16" x14ac:dyDescent="0.35">
      <c r="B11" s="11">
        <v>8</v>
      </c>
      <c r="C11" s="12">
        <v>43392</v>
      </c>
      <c r="D11">
        <v>52.199999999999996</v>
      </c>
      <c r="G11">
        <f t="shared" si="0"/>
        <v>7.9000000000000057</v>
      </c>
      <c r="H11">
        <v>6.1862068965517247</v>
      </c>
      <c r="I11">
        <v>20.228896551724141</v>
      </c>
      <c r="J11">
        <v>0</v>
      </c>
      <c r="L11" s="12"/>
      <c r="M11">
        <v>52.199999999999996</v>
      </c>
      <c r="N11">
        <v>47.743333333333332</v>
      </c>
      <c r="O11">
        <v>64.19864367816092</v>
      </c>
      <c r="P11">
        <v>31.288022988505745</v>
      </c>
    </row>
    <row r="12" spans="2:16" x14ac:dyDescent="0.35">
      <c r="B12" s="11">
        <v>9</v>
      </c>
      <c r="C12" s="12">
        <v>43393</v>
      </c>
      <c r="D12">
        <v>56.499999999999986</v>
      </c>
      <c r="G12">
        <f t="shared" si="0"/>
        <v>4.2999999999999901</v>
      </c>
      <c r="H12">
        <v>6.1862068965517247</v>
      </c>
      <c r="I12">
        <v>20.228896551724141</v>
      </c>
      <c r="J12">
        <v>0</v>
      </c>
      <c r="L12" s="12"/>
      <c r="M12">
        <v>56.499999999999986</v>
      </c>
      <c r="N12">
        <v>47.743333333333332</v>
      </c>
      <c r="O12">
        <v>64.19864367816092</v>
      </c>
      <c r="P12">
        <v>31.288022988505745</v>
      </c>
    </row>
    <row r="13" spans="2:16" x14ac:dyDescent="0.35">
      <c r="B13" s="11">
        <v>10</v>
      </c>
      <c r="C13" s="12">
        <v>43394</v>
      </c>
      <c r="D13">
        <v>48.81666666666667</v>
      </c>
      <c r="G13">
        <f t="shared" si="0"/>
        <v>7.6833333333333158</v>
      </c>
      <c r="H13">
        <v>6.1862068965517247</v>
      </c>
      <c r="I13">
        <v>20.228896551724141</v>
      </c>
      <c r="J13">
        <v>0</v>
      </c>
      <c r="L13" s="12"/>
      <c r="M13">
        <v>48.81666666666667</v>
      </c>
      <c r="N13">
        <v>47.743333333333332</v>
      </c>
      <c r="O13">
        <v>64.19864367816092</v>
      </c>
      <c r="P13">
        <v>31.288022988505745</v>
      </c>
    </row>
    <row r="14" spans="2:16" x14ac:dyDescent="0.35">
      <c r="B14" s="11">
        <v>11</v>
      </c>
      <c r="C14" s="12">
        <v>43396</v>
      </c>
      <c r="D14">
        <v>49.15</v>
      </c>
      <c r="G14">
        <f t="shared" si="0"/>
        <v>0.3333333333333286</v>
      </c>
      <c r="H14">
        <v>6.1862068965517247</v>
      </c>
      <c r="I14">
        <v>20.228896551724141</v>
      </c>
      <c r="J14">
        <v>0</v>
      </c>
      <c r="L14" s="12"/>
      <c r="M14">
        <v>49.15</v>
      </c>
      <c r="N14">
        <v>47.743333333333332</v>
      </c>
      <c r="O14">
        <v>64.19864367816092</v>
      </c>
      <c r="P14">
        <v>31.288022988505745</v>
      </c>
    </row>
    <row r="15" spans="2:16" x14ac:dyDescent="0.35">
      <c r="B15" s="11">
        <v>12</v>
      </c>
      <c r="C15" s="12">
        <v>43397</v>
      </c>
      <c r="D15">
        <v>49.699999999999996</v>
      </c>
      <c r="G15">
        <f t="shared" si="0"/>
        <v>0.54999999999999716</v>
      </c>
      <c r="H15">
        <v>6.1862068965517247</v>
      </c>
      <c r="I15">
        <v>20.228896551724141</v>
      </c>
      <c r="J15">
        <v>0</v>
      </c>
      <c r="L15" s="12"/>
      <c r="M15">
        <v>49.699999999999996</v>
      </c>
      <c r="N15">
        <v>47.743333333333332</v>
      </c>
      <c r="O15">
        <v>64.19864367816092</v>
      </c>
      <c r="P15">
        <v>31.288022988505745</v>
      </c>
    </row>
    <row r="16" spans="2:16" x14ac:dyDescent="0.35">
      <c r="B16" s="11">
        <v>13</v>
      </c>
      <c r="C16" s="12">
        <v>43400</v>
      </c>
      <c r="D16">
        <v>50.466666666666669</v>
      </c>
      <c r="G16">
        <f t="shared" si="0"/>
        <v>0.76666666666667282</v>
      </c>
      <c r="H16" s="88">
        <v>6.1862068965517247</v>
      </c>
      <c r="I16" s="88">
        <v>20.228896551724141</v>
      </c>
      <c r="J16" s="88">
        <v>0</v>
      </c>
      <c r="K16" s="88"/>
      <c r="L16" s="144"/>
      <c r="M16">
        <v>50.466666666666669</v>
      </c>
      <c r="N16" s="88">
        <v>47.743333333333332</v>
      </c>
      <c r="O16" s="88">
        <v>64.19864367816092</v>
      </c>
      <c r="P16" s="88">
        <v>31.288022988505745</v>
      </c>
    </row>
    <row r="17" spans="2:16" x14ac:dyDescent="0.35">
      <c r="B17" s="11">
        <v>14</v>
      </c>
      <c r="C17" s="12">
        <v>43402</v>
      </c>
      <c r="D17">
        <v>48.81666666666667</v>
      </c>
      <c r="G17">
        <f t="shared" si="0"/>
        <v>1.6499999999999986</v>
      </c>
      <c r="H17" s="88">
        <v>6.1862068965517247</v>
      </c>
      <c r="I17" s="88">
        <v>20.228896551724141</v>
      </c>
      <c r="J17" s="88">
        <v>0</v>
      </c>
      <c r="K17" s="88"/>
      <c r="L17" s="144"/>
      <c r="M17">
        <v>48.81666666666667</v>
      </c>
      <c r="N17" s="88">
        <v>47.743333333333332</v>
      </c>
      <c r="O17" s="88">
        <v>64.19864367816092</v>
      </c>
      <c r="P17" s="88">
        <v>31.288022988505745</v>
      </c>
    </row>
    <row r="18" spans="2:16" x14ac:dyDescent="0.35">
      <c r="B18" s="11">
        <v>15</v>
      </c>
      <c r="C18" s="12">
        <v>43404</v>
      </c>
      <c r="D18">
        <v>46.050000000000004</v>
      </c>
      <c r="G18">
        <f t="shared" si="0"/>
        <v>2.7666666666666657</v>
      </c>
      <c r="H18" s="88">
        <v>6.1862068965517247</v>
      </c>
      <c r="I18" s="88">
        <v>20.228896551724141</v>
      </c>
      <c r="J18" s="88">
        <v>0</v>
      </c>
      <c r="K18" s="88"/>
      <c r="L18" s="144"/>
      <c r="M18">
        <v>46.050000000000004</v>
      </c>
      <c r="N18" s="88">
        <v>47.743333333333332</v>
      </c>
      <c r="O18" s="88">
        <v>64.19864367816092</v>
      </c>
      <c r="P18" s="88">
        <v>31.288022988505745</v>
      </c>
    </row>
    <row r="19" spans="2:16" x14ac:dyDescent="0.35">
      <c r="B19" s="11">
        <v>16</v>
      </c>
      <c r="C19" s="12">
        <v>43409</v>
      </c>
      <c r="D19">
        <v>52.75</v>
      </c>
      <c r="G19">
        <f t="shared" si="0"/>
        <v>6.6999999999999957</v>
      </c>
      <c r="H19" s="88">
        <v>6.1862068965517247</v>
      </c>
      <c r="I19" s="88">
        <v>20.228896551724141</v>
      </c>
      <c r="J19" s="88">
        <v>0</v>
      </c>
      <c r="K19" s="88"/>
      <c r="L19" s="144"/>
      <c r="M19">
        <v>52.75</v>
      </c>
      <c r="N19" s="88">
        <v>47.743333333333332</v>
      </c>
      <c r="O19" s="88">
        <v>64.19864367816092</v>
      </c>
      <c r="P19" s="88">
        <v>31.288022988505745</v>
      </c>
    </row>
    <row r="20" spans="2:16" x14ac:dyDescent="0.35">
      <c r="B20" s="11">
        <v>17</v>
      </c>
      <c r="C20" s="12">
        <v>43410</v>
      </c>
      <c r="D20">
        <v>49.033333333333324</v>
      </c>
      <c r="G20">
        <f t="shared" si="0"/>
        <v>3.7166666666666757</v>
      </c>
      <c r="H20" s="88">
        <v>6.1862068965517247</v>
      </c>
      <c r="I20" s="88">
        <v>20.228896551724141</v>
      </c>
      <c r="J20" s="88">
        <v>0</v>
      </c>
      <c r="K20" s="88"/>
      <c r="L20" s="144"/>
      <c r="M20">
        <v>49.033333333333324</v>
      </c>
      <c r="N20" s="88">
        <v>47.743333333333332</v>
      </c>
      <c r="O20" s="88">
        <v>64.19864367816092</v>
      </c>
      <c r="P20" s="88">
        <v>31.288022988505745</v>
      </c>
    </row>
    <row r="21" spans="2:16" x14ac:dyDescent="0.35">
      <c r="B21" s="11">
        <v>1</v>
      </c>
      <c r="C21" s="12">
        <v>43411</v>
      </c>
      <c r="D21">
        <v>40.483333333333334</v>
      </c>
      <c r="G21">
        <f t="shared" si="0"/>
        <v>8.5499999999999901</v>
      </c>
      <c r="H21" s="88">
        <v>6.1862068965517247</v>
      </c>
      <c r="I21" s="88">
        <v>20.228896551724141</v>
      </c>
      <c r="J21" s="88">
        <v>0</v>
      </c>
      <c r="K21" s="88"/>
      <c r="L21" s="144"/>
      <c r="M21">
        <v>40.483333333333334</v>
      </c>
      <c r="N21" s="88">
        <v>47.743333333333332</v>
      </c>
      <c r="O21" s="88">
        <v>64.19864367816092</v>
      </c>
      <c r="P21" s="88">
        <v>31.288022988505745</v>
      </c>
    </row>
    <row r="22" spans="2:16" s="2" customFormat="1" x14ac:dyDescent="0.35">
      <c r="B22" s="11">
        <v>2</v>
      </c>
      <c r="C22" s="12">
        <v>43414</v>
      </c>
      <c r="D22">
        <v>39.416666666666671</v>
      </c>
      <c r="G22">
        <f t="shared" si="0"/>
        <v>1.0666666666666629</v>
      </c>
      <c r="H22" s="88">
        <v>6.1862068965517247</v>
      </c>
      <c r="I22" s="88">
        <v>20.228896551724141</v>
      </c>
      <c r="J22" s="88">
        <v>0</v>
      </c>
      <c r="K22" s="88"/>
      <c r="L22" s="144"/>
      <c r="M22">
        <v>39.416666666666671</v>
      </c>
      <c r="N22" s="88">
        <v>47.743333333333332</v>
      </c>
      <c r="O22" s="88">
        <v>64.19864367816092</v>
      </c>
      <c r="P22" s="88">
        <v>31.288022988505745</v>
      </c>
    </row>
    <row r="23" spans="2:16" s="71" customFormat="1" x14ac:dyDescent="0.35">
      <c r="B23" s="11">
        <v>3</v>
      </c>
      <c r="C23" s="12">
        <v>43415</v>
      </c>
      <c r="D23">
        <v>50.15</v>
      </c>
      <c r="G23">
        <f t="shared" si="0"/>
        <v>10.733333333333327</v>
      </c>
      <c r="H23" s="88">
        <v>6.1862068965517247</v>
      </c>
      <c r="I23" s="88">
        <v>20.228896551724141</v>
      </c>
      <c r="J23" s="88">
        <v>0</v>
      </c>
      <c r="K23" s="88"/>
      <c r="L23" s="144"/>
      <c r="M23">
        <v>50.15</v>
      </c>
      <c r="N23" s="88">
        <v>47.743333333333332</v>
      </c>
      <c r="O23" s="88">
        <v>64.19864367816092</v>
      </c>
      <c r="P23" s="88">
        <v>31.288022988505745</v>
      </c>
    </row>
    <row r="24" spans="2:16" x14ac:dyDescent="0.35">
      <c r="B24" s="11">
        <v>4</v>
      </c>
      <c r="C24" s="12">
        <v>43417</v>
      </c>
      <c r="D24">
        <v>39.866666666666667</v>
      </c>
      <c r="G24">
        <f t="shared" si="0"/>
        <v>10.283333333333331</v>
      </c>
      <c r="H24" s="88">
        <v>6.1862068965517247</v>
      </c>
      <c r="I24" s="88">
        <v>20.228896551724141</v>
      </c>
      <c r="J24" s="88">
        <v>0</v>
      </c>
      <c r="K24" s="88"/>
      <c r="L24" s="144"/>
      <c r="M24">
        <v>39.866666666666667</v>
      </c>
      <c r="N24" s="88">
        <v>47.743333333333332</v>
      </c>
      <c r="O24" s="88">
        <v>64.19864367816092</v>
      </c>
      <c r="P24" s="88">
        <v>31.288022988505745</v>
      </c>
    </row>
    <row r="25" spans="2:16" x14ac:dyDescent="0.35">
      <c r="B25" s="11">
        <v>5</v>
      </c>
      <c r="C25" s="12">
        <v>43418</v>
      </c>
      <c r="D25">
        <v>39.383333333333326</v>
      </c>
      <c r="G25">
        <f t="shared" si="0"/>
        <v>0.48333333333334139</v>
      </c>
      <c r="H25" s="88">
        <v>6.1862068965517247</v>
      </c>
      <c r="I25" s="88">
        <v>20.228896551724141</v>
      </c>
      <c r="J25" s="88">
        <v>0</v>
      </c>
      <c r="K25" s="88"/>
      <c r="L25" s="144"/>
      <c r="M25">
        <v>39.383333333333326</v>
      </c>
      <c r="N25" s="88">
        <v>47.743333333333332</v>
      </c>
      <c r="O25" s="88">
        <v>64.19864367816092</v>
      </c>
      <c r="P25" s="88">
        <v>31.288022988505745</v>
      </c>
    </row>
    <row r="26" spans="2:16" x14ac:dyDescent="0.35">
      <c r="B26" s="11">
        <v>6</v>
      </c>
      <c r="C26" s="12">
        <v>43422</v>
      </c>
      <c r="D26">
        <v>40.266666666666673</v>
      </c>
      <c r="G26">
        <f t="shared" si="0"/>
        <v>0.88333333333334707</v>
      </c>
      <c r="H26" s="88">
        <v>6.1862068965517247</v>
      </c>
      <c r="I26" s="88">
        <v>20.228896551724141</v>
      </c>
      <c r="J26" s="88">
        <v>0</v>
      </c>
      <c r="K26" s="88"/>
      <c r="L26" s="144"/>
      <c r="M26">
        <v>40.266666666666673</v>
      </c>
      <c r="N26" s="88">
        <v>47.743333333333332</v>
      </c>
      <c r="O26" s="88">
        <v>64.19864367816092</v>
      </c>
      <c r="P26" s="88">
        <v>31.288022988505745</v>
      </c>
    </row>
    <row r="27" spans="2:16" x14ac:dyDescent="0.35">
      <c r="B27" s="11">
        <v>7</v>
      </c>
      <c r="C27" s="12">
        <v>43424</v>
      </c>
      <c r="D27">
        <v>42.483333333333334</v>
      </c>
      <c r="G27">
        <f t="shared" si="0"/>
        <v>2.2166666666666615</v>
      </c>
      <c r="H27" s="88">
        <v>6.1862068965517247</v>
      </c>
      <c r="I27" s="88">
        <v>20.228896551724141</v>
      </c>
      <c r="J27" s="88">
        <v>0</v>
      </c>
      <c r="K27" s="88"/>
      <c r="L27" s="144"/>
      <c r="M27">
        <v>42.483333333333334</v>
      </c>
      <c r="N27" s="88">
        <v>47.743333333333332</v>
      </c>
      <c r="O27" s="88">
        <v>64.19864367816092</v>
      </c>
      <c r="P27" s="88">
        <v>31.288022988505745</v>
      </c>
    </row>
    <row r="28" spans="2:16" x14ac:dyDescent="0.35">
      <c r="B28" s="11">
        <v>8</v>
      </c>
      <c r="C28" s="12">
        <v>43425</v>
      </c>
      <c r="D28">
        <v>41.25</v>
      </c>
      <c r="G28">
        <f t="shared" si="0"/>
        <v>1.2333333333333343</v>
      </c>
      <c r="H28" s="88">
        <v>6.1862068965517247</v>
      </c>
      <c r="I28" s="88">
        <v>20.228896551724141</v>
      </c>
      <c r="J28" s="88">
        <v>0</v>
      </c>
      <c r="K28" s="88"/>
      <c r="L28" s="144"/>
      <c r="M28">
        <v>41.25</v>
      </c>
      <c r="N28" s="88">
        <v>47.743333333333332</v>
      </c>
      <c r="O28" s="88">
        <v>64.19864367816092</v>
      </c>
      <c r="P28" s="88">
        <v>31.288022988505745</v>
      </c>
    </row>
    <row r="29" spans="2:16" x14ac:dyDescent="0.35">
      <c r="B29" s="11">
        <v>9</v>
      </c>
      <c r="C29" s="12">
        <v>43428</v>
      </c>
      <c r="D29">
        <v>50.05</v>
      </c>
      <c r="G29">
        <f t="shared" si="0"/>
        <v>8.7999999999999972</v>
      </c>
      <c r="H29" s="88">
        <v>6.1862068965517247</v>
      </c>
      <c r="I29" s="88">
        <v>20.228896551724141</v>
      </c>
      <c r="J29" s="88">
        <v>0</v>
      </c>
      <c r="K29" s="88"/>
      <c r="L29" s="144"/>
      <c r="M29">
        <v>50.05</v>
      </c>
      <c r="N29" s="88">
        <v>47.743333333333332</v>
      </c>
      <c r="O29" s="88">
        <v>64.19864367816092</v>
      </c>
      <c r="P29" s="88">
        <v>31.288022988505745</v>
      </c>
    </row>
    <row r="30" spans="2:16" x14ac:dyDescent="0.35">
      <c r="B30" s="11">
        <v>10</v>
      </c>
      <c r="C30" s="12">
        <v>43429</v>
      </c>
      <c r="D30">
        <v>35.616666666666667</v>
      </c>
      <c r="G30">
        <f t="shared" si="0"/>
        <v>14.43333333333333</v>
      </c>
      <c r="H30" s="88">
        <v>6.1862068965517247</v>
      </c>
      <c r="I30" s="88">
        <v>20.228896551724141</v>
      </c>
      <c r="J30" s="88">
        <v>0</v>
      </c>
      <c r="K30" s="88"/>
      <c r="L30" s="144"/>
      <c r="M30">
        <v>35.616666666666667</v>
      </c>
      <c r="N30" s="88">
        <v>47.743333333333332</v>
      </c>
      <c r="O30" s="88">
        <v>64.19864367816092</v>
      </c>
      <c r="P30" s="88">
        <v>31.288022988505745</v>
      </c>
    </row>
    <row r="31" spans="2:16" x14ac:dyDescent="0.35">
      <c r="B31" s="11">
        <v>11</v>
      </c>
      <c r="C31" s="12">
        <v>43432</v>
      </c>
      <c r="D31">
        <v>41.966666666666669</v>
      </c>
      <c r="G31">
        <f t="shared" si="0"/>
        <v>6.3500000000000014</v>
      </c>
      <c r="H31" s="88">
        <v>6.1862068965517247</v>
      </c>
      <c r="I31" s="88">
        <v>20.228896551724141</v>
      </c>
      <c r="J31" s="88">
        <v>0</v>
      </c>
      <c r="K31" s="88"/>
      <c r="L31" s="144"/>
      <c r="M31">
        <v>41.966666666666669</v>
      </c>
      <c r="N31" s="88">
        <v>47.743333333333332</v>
      </c>
      <c r="O31" s="88">
        <v>64.19864367816092</v>
      </c>
      <c r="P31" s="88">
        <v>31.288022988505745</v>
      </c>
    </row>
    <row r="32" spans="2:16" x14ac:dyDescent="0.35">
      <c r="B32" s="11">
        <v>12</v>
      </c>
      <c r="C32" s="12">
        <v>43435</v>
      </c>
      <c r="D32">
        <v>43.833333333333336</v>
      </c>
      <c r="G32">
        <f t="shared" si="0"/>
        <v>1.8666666666666671</v>
      </c>
      <c r="H32" s="88">
        <v>6.1862068965517247</v>
      </c>
      <c r="I32" s="88">
        <v>20.228896551724141</v>
      </c>
      <c r="J32" s="88">
        <v>0</v>
      </c>
      <c r="K32" s="88"/>
      <c r="L32" s="144"/>
      <c r="M32">
        <v>43.833333333333336</v>
      </c>
      <c r="N32" s="88">
        <v>47.743333333333332</v>
      </c>
      <c r="O32" s="88">
        <v>64.19864367816092</v>
      </c>
      <c r="P32" s="88">
        <v>31.288022988505745</v>
      </c>
    </row>
    <row r="33" spans="2:16" x14ac:dyDescent="0.35">
      <c r="B33" s="131">
        <v>13</v>
      </c>
      <c r="C33" s="132">
        <v>43436</v>
      </c>
      <c r="D33" s="133">
        <v>40.033333333333331</v>
      </c>
      <c r="E33" s="133"/>
      <c r="F33" s="133"/>
      <c r="G33" s="133">
        <f t="shared" si="0"/>
        <v>3.8000000000000043</v>
      </c>
      <c r="H33" s="133">
        <v>6.1862068965517247</v>
      </c>
      <c r="I33" s="133">
        <v>20.228896551724141</v>
      </c>
      <c r="J33" s="133">
        <v>0</v>
      </c>
      <c r="K33" s="133"/>
      <c r="L33" s="132"/>
      <c r="M33" s="133">
        <v>40.033333333333331</v>
      </c>
      <c r="N33" s="133">
        <v>47.743333333333332</v>
      </c>
      <c r="O33" s="133">
        <v>64.19864367816092</v>
      </c>
      <c r="P33" s="133">
        <v>31.288022988505745</v>
      </c>
    </row>
    <row r="34" spans="2:16" x14ac:dyDescent="0.35">
      <c r="F34" t="s">
        <v>156</v>
      </c>
      <c r="G34">
        <f>AVERAGE(G5:G33)</f>
        <v>6.1862068965517247</v>
      </c>
      <c r="L34" t="s">
        <v>166</v>
      </c>
      <c r="M34">
        <f>AVERAGE(M4:M33)</f>
        <v>47.743333333333332</v>
      </c>
    </row>
    <row r="36" spans="2:16" x14ac:dyDescent="0.35">
      <c r="E36" s="88"/>
      <c r="F36" s="88"/>
      <c r="G36" t="s">
        <v>163</v>
      </c>
      <c r="H36">
        <f>3.27*G34</f>
        <v>20.228896551724141</v>
      </c>
      <c r="N36" t="s">
        <v>163</v>
      </c>
      <c r="O36">
        <f>M34+(2.66*G34)</f>
        <v>64.19864367816092</v>
      </c>
    </row>
    <row r="37" spans="2:16" x14ac:dyDescent="0.35">
      <c r="E37" s="88"/>
      <c r="F37" s="88"/>
      <c r="G37" t="s">
        <v>164</v>
      </c>
      <c r="H37">
        <f>0*G34</f>
        <v>0</v>
      </c>
      <c r="N37" t="s">
        <v>164</v>
      </c>
      <c r="O37">
        <f>M34-(2.66*G34)</f>
        <v>31.288022988505745</v>
      </c>
    </row>
    <row r="39" spans="2:16" x14ac:dyDescent="0.35">
      <c r="G39" s="2"/>
      <c r="H39" t="s">
        <v>161</v>
      </c>
      <c r="J39" t="s">
        <v>158</v>
      </c>
      <c r="L39" s="2"/>
      <c r="M39" s="2"/>
      <c r="N39" s="2"/>
      <c r="O39" s="2"/>
      <c r="P39" s="2"/>
    </row>
    <row r="40" spans="2:16" x14ac:dyDescent="0.35">
      <c r="G40" s="71"/>
      <c r="H40" t="s">
        <v>162</v>
      </c>
      <c r="J40" t="s">
        <v>159</v>
      </c>
      <c r="L40" s="71"/>
      <c r="M40" s="71"/>
      <c r="N40" s="71"/>
      <c r="O40" s="71"/>
      <c r="P40" s="71"/>
    </row>
    <row r="41" spans="2:16" x14ac:dyDescent="0.35">
      <c r="J41" s="134" t="s">
        <v>160</v>
      </c>
    </row>
  </sheetData>
  <mergeCells count="1">
    <mergeCell ref="B3:C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D33A-E4E2-4A02-9BB8-09A504599392}">
  <dimension ref="E2:M18"/>
  <sheetViews>
    <sheetView workbookViewId="0">
      <selection activeCell="J24" sqref="J24"/>
    </sheetView>
  </sheetViews>
  <sheetFormatPr defaultRowHeight="14.5" x14ac:dyDescent="0.35"/>
  <cols>
    <col min="2" max="3" width="8.7265625" customWidth="1"/>
    <col min="5" max="5" width="7.26953125" style="56" customWidth="1"/>
    <col min="6" max="6" width="17.54296875" style="56" customWidth="1"/>
    <col min="7" max="7" width="2.7265625" style="56" customWidth="1"/>
    <col min="8" max="8" width="19" style="56" customWidth="1"/>
    <col min="9" max="13" width="8.7265625" style="43"/>
  </cols>
  <sheetData>
    <row r="2" spans="5:8" ht="10" customHeight="1" x14ac:dyDescent="0.35">
      <c r="E2" s="53"/>
      <c r="F2" s="54" t="s">
        <v>16</v>
      </c>
      <c r="G2" s="54"/>
      <c r="H2" s="54" t="s">
        <v>38</v>
      </c>
    </row>
    <row r="3" spans="5:8" ht="10" customHeight="1" x14ac:dyDescent="0.35">
      <c r="E3" s="55">
        <v>0.74305555555555547</v>
      </c>
      <c r="F3" s="61" t="s">
        <v>43</v>
      </c>
      <c r="G3" s="49"/>
      <c r="H3" s="61" t="s">
        <v>43</v>
      </c>
    </row>
    <row r="4" spans="5:8" ht="10" customHeight="1" x14ac:dyDescent="0.35">
      <c r="E4" s="55">
        <v>0.74652777777777779</v>
      </c>
      <c r="F4" s="150" t="s">
        <v>36</v>
      </c>
      <c r="G4" s="49"/>
      <c r="H4" s="58" t="s">
        <v>39</v>
      </c>
    </row>
    <row r="5" spans="5:8" ht="10" customHeight="1" x14ac:dyDescent="0.35">
      <c r="E5" s="55">
        <v>0.75</v>
      </c>
      <c r="F5" s="151"/>
      <c r="G5" s="49"/>
      <c r="H5" s="59"/>
    </row>
    <row r="6" spans="5:8" ht="10" customHeight="1" x14ac:dyDescent="0.35">
      <c r="E6" s="55">
        <v>0.75347222222222221</v>
      </c>
      <c r="F6" s="151"/>
      <c r="G6" s="49"/>
      <c r="H6" s="59"/>
    </row>
    <row r="7" spans="5:8" ht="10" customHeight="1" x14ac:dyDescent="0.35">
      <c r="E7" s="55">
        <v>0.75694444444444453</v>
      </c>
      <c r="F7" s="151"/>
      <c r="G7" s="49"/>
      <c r="H7" s="59"/>
    </row>
    <row r="8" spans="5:8" ht="10" customHeight="1" x14ac:dyDescent="0.35">
      <c r="E8" s="55">
        <v>0.76041666666666663</v>
      </c>
      <c r="F8" s="151"/>
      <c r="G8" s="49"/>
      <c r="H8" s="59"/>
    </row>
    <row r="9" spans="5:8" ht="10" customHeight="1" x14ac:dyDescent="0.35">
      <c r="E9" s="55">
        <v>0.76388888888888884</v>
      </c>
      <c r="F9" s="151"/>
      <c r="G9" s="49"/>
      <c r="H9" s="59"/>
    </row>
    <row r="10" spans="5:8" ht="10" customHeight="1" x14ac:dyDescent="0.35">
      <c r="E10" s="55">
        <v>0.76736111111111116</v>
      </c>
      <c r="F10" s="151"/>
      <c r="G10" s="49"/>
      <c r="H10" s="59"/>
    </row>
    <row r="11" spans="5:8" ht="10" customHeight="1" x14ac:dyDescent="0.35">
      <c r="E11" s="55">
        <v>0.77083333333333337</v>
      </c>
      <c r="F11" s="151"/>
      <c r="G11" s="49"/>
      <c r="H11" s="60"/>
    </row>
    <row r="12" spans="5:8" ht="10" customHeight="1" x14ac:dyDescent="0.35">
      <c r="E12" s="55">
        <v>0.77430555555555547</v>
      </c>
      <c r="F12" s="151"/>
      <c r="G12" s="49"/>
      <c r="H12" s="153" t="s">
        <v>37</v>
      </c>
    </row>
    <row r="13" spans="5:8" ht="10" customHeight="1" x14ac:dyDescent="0.35">
      <c r="E13" s="55">
        <v>0.77777777777777779</v>
      </c>
      <c r="F13" s="152"/>
      <c r="G13" s="49"/>
      <c r="H13" s="154"/>
    </row>
    <row r="14" spans="5:8" ht="10" customHeight="1" x14ac:dyDescent="0.35">
      <c r="E14" s="55">
        <v>0.78125</v>
      </c>
      <c r="F14" s="153" t="s">
        <v>37</v>
      </c>
      <c r="G14" s="49"/>
      <c r="H14" s="154"/>
    </row>
    <row r="15" spans="5:8" ht="10" customHeight="1" x14ac:dyDescent="0.35">
      <c r="E15" s="55">
        <v>0.78472222222222221</v>
      </c>
      <c r="F15" s="154"/>
      <c r="G15" s="49"/>
      <c r="H15" s="154"/>
    </row>
    <row r="16" spans="5:8" ht="10" customHeight="1" x14ac:dyDescent="0.35">
      <c r="E16" s="55">
        <v>0.78819444444444453</v>
      </c>
      <c r="F16" s="155"/>
      <c r="G16" s="49"/>
      <c r="H16" s="155"/>
    </row>
    <row r="17" spans="5:8" ht="10" customHeight="1" x14ac:dyDescent="0.35">
      <c r="E17" s="55">
        <v>0.79166666666666663</v>
      </c>
      <c r="F17" s="50" t="s">
        <v>44</v>
      </c>
      <c r="G17" s="51"/>
      <c r="H17" s="50" t="s">
        <v>44</v>
      </c>
    </row>
    <row r="18" spans="5:8" x14ac:dyDescent="0.35">
      <c r="G18" s="57"/>
    </row>
  </sheetData>
  <mergeCells count="3">
    <mergeCell ref="F4:F13"/>
    <mergeCell ref="F14:F16"/>
    <mergeCell ref="H12:H1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A0E9-6DF7-426C-80F3-8B6ECE823F89}">
  <dimension ref="B2:F21"/>
  <sheetViews>
    <sheetView topLeftCell="A2" workbookViewId="0">
      <selection activeCell="G28" sqref="G28"/>
    </sheetView>
  </sheetViews>
  <sheetFormatPr defaultRowHeight="14.5" x14ac:dyDescent="0.35"/>
  <cols>
    <col min="2" max="2" width="29.08984375" customWidth="1"/>
    <col min="3" max="3" width="16.453125" style="62" customWidth="1"/>
    <col min="4" max="4" width="10.6328125" style="63" customWidth="1"/>
  </cols>
  <sheetData>
    <row r="2" spans="2:6" x14ac:dyDescent="0.35">
      <c r="B2" s="64" t="s">
        <v>61</v>
      </c>
      <c r="C2" s="45" t="s">
        <v>62</v>
      </c>
      <c r="D2" s="65" t="s">
        <v>55</v>
      </c>
    </row>
    <row r="3" spans="2:6" x14ac:dyDescent="0.35">
      <c r="B3" s="43" t="s">
        <v>46</v>
      </c>
      <c r="C3" s="44" t="s">
        <v>51</v>
      </c>
      <c r="D3" s="66">
        <v>1</v>
      </c>
    </row>
    <row r="4" spans="2:6" x14ac:dyDescent="0.35">
      <c r="B4" s="43" t="s">
        <v>49</v>
      </c>
      <c r="C4" s="44" t="s">
        <v>52</v>
      </c>
      <c r="D4" s="66">
        <v>17</v>
      </c>
    </row>
    <row r="5" spans="2:6" x14ac:dyDescent="0.35">
      <c r="B5" s="43" t="s">
        <v>48</v>
      </c>
      <c r="C5" s="44" t="s">
        <v>53</v>
      </c>
      <c r="D5" s="66">
        <v>17</v>
      </c>
    </row>
    <row r="6" spans="2:6" x14ac:dyDescent="0.35">
      <c r="B6" s="43" t="s">
        <v>47</v>
      </c>
      <c r="C6" s="44" t="s">
        <v>54</v>
      </c>
      <c r="D6" s="66">
        <v>8</v>
      </c>
      <c r="F6" s="2"/>
    </row>
    <row r="7" spans="2:6" x14ac:dyDescent="0.35">
      <c r="B7" s="43" t="s">
        <v>50</v>
      </c>
      <c r="C7" s="44" t="s">
        <v>56</v>
      </c>
      <c r="D7" s="67">
        <f>(D6/D4)</f>
        <v>0.47058823529411764</v>
      </c>
    </row>
    <row r="8" spans="2:6" ht="15" thickBot="1" x14ac:dyDescent="0.4">
      <c r="B8" s="43" t="s">
        <v>63</v>
      </c>
      <c r="C8" s="44" t="s">
        <v>57</v>
      </c>
      <c r="D8" s="68">
        <f>(D6/D4) * 1000000</f>
        <v>470588.23529411765</v>
      </c>
    </row>
    <row r="9" spans="2:6" ht="15" thickBot="1" x14ac:dyDescent="0.4">
      <c r="B9" s="43" t="s">
        <v>58</v>
      </c>
      <c r="C9" s="69" t="s">
        <v>59</v>
      </c>
      <c r="D9" s="70">
        <v>1.6</v>
      </c>
    </row>
    <row r="10" spans="2:6" x14ac:dyDescent="0.35">
      <c r="B10" s="43"/>
      <c r="C10" s="52" t="s">
        <v>60</v>
      </c>
      <c r="D10" s="66"/>
    </row>
    <row r="13" spans="2:6" x14ac:dyDescent="0.35">
      <c r="B13" s="64" t="s">
        <v>61</v>
      </c>
      <c r="C13" s="45" t="s">
        <v>62</v>
      </c>
      <c r="D13" s="65" t="s">
        <v>55</v>
      </c>
    </row>
    <row r="14" spans="2:6" x14ac:dyDescent="0.35">
      <c r="B14" s="43" t="s">
        <v>46</v>
      </c>
      <c r="C14" s="44" t="s">
        <v>51</v>
      </c>
      <c r="D14" s="66">
        <v>1</v>
      </c>
    </row>
    <row r="15" spans="2:6" x14ac:dyDescent="0.35">
      <c r="B15" s="43" t="s">
        <v>49</v>
      </c>
      <c r="C15" s="44" t="s">
        <v>52</v>
      </c>
      <c r="D15" s="66">
        <v>13</v>
      </c>
    </row>
    <row r="16" spans="2:6" x14ac:dyDescent="0.35">
      <c r="B16" s="43" t="s">
        <v>48</v>
      </c>
      <c r="C16" s="44" t="s">
        <v>53</v>
      </c>
      <c r="D16" s="66">
        <v>13</v>
      </c>
    </row>
    <row r="17" spans="2:4" x14ac:dyDescent="0.35">
      <c r="B17" s="43" t="s">
        <v>47</v>
      </c>
      <c r="C17" s="44" t="s">
        <v>54</v>
      </c>
      <c r="D17" s="66">
        <v>2</v>
      </c>
    </row>
    <row r="18" spans="2:4" x14ac:dyDescent="0.35">
      <c r="B18" s="43" t="s">
        <v>50</v>
      </c>
      <c r="C18" s="44" t="s">
        <v>56</v>
      </c>
      <c r="D18" s="67">
        <f>(D17/D15)</f>
        <v>0.15384615384615385</v>
      </c>
    </row>
    <row r="19" spans="2:4" ht="15" thickBot="1" x14ac:dyDescent="0.4">
      <c r="B19" s="43" t="s">
        <v>63</v>
      </c>
      <c r="C19" s="44" t="s">
        <v>57</v>
      </c>
      <c r="D19" s="68">
        <f>(D17/D15) * 1000000</f>
        <v>153846.15384615384</v>
      </c>
    </row>
    <row r="20" spans="2:4" ht="15" thickBot="1" x14ac:dyDescent="0.4">
      <c r="B20" s="43" t="s">
        <v>58</v>
      </c>
      <c r="C20" s="69" t="s">
        <v>59</v>
      </c>
      <c r="D20" s="70">
        <v>2.5</v>
      </c>
    </row>
    <row r="21" spans="2:4" x14ac:dyDescent="0.35">
      <c r="B21" s="43"/>
      <c r="C21" s="52" t="s">
        <v>64</v>
      </c>
      <c r="D21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2EB4-2F98-47AF-AC82-00AA5A71DA2C}">
  <dimension ref="B1:Q29"/>
  <sheetViews>
    <sheetView tabSelected="1" workbookViewId="0">
      <selection activeCell="Q22" sqref="Q22"/>
    </sheetView>
  </sheetViews>
  <sheetFormatPr defaultRowHeight="14.5" x14ac:dyDescent="0.35"/>
  <cols>
    <col min="2" max="2" width="13.54296875" customWidth="1"/>
    <col min="3" max="3" width="12.453125" customWidth="1"/>
    <col min="4" max="4" width="12.26953125" customWidth="1"/>
    <col min="5" max="5" width="11.08984375" customWidth="1"/>
    <col min="7" max="7" width="13.453125" bestFit="1" customWidth="1"/>
    <col min="9" max="9" width="12.453125" customWidth="1"/>
    <col min="10" max="10" width="13.453125" customWidth="1"/>
    <col min="11" max="11" width="12.453125" customWidth="1"/>
    <col min="15" max="16" width="10.81640625" bestFit="1" customWidth="1"/>
  </cols>
  <sheetData>
    <row r="1" spans="2:17" x14ac:dyDescent="0.35">
      <c r="B1" s="156" t="s">
        <v>147</v>
      </c>
      <c r="C1" s="156"/>
      <c r="D1" s="156"/>
      <c r="E1" s="156"/>
      <c r="F1" s="72"/>
      <c r="G1" s="72"/>
      <c r="H1" s="156" t="s">
        <v>149</v>
      </c>
      <c r="I1" s="156"/>
      <c r="J1" s="156"/>
      <c r="K1" s="156"/>
      <c r="N1" s="156" t="s">
        <v>151</v>
      </c>
      <c r="O1" s="156"/>
      <c r="P1" s="156"/>
      <c r="Q1" s="156"/>
    </row>
    <row r="2" spans="2:17" s="71" customFormat="1" ht="15" thickBot="1" x14ac:dyDescent="0.4">
      <c r="B2" s="73"/>
      <c r="C2" s="74" t="s">
        <v>65</v>
      </c>
      <c r="D2" s="74" t="s">
        <v>66</v>
      </c>
      <c r="E2" s="74" t="s">
        <v>70</v>
      </c>
      <c r="F2" s="73"/>
      <c r="G2" s="73"/>
      <c r="H2" s="73"/>
      <c r="I2" s="74" t="s">
        <v>65</v>
      </c>
      <c r="J2" s="74" t="s">
        <v>66</v>
      </c>
      <c r="K2" s="74" t="s">
        <v>70</v>
      </c>
      <c r="N2" s="73"/>
      <c r="O2" s="74" t="s">
        <v>65</v>
      </c>
      <c r="P2" s="74" t="s">
        <v>66</v>
      </c>
      <c r="Q2" s="74" t="s">
        <v>70</v>
      </c>
    </row>
    <row r="3" spans="2:17" x14ac:dyDescent="0.35">
      <c r="B3" s="75" t="s">
        <v>67</v>
      </c>
      <c r="C3" s="126">
        <v>1</v>
      </c>
      <c r="D3" s="127">
        <v>7</v>
      </c>
      <c r="E3" s="77">
        <f>SUM(C3:D3)</f>
        <v>8</v>
      </c>
      <c r="F3" s="72"/>
      <c r="G3" s="72"/>
      <c r="H3" s="75" t="s">
        <v>67</v>
      </c>
      <c r="I3" s="126">
        <v>1</v>
      </c>
      <c r="J3" s="127">
        <v>1</v>
      </c>
      <c r="K3" s="77">
        <f>SUM(I3:J3)</f>
        <v>2</v>
      </c>
      <c r="N3" s="75" t="s">
        <v>67</v>
      </c>
      <c r="O3" s="126">
        <v>2</v>
      </c>
      <c r="P3" s="127">
        <v>8</v>
      </c>
      <c r="Q3" s="77">
        <f>SUM(O3:P3)</f>
        <v>10</v>
      </c>
    </row>
    <row r="4" spans="2:17" x14ac:dyDescent="0.35">
      <c r="B4" s="75" t="s">
        <v>68</v>
      </c>
      <c r="C4" s="128">
        <v>4</v>
      </c>
      <c r="D4" s="129">
        <v>5</v>
      </c>
      <c r="E4" s="78">
        <f>SUM(C4:D4)</f>
        <v>9</v>
      </c>
      <c r="F4" s="72"/>
      <c r="G4" s="72"/>
      <c r="H4" s="75" t="s">
        <v>68</v>
      </c>
      <c r="I4" s="128">
        <v>9</v>
      </c>
      <c r="J4" s="129">
        <v>2</v>
      </c>
      <c r="K4" s="78">
        <f>SUM(I4:J4)</f>
        <v>11</v>
      </c>
      <c r="N4" s="75" t="s">
        <v>68</v>
      </c>
      <c r="O4" s="128">
        <v>13</v>
      </c>
      <c r="P4" s="129">
        <v>7</v>
      </c>
      <c r="Q4" s="78">
        <f>SUM(O4:P4)</f>
        <v>20</v>
      </c>
    </row>
    <row r="5" spans="2:17" x14ac:dyDescent="0.35">
      <c r="B5" s="72"/>
      <c r="C5" s="79">
        <f>SUM(C3:C4)</f>
        <v>5</v>
      </c>
      <c r="D5" s="79">
        <f>SUM(D3:D4)</f>
        <v>12</v>
      </c>
      <c r="E5" s="79">
        <f>SUM(E3:E4)</f>
        <v>17</v>
      </c>
      <c r="F5" s="72"/>
      <c r="G5" s="72"/>
      <c r="H5" s="72"/>
      <c r="I5" s="79">
        <f>SUM(I3:I4)</f>
        <v>10</v>
      </c>
      <c r="J5" s="79">
        <f>SUM(J3:J4)</f>
        <v>3</v>
      </c>
      <c r="K5" s="79">
        <f>SUM(K3:K4)</f>
        <v>13</v>
      </c>
      <c r="N5" s="72"/>
      <c r="O5" s="79">
        <f>SUM(O3:O4)</f>
        <v>15</v>
      </c>
      <c r="P5" s="79">
        <f>SUM(P3:P4)</f>
        <v>15</v>
      </c>
      <c r="Q5" s="79">
        <f>SUM(Q3:Q4)</f>
        <v>30</v>
      </c>
    </row>
    <row r="8" spans="2:17" x14ac:dyDescent="0.35">
      <c r="B8" s="156" t="s">
        <v>148</v>
      </c>
      <c r="C8" s="156"/>
      <c r="D8" s="156"/>
      <c r="E8" s="156"/>
      <c r="H8" s="156" t="s">
        <v>150</v>
      </c>
      <c r="I8" s="156"/>
      <c r="J8" s="156"/>
      <c r="K8" s="156"/>
      <c r="N8" s="156" t="s">
        <v>152</v>
      </c>
      <c r="O8" s="156"/>
      <c r="P8" s="156"/>
      <c r="Q8" s="156"/>
    </row>
    <row r="9" spans="2:17" ht="15" thickBot="1" x14ac:dyDescent="0.4">
      <c r="B9" s="73"/>
      <c r="C9" s="74" t="s">
        <v>65</v>
      </c>
      <c r="D9" s="74" t="s">
        <v>66</v>
      </c>
      <c r="E9" s="74" t="s">
        <v>70</v>
      </c>
      <c r="H9" s="73"/>
      <c r="I9" s="74" t="s">
        <v>65</v>
      </c>
      <c r="J9" s="74" t="s">
        <v>66</v>
      </c>
      <c r="K9" s="74" t="s">
        <v>70</v>
      </c>
      <c r="N9" s="73"/>
      <c r="O9" s="74" t="s">
        <v>65</v>
      </c>
      <c r="P9" s="74" t="s">
        <v>66</v>
      </c>
      <c r="Q9" s="74" t="s">
        <v>70</v>
      </c>
    </row>
    <row r="10" spans="2:17" x14ac:dyDescent="0.35">
      <c r="B10" s="75" t="s">
        <v>67</v>
      </c>
      <c r="C10" s="121">
        <f>(E3*C5)/E5</f>
        <v>2.3529411764705883</v>
      </c>
      <c r="D10" s="122">
        <f>(E3*D5)/E5</f>
        <v>5.6470588235294121</v>
      </c>
      <c r="E10" s="77">
        <f>SUM(C10:D10)</f>
        <v>8</v>
      </c>
      <c r="H10" s="75" t="s">
        <v>67</v>
      </c>
      <c r="I10" s="121">
        <f>(K3*I5)/K5</f>
        <v>1.5384615384615385</v>
      </c>
      <c r="J10" s="122">
        <f>(K3*J5)/K5</f>
        <v>0.46153846153846156</v>
      </c>
      <c r="K10" s="77">
        <f>SUM(I10:J10)</f>
        <v>2</v>
      </c>
      <c r="N10" s="75" t="s">
        <v>67</v>
      </c>
      <c r="O10" s="121">
        <f>(Q3*O5)/Q5</f>
        <v>5</v>
      </c>
      <c r="P10" s="122">
        <f>(Q3*P5)/Q5</f>
        <v>5</v>
      </c>
      <c r="Q10" s="77">
        <f>SUM(O10:P10)</f>
        <v>10</v>
      </c>
    </row>
    <row r="11" spans="2:17" x14ac:dyDescent="0.35">
      <c r="B11" s="75" t="s">
        <v>68</v>
      </c>
      <c r="C11" s="123">
        <f>(E4*C5)/E5</f>
        <v>2.6470588235294117</v>
      </c>
      <c r="D11" s="124">
        <f>(E4*D5)/E5</f>
        <v>6.3529411764705879</v>
      </c>
      <c r="E11" s="78">
        <f>SUM(C11:D11)</f>
        <v>9</v>
      </c>
      <c r="H11" s="75" t="s">
        <v>68</v>
      </c>
      <c r="I11" s="123">
        <f>(K4*I5)/K5</f>
        <v>8.4615384615384617</v>
      </c>
      <c r="J11" s="124">
        <f>(K4*J5)/K5</f>
        <v>2.5384615384615383</v>
      </c>
      <c r="K11" s="78">
        <f>SUM(I11:J11)</f>
        <v>11</v>
      </c>
      <c r="N11" s="75" t="s">
        <v>68</v>
      </c>
      <c r="O11" s="123">
        <f>(Q4*O5)/Q5</f>
        <v>10</v>
      </c>
      <c r="P11" s="124">
        <f>(Q4*P5)/Q5</f>
        <v>10</v>
      </c>
      <c r="Q11" s="78">
        <f>SUM(O11:P11)</f>
        <v>20</v>
      </c>
    </row>
    <row r="12" spans="2:17" x14ac:dyDescent="0.35">
      <c r="B12" s="72"/>
      <c r="C12" s="79">
        <f>SUM(C10:C11)</f>
        <v>5</v>
      </c>
      <c r="D12" s="79">
        <f>SUM(D10:D11)</f>
        <v>12</v>
      </c>
      <c r="E12" s="79">
        <f>SUM(E10:E11)</f>
        <v>17</v>
      </c>
      <c r="H12" s="72"/>
      <c r="I12" s="79">
        <f>SUM(I10:I11)</f>
        <v>10</v>
      </c>
      <c r="J12" s="79">
        <f>SUM(J10:J11)</f>
        <v>3</v>
      </c>
      <c r="K12" s="79">
        <f>SUM(K10:K11)</f>
        <v>13</v>
      </c>
      <c r="N12" s="72"/>
      <c r="O12" s="79">
        <f>SUM(O10:O11)</f>
        <v>15</v>
      </c>
      <c r="P12" s="79">
        <f>SUM(P10:P11)</f>
        <v>15</v>
      </c>
      <c r="Q12" s="79">
        <f>SUM(Q10:Q11)</f>
        <v>30</v>
      </c>
    </row>
    <row r="15" spans="2:17" x14ac:dyDescent="0.35">
      <c r="B15" s="114" t="s">
        <v>139</v>
      </c>
      <c r="C15" s="113" t="s">
        <v>140</v>
      </c>
      <c r="D15" s="113" t="s">
        <v>141</v>
      </c>
      <c r="F15" s="125" t="s">
        <v>146</v>
      </c>
      <c r="G15">
        <f>_xlfn.CHISQ.TEST(C3:D4,C10:D11)</f>
        <v>0.14907280355926267</v>
      </c>
      <c r="K15">
        <f>_xlfn.CHISQ.TEST(I3:J4,I10:J11)</f>
        <v>0.32589236103596742</v>
      </c>
      <c r="O15" s="125" t="s">
        <v>146</v>
      </c>
      <c r="P15">
        <f>_xlfn.CHISQ.TEST(O3:P4,O10:P11)</f>
        <v>2.0136751550346336E-2</v>
      </c>
    </row>
    <row r="16" spans="2:17" x14ac:dyDescent="0.35">
      <c r="B16" s="115" t="s">
        <v>142</v>
      </c>
      <c r="C16" s="62">
        <f>C3</f>
        <v>1</v>
      </c>
      <c r="D16" s="62">
        <f>C10</f>
        <v>2.3529411764705883</v>
      </c>
    </row>
    <row r="17" spans="2:13" x14ac:dyDescent="0.35">
      <c r="B17" s="115" t="s">
        <v>143</v>
      </c>
      <c r="C17" s="62">
        <f>D3</f>
        <v>7</v>
      </c>
      <c r="D17" s="62">
        <f>D10</f>
        <v>5.6470588235294121</v>
      </c>
    </row>
    <row r="18" spans="2:13" x14ac:dyDescent="0.35">
      <c r="B18" s="115" t="s">
        <v>144</v>
      </c>
      <c r="C18" s="62">
        <f>C4</f>
        <v>4</v>
      </c>
      <c r="D18" s="62">
        <f>C11</f>
        <v>2.6470588235294117</v>
      </c>
    </row>
    <row r="19" spans="2:13" x14ac:dyDescent="0.35">
      <c r="B19" s="115" t="s">
        <v>145</v>
      </c>
      <c r="C19" s="116">
        <f>D4</f>
        <v>5</v>
      </c>
      <c r="D19" s="113">
        <f>D11</f>
        <v>6.3529411764705879</v>
      </c>
    </row>
    <row r="20" spans="2:13" x14ac:dyDescent="0.35">
      <c r="C20" s="62">
        <f>SUM(C16:C19)</f>
        <v>17</v>
      </c>
      <c r="D20" s="62">
        <f>SUM(D16:D19)</f>
        <v>17</v>
      </c>
    </row>
    <row r="23" spans="2:13" x14ac:dyDescent="0.35">
      <c r="C23" t="s">
        <v>78</v>
      </c>
      <c r="D23">
        <f>52.2059-41.9077</f>
        <v>10.298200000000001</v>
      </c>
      <c r="G23">
        <f>D23/(SQRT(E24+E25))</f>
        <v>5.7754306412381533</v>
      </c>
      <c r="J23">
        <f>17.23-12.17</f>
        <v>5.0600000000000005</v>
      </c>
      <c r="M23">
        <f>J23/(SQRT(K24+K25))</f>
        <v>4.9417581536741393</v>
      </c>
    </row>
    <row r="24" spans="2:13" x14ac:dyDescent="0.35">
      <c r="C24" t="s">
        <v>79</v>
      </c>
      <c r="D24">
        <f>5.648^2</f>
        <v>31.899903999999996</v>
      </c>
      <c r="E24">
        <f>D24/D26</f>
        <v>1.8764649411764704</v>
      </c>
      <c r="J24">
        <f>4.52*4.52</f>
        <v>20.430399999999995</v>
      </c>
      <c r="K24">
        <f>J24/J26</f>
        <v>0.68101333333333314</v>
      </c>
    </row>
    <row r="25" spans="2:13" x14ac:dyDescent="0.35">
      <c r="C25" t="s">
        <v>80</v>
      </c>
      <c r="D25">
        <f>4.1157^2</f>
        <v>16.938986490000001</v>
      </c>
      <c r="E25">
        <f>D25/D27</f>
        <v>1.3029989607692309</v>
      </c>
      <c r="J25">
        <f>3.32*3.32</f>
        <v>11.022399999999999</v>
      </c>
      <c r="K25">
        <f>J25/J27</f>
        <v>0.36741333333333331</v>
      </c>
    </row>
    <row r="26" spans="2:13" x14ac:dyDescent="0.35">
      <c r="C26" t="s">
        <v>81</v>
      </c>
      <c r="D26">
        <v>17</v>
      </c>
      <c r="J26">
        <v>30</v>
      </c>
    </row>
    <row r="27" spans="2:13" x14ac:dyDescent="0.35">
      <c r="C27" t="s">
        <v>82</v>
      </c>
      <c r="D27">
        <v>13</v>
      </c>
      <c r="G27" s="82">
        <f>_xlfn.NORM.S.DIST(G23,TRUE)</f>
        <v>0.99999999616217428</v>
      </c>
      <c r="J27">
        <v>30</v>
      </c>
    </row>
    <row r="29" spans="2:13" x14ac:dyDescent="0.35">
      <c r="G29" s="82">
        <f>1-G27</f>
        <v>3.8378257238846913E-9</v>
      </c>
    </row>
  </sheetData>
  <mergeCells count="6">
    <mergeCell ref="B1:E1"/>
    <mergeCell ref="H1:K1"/>
    <mergeCell ref="B8:E8"/>
    <mergeCell ref="H8:K8"/>
    <mergeCell ref="N1:Q1"/>
    <mergeCell ref="N8:Q8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50BEE-902D-4302-B5C4-3988D224F6C8}">
  <dimension ref="B1:M29"/>
  <sheetViews>
    <sheetView workbookViewId="0">
      <selection activeCell="I24" sqref="I24"/>
    </sheetView>
  </sheetViews>
  <sheetFormatPr defaultRowHeight="14.5" x14ac:dyDescent="0.35"/>
  <cols>
    <col min="2" max="2" width="13.54296875" customWidth="1"/>
    <col min="3" max="3" width="12.453125" customWidth="1"/>
    <col min="4" max="4" width="12.26953125" customWidth="1"/>
    <col min="5" max="5" width="11.08984375" customWidth="1"/>
    <col min="7" max="7" width="13.453125" bestFit="1" customWidth="1"/>
    <col min="9" max="9" width="12.453125" customWidth="1"/>
    <col min="10" max="10" width="13.453125" customWidth="1"/>
    <col min="11" max="11" width="12.453125" customWidth="1"/>
  </cols>
  <sheetData>
    <row r="1" spans="2:11" x14ac:dyDescent="0.35">
      <c r="B1" s="156" t="s">
        <v>69</v>
      </c>
      <c r="C1" s="156"/>
      <c r="D1" s="156"/>
      <c r="E1" s="156"/>
      <c r="F1" s="72"/>
      <c r="G1" s="72"/>
      <c r="H1" s="156" t="s">
        <v>76</v>
      </c>
      <c r="I1" s="156"/>
      <c r="J1" s="156"/>
      <c r="K1" s="156"/>
    </row>
    <row r="2" spans="2:11" s="71" customFormat="1" ht="15" thickBot="1" x14ac:dyDescent="0.4">
      <c r="B2" s="73"/>
      <c r="C2" s="74" t="s">
        <v>65</v>
      </c>
      <c r="D2" s="74" t="s">
        <v>66</v>
      </c>
      <c r="E2" s="74" t="s">
        <v>70</v>
      </c>
      <c r="F2" s="73"/>
      <c r="G2" s="73"/>
      <c r="H2" s="73"/>
      <c r="I2" s="74" t="s">
        <v>65</v>
      </c>
      <c r="J2" s="74" t="s">
        <v>66</v>
      </c>
      <c r="K2" s="74" t="s">
        <v>70</v>
      </c>
    </row>
    <row r="3" spans="2:11" x14ac:dyDescent="0.35">
      <c r="B3" s="75" t="s">
        <v>67</v>
      </c>
      <c r="C3" s="117">
        <v>1</v>
      </c>
      <c r="D3" s="118">
        <v>7</v>
      </c>
      <c r="E3" s="77">
        <f>SUM(C3:D3)</f>
        <v>8</v>
      </c>
      <c r="F3" s="72"/>
      <c r="G3" s="72"/>
      <c r="H3" s="75" t="s">
        <v>67</v>
      </c>
      <c r="I3" s="76">
        <v>1</v>
      </c>
      <c r="J3" s="77">
        <v>1</v>
      </c>
      <c r="K3" s="77">
        <f>SUM(I3:J3)</f>
        <v>2</v>
      </c>
    </row>
    <row r="4" spans="2:11" x14ac:dyDescent="0.35">
      <c r="B4" s="75" t="s">
        <v>68</v>
      </c>
      <c r="C4" s="119">
        <v>4</v>
      </c>
      <c r="D4" s="120">
        <v>5</v>
      </c>
      <c r="E4" s="78">
        <f>SUM(C4:D4)</f>
        <v>9</v>
      </c>
      <c r="F4" s="72"/>
      <c r="G4" s="72"/>
      <c r="H4" s="75" t="s">
        <v>68</v>
      </c>
      <c r="I4" s="75">
        <v>9</v>
      </c>
      <c r="J4" s="78">
        <v>2</v>
      </c>
      <c r="K4" s="78">
        <f>SUM(I4:J4)</f>
        <v>11</v>
      </c>
    </row>
    <row r="5" spans="2:11" x14ac:dyDescent="0.35">
      <c r="B5" s="72"/>
      <c r="C5" s="79">
        <f>SUM(C3:C4)</f>
        <v>5</v>
      </c>
      <c r="D5" s="79">
        <f>SUM(D3:D4)</f>
        <v>12</v>
      </c>
      <c r="E5" s="79">
        <f>SUM(E3:E4)</f>
        <v>17</v>
      </c>
      <c r="F5" s="72"/>
      <c r="G5" s="72"/>
      <c r="H5" s="72"/>
      <c r="I5" s="79">
        <f>SUM(I3:I4)</f>
        <v>10</v>
      </c>
      <c r="J5" s="79">
        <f>SUM(J3:J4)</f>
        <v>3</v>
      </c>
      <c r="K5" s="79">
        <f>SUM(K3:K4)</f>
        <v>13</v>
      </c>
    </row>
    <row r="8" spans="2:11" x14ac:dyDescent="0.35">
      <c r="B8" s="156" t="s">
        <v>137</v>
      </c>
      <c r="C8" s="156"/>
      <c r="D8" s="156"/>
      <c r="E8" s="156"/>
      <c r="H8" s="156" t="s">
        <v>138</v>
      </c>
      <c r="I8" s="156"/>
      <c r="J8" s="156"/>
      <c r="K8" s="156"/>
    </row>
    <row r="9" spans="2:11" ht="15" thickBot="1" x14ac:dyDescent="0.4">
      <c r="B9" s="73"/>
      <c r="C9" s="74" t="s">
        <v>65</v>
      </c>
      <c r="D9" s="74" t="s">
        <v>66</v>
      </c>
      <c r="E9" s="74" t="s">
        <v>70</v>
      </c>
      <c r="H9" s="73"/>
      <c r="I9" s="74" t="s">
        <v>65</v>
      </c>
      <c r="J9" s="74" t="s">
        <v>66</v>
      </c>
      <c r="K9" s="74" t="s">
        <v>70</v>
      </c>
    </row>
    <row r="10" spans="2:11" x14ac:dyDescent="0.35">
      <c r="B10" s="75" t="s">
        <v>67</v>
      </c>
      <c r="C10" s="121">
        <f>(E3*C5)/E5</f>
        <v>2.3529411764705883</v>
      </c>
      <c r="D10" s="122">
        <f>(E3*D5)/E5</f>
        <v>5.6470588235294121</v>
      </c>
      <c r="E10" s="77">
        <f>SUM(C10:D10)</f>
        <v>8</v>
      </c>
      <c r="H10" s="75" t="s">
        <v>67</v>
      </c>
      <c r="I10" s="76">
        <f>(K3*I5)/K5</f>
        <v>1.5384615384615385</v>
      </c>
      <c r="J10" s="77">
        <f>(K3*J5)/K5</f>
        <v>0.46153846153846156</v>
      </c>
      <c r="K10" s="77">
        <f>SUM(I10:J10)</f>
        <v>2</v>
      </c>
    </row>
    <row r="11" spans="2:11" x14ac:dyDescent="0.35">
      <c r="B11" s="75" t="s">
        <v>68</v>
      </c>
      <c r="C11" s="123">
        <f>(E4*C5)/E5</f>
        <v>2.6470588235294117</v>
      </c>
      <c r="D11" s="124">
        <f>(E4*D5)/E5</f>
        <v>6.3529411764705879</v>
      </c>
      <c r="E11" s="78">
        <f>SUM(C11:D11)</f>
        <v>9</v>
      </c>
      <c r="H11" s="75" t="s">
        <v>68</v>
      </c>
      <c r="I11" s="75">
        <f>(K4*I5)/K5</f>
        <v>8.4615384615384617</v>
      </c>
      <c r="J11" s="78">
        <f>(K4*J5)/K5</f>
        <v>2.5384615384615383</v>
      </c>
      <c r="K11" s="78">
        <f>SUM(I11:J11)</f>
        <v>11</v>
      </c>
    </row>
    <row r="12" spans="2:11" x14ac:dyDescent="0.35">
      <c r="B12" s="72"/>
      <c r="C12" s="79">
        <f>SUM(C10:C11)</f>
        <v>5</v>
      </c>
      <c r="D12" s="79">
        <f>SUM(D10:D11)</f>
        <v>12</v>
      </c>
      <c r="E12" s="79">
        <f>SUM(E10:E11)</f>
        <v>17</v>
      </c>
      <c r="H12" s="72"/>
      <c r="I12" s="79">
        <f>SUM(I10:I11)</f>
        <v>10</v>
      </c>
      <c r="J12" s="79">
        <f>SUM(J10:J11)</f>
        <v>3</v>
      </c>
      <c r="K12" s="79">
        <f>SUM(K10:K11)</f>
        <v>13</v>
      </c>
    </row>
    <row r="15" spans="2:11" x14ac:dyDescent="0.35">
      <c r="B15" s="114" t="s">
        <v>139</v>
      </c>
      <c r="C15" s="113" t="s">
        <v>140</v>
      </c>
      <c r="D15" s="113" t="s">
        <v>141</v>
      </c>
      <c r="F15" s="125" t="s">
        <v>146</v>
      </c>
      <c r="G15">
        <f>_xlfn.CHISQ.TEST(C3:D4,C10:D11)</f>
        <v>0.14907280355926267</v>
      </c>
      <c r="K15">
        <f>_xlfn.CHISQ.TEST(I3:J4,I10:J11)</f>
        <v>0.32589236103596742</v>
      </c>
    </row>
    <row r="16" spans="2:11" x14ac:dyDescent="0.35">
      <c r="B16" s="115" t="s">
        <v>142</v>
      </c>
      <c r="C16" s="62">
        <f>C3</f>
        <v>1</v>
      </c>
      <c r="D16" s="62">
        <f>C10</f>
        <v>2.3529411764705883</v>
      </c>
    </row>
    <row r="17" spans="2:13" x14ac:dyDescent="0.35">
      <c r="B17" s="115" t="s">
        <v>143</v>
      </c>
      <c r="C17" s="62">
        <f>D3</f>
        <v>7</v>
      </c>
      <c r="D17" s="62">
        <f>D10</f>
        <v>5.6470588235294121</v>
      </c>
    </row>
    <row r="18" spans="2:13" x14ac:dyDescent="0.35">
      <c r="B18" s="115" t="s">
        <v>144</v>
      </c>
      <c r="C18" s="62">
        <f>C4</f>
        <v>4</v>
      </c>
      <c r="D18" s="62">
        <f>C11</f>
        <v>2.6470588235294117</v>
      </c>
    </row>
    <row r="19" spans="2:13" x14ac:dyDescent="0.35">
      <c r="B19" s="115" t="s">
        <v>145</v>
      </c>
      <c r="C19" s="116">
        <f>D4</f>
        <v>5</v>
      </c>
      <c r="D19" s="113">
        <f>D11</f>
        <v>6.3529411764705879</v>
      </c>
    </row>
    <row r="20" spans="2:13" x14ac:dyDescent="0.35">
      <c r="C20" s="62">
        <f>SUM(C16:C19)</f>
        <v>17</v>
      </c>
      <c r="D20" s="62">
        <f>SUM(D16:D19)</f>
        <v>17</v>
      </c>
    </row>
    <row r="23" spans="2:13" x14ac:dyDescent="0.35">
      <c r="C23" t="s">
        <v>78</v>
      </c>
      <c r="D23">
        <f>52.2059-41.9077</f>
        <v>10.298200000000001</v>
      </c>
      <c r="G23">
        <f>D23/(SQRT(E24+E25))</f>
        <v>5.7754306412381533</v>
      </c>
      <c r="J23">
        <f>17.23-12.17</f>
        <v>5.0600000000000005</v>
      </c>
      <c r="M23">
        <f>J23/(SQRT(K24+K25))</f>
        <v>4.9417581536741393</v>
      </c>
    </row>
    <row r="24" spans="2:13" x14ac:dyDescent="0.35">
      <c r="C24" t="s">
        <v>79</v>
      </c>
      <c r="D24">
        <f>5.648^2</f>
        <v>31.899903999999996</v>
      </c>
      <c r="E24">
        <f>D24/D26</f>
        <v>1.8764649411764704</v>
      </c>
      <c r="J24">
        <f>4.52*4.52</f>
        <v>20.430399999999995</v>
      </c>
      <c r="K24">
        <f>J24/J26</f>
        <v>0.68101333333333314</v>
      </c>
    </row>
    <row r="25" spans="2:13" x14ac:dyDescent="0.35">
      <c r="C25" t="s">
        <v>80</v>
      </c>
      <c r="D25">
        <f>4.1157^2</f>
        <v>16.938986490000001</v>
      </c>
      <c r="E25">
        <f>D25/D27</f>
        <v>1.3029989607692309</v>
      </c>
      <c r="J25">
        <f>3.32*3.32</f>
        <v>11.022399999999999</v>
      </c>
      <c r="K25">
        <f>J25/J27</f>
        <v>0.36741333333333331</v>
      </c>
    </row>
    <row r="26" spans="2:13" x14ac:dyDescent="0.35">
      <c r="C26" t="s">
        <v>81</v>
      </c>
      <c r="D26">
        <v>17</v>
      </c>
      <c r="J26">
        <v>30</v>
      </c>
    </row>
    <row r="27" spans="2:13" x14ac:dyDescent="0.35">
      <c r="C27" t="s">
        <v>82</v>
      </c>
      <c r="D27">
        <v>13</v>
      </c>
      <c r="G27" s="82">
        <f>_xlfn.NORM.S.DIST(G23,TRUE)</f>
        <v>0.99999999616217428</v>
      </c>
      <c r="J27">
        <v>30</v>
      </c>
    </row>
    <row r="29" spans="2:13" x14ac:dyDescent="0.35">
      <c r="G29" s="82">
        <f>1-G27</f>
        <v>3.8378257238846913E-9</v>
      </c>
    </row>
  </sheetData>
  <mergeCells count="4">
    <mergeCell ref="B1:E1"/>
    <mergeCell ref="H1:K1"/>
    <mergeCell ref="B8:E8"/>
    <mergeCell ref="H8:K8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DFF2-E8B4-49E6-BC46-5DFC87112431}">
  <dimension ref="A1:AE83"/>
  <sheetViews>
    <sheetView topLeftCell="L22" zoomScale="75" zoomScaleNormal="75" workbookViewId="0">
      <selection activeCell="AA58" sqref="AA58"/>
    </sheetView>
  </sheetViews>
  <sheetFormatPr defaultRowHeight="14.5" x14ac:dyDescent="0.35"/>
  <cols>
    <col min="2" max="2" width="11.453125" customWidth="1"/>
    <col min="3" max="3" width="13.36328125" customWidth="1"/>
    <col min="4" max="4" width="14.08984375" customWidth="1"/>
    <col min="5" max="5" width="13.453125" customWidth="1"/>
    <col min="6" max="6" width="16" bestFit="1" customWidth="1"/>
    <col min="7" max="7" width="15.08984375" customWidth="1"/>
    <col min="8" max="8" width="12.453125" customWidth="1"/>
    <col min="9" max="9" width="13.1796875" customWidth="1"/>
    <col min="10" max="10" width="14" customWidth="1"/>
    <col min="11" max="11" width="11.7265625" customWidth="1"/>
    <col min="12" max="12" width="12.26953125" customWidth="1"/>
    <col min="13" max="13" width="12.08984375" customWidth="1"/>
    <col min="14" max="14" width="11.7265625" customWidth="1"/>
    <col min="15" max="15" width="12.26953125" bestFit="1" customWidth="1"/>
    <col min="16" max="16" width="15.08984375" customWidth="1"/>
    <col min="17" max="17" width="7.90625" customWidth="1"/>
    <col min="18" max="18" width="8.6328125" customWidth="1"/>
    <col min="22" max="22" width="18.6328125" style="94" bestFit="1" customWidth="1"/>
    <col min="23" max="23" width="22.1796875" style="94" bestFit="1" customWidth="1"/>
    <col min="24" max="24" width="14.36328125" style="94" bestFit="1" customWidth="1"/>
    <col min="25" max="25" width="27.36328125" style="94" bestFit="1" customWidth="1"/>
    <col min="26" max="26" width="18.6328125" style="94" customWidth="1"/>
    <col min="27" max="27" width="13.453125" style="94" bestFit="1" customWidth="1"/>
    <col min="28" max="28" width="12.90625" style="94" bestFit="1" customWidth="1"/>
    <col min="29" max="29" width="13.453125" style="94" bestFit="1" customWidth="1"/>
    <col min="30" max="30" width="14.54296875" style="94" bestFit="1" customWidth="1"/>
  </cols>
  <sheetData>
    <row r="1" spans="1:17" x14ac:dyDescent="0.35">
      <c r="A1" t="s">
        <v>83</v>
      </c>
    </row>
    <row r="2" spans="1:17" x14ac:dyDescent="0.35">
      <c r="A2" s="80"/>
      <c r="B2" s="80"/>
      <c r="C2" s="19" t="s">
        <v>93</v>
      </c>
      <c r="D2" s="19" t="s">
        <v>123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89</v>
      </c>
      <c r="K2" s="19" t="s">
        <v>90</v>
      </c>
      <c r="L2" s="19" t="s">
        <v>91</v>
      </c>
      <c r="M2" s="19" t="s">
        <v>94</v>
      </c>
      <c r="N2" s="19" t="s">
        <v>95</v>
      </c>
      <c r="O2" s="19" t="s">
        <v>124</v>
      </c>
      <c r="P2" s="19"/>
      <c r="Q2" s="39"/>
    </row>
    <row r="3" spans="1:17" ht="29" x14ac:dyDescent="0.35">
      <c r="A3" s="80"/>
      <c r="B3" s="80" t="s">
        <v>0</v>
      </c>
      <c r="C3" s="19" t="s">
        <v>12</v>
      </c>
      <c r="D3" s="19" t="s">
        <v>13</v>
      </c>
      <c r="E3" s="19" t="s">
        <v>71</v>
      </c>
      <c r="F3" s="19" t="s">
        <v>1</v>
      </c>
      <c r="G3" s="19" t="s">
        <v>15</v>
      </c>
      <c r="H3" s="19" t="s">
        <v>14</v>
      </c>
      <c r="I3" s="19" t="s">
        <v>2</v>
      </c>
      <c r="J3" s="19" t="s">
        <v>3</v>
      </c>
      <c r="K3" s="80" t="s">
        <v>4</v>
      </c>
      <c r="L3" s="80" t="s">
        <v>5</v>
      </c>
      <c r="M3" s="80" t="s">
        <v>7</v>
      </c>
      <c r="N3" s="80" t="s">
        <v>8</v>
      </c>
      <c r="O3" s="80" t="s">
        <v>9</v>
      </c>
      <c r="P3" s="19" t="s">
        <v>11</v>
      </c>
      <c r="Q3" s="39" t="s">
        <v>45</v>
      </c>
    </row>
    <row r="4" spans="1:17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2.7777777777777779E-3</v>
      </c>
      <c r="N4" s="5">
        <v>7.1874999999999994E-3</v>
      </c>
      <c r="O4" s="5">
        <v>1.3888888888888889E-3</v>
      </c>
      <c r="P4" s="15">
        <f t="shared" ref="P4:P20" si="0">SUM(F4:O4)</f>
        <v>3.1481481481481478E-2</v>
      </c>
      <c r="Q4" s="40">
        <f t="shared" ref="Q4:Q20" si="1">P4*1440</f>
        <v>45.333333333333329</v>
      </c>
    </row>
    <row r="5" spans="1:17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4.4212962962962956E-3</v>
      </c>
      <c r="N5" s="5">
        <v>7.1527777777777787E-3</v>
      </c>
      <c r="O5" s="5">
        <v>1.5046296296296294E-3</v>
      </c>
      <c r="P5" s="15">
        <f t="shared" si="0"/>
        <v>3.6712962962962954E-2</v>
      </c>
      <c r="Q5" s="40">
        <f t="shared" si="1"/>
        <v>52.866666666666653</v>
      </c>
    </row>
    <row r="6" spans="1:17" x14ac:dyDescent="0.35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2.0833333333333333E-3</v>
      </c>
      <c r="N6" s="5">
        <v>7.6388888888888886E-3</v>
      </c>
      <c r="O6" s="5">
        <v>2.0833333333333333E-3</v>
      </c>
      <c r="P6" s="15">
        <f t="shared" si="0"/>
        <v>3.4733796296296297E-2</v>
      </c>
      <c r="Q6" s="40">
        <f t="shared" si="1"/>
        <v>50.016666666666666</v>
      </c>
    </row>
    <row r="7" spans="1:17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3.1712962962962958E-3</v>
      </c>
      <c r="N7" s="5">
        <v>5.7638888888888887E-3</v>
      </c>
      <c r="O7" s="5">
        <v>1.8055555555555557E-3</v>
      </c>
      <c r="P7" s="15">
        <f t="shared" si="0"/>
        <v>2.8379629629629633E-2</v>
      </c>
      <c r="Q7" s="40">
        <f t="shared" si="1"/>
        <v>40.866666666666674</v>
      </c>
    </row>
    <row r="8" spans="1:17" x14ac:dyDescent="0.35">
      <c r="A8" s="11">
        <v>5</v>
      </c>
      <c r="B8" s="12">
        <v>43387</v>
      </c>
      <c r="C8" s="14">
        <v>1</v>
      </c>
      <c r="D8" s="14">
        <v>1</v>
      </c>
      <c r="E8" s="14">
        <v>0</v>
      </c>
      <c r="F8" s="5">
        <v>7.743055555555556E-3</v>
      </c>
      <c r="G8" s="5">
        <v>3.9236111111111112E-3</v>
      </c>
      <c r="H8" s="5">
        <v>0</v>
      </c>
      <c r="I8" s="5">
        <v>2.9976851851851848E-3</v>
      </c>
      <c r="J8" s="5">
        <v>5.138888888888889E-3</v>
      </c>
      <c r="K8" s="5">
        <v>2.2453703703703702E-3</v>
      </c>
      <c r="L8" s="5">
        <v>4.2939814814814811E-3</v>
      </c>
      <c r="M8" s="5">
        <v>4.2361111111111106E-3</v>
      </c>
      <c r="N8" s="5">
        <v>9.7222222222222224E-3</v>
      </c>
      <c r="O8" s="5">
        <v>7.9861111111111105E-4</v>
      </c>
      <c r="P8" s="15">
        <f t="shared" si="0"/>
        <v>4.1099537037037032E-2</v>
      </c>
      <c r="Q8" s="40">
        <f t="shared" si="1"/>
        <v>59.183333333333323</v>
      </c>
    </row>
    <row r="9" spans="1:17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5.5671296296296302E-3</v>
      </c>
      <c r="O9" s="5">
        <v>2.2106481481481478E-3</v>
      </c>
      <c r="P9" s="15">
        <f t="shared" si="0"/>
        <v>3.1666666666666662E-2</v>
      </c>
      <c r="Q9" s="40">
        <f t="shared" si="1"/>
        <v>45.599999999999994</v>
      </c>
    </row>
    <row r="10" spans="1:17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7.0254629629629634E-3</v>
      </c>
      <c r="N10" s="5">
        <v>6.2499999999999995E-3</v>
      </c>
      <c r="O10" s="5">
        <v>1.3888888888888889E-3</v>
      </c>
      <c r="P10" s="15">
        <f t="shared" si="0"/>
        <v>3.8136574074074073E-2</v>
      </c>
      <c r="Q10" s="40">
        <f t="shared" si="1"/>
        <v>54.916666666666664</v>
      </c>
    </row>
    <row r="11" spans="1:17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4.31712962962963E-3</v>
      </c>
      <c r="N11" s="5">
        <v>4.1666666666666666E-3</v>
      </c>
      <c r="O11" s="5">
        <v>1.4467592592592594E-3</v>
      </c>
      <c r="P11" s="15">
        <f t="shared" si="0"/>
        <v>3.3206018518518517E-2</v>
      </c>
      <c r="Q11" s="40">
        <f t="shared" si="1"/>
        <v>47.816666666666663</v>
      </c>
    </row>
    <row r="12" spans="1:17" x14ac:dyDescent="0.35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6.4236111111111117E-3</v>
      </c>
      <c r="N12" s="5">
        <v>5.0000000000000001E-3</v>
      </c>
      <c r="O12" s="5">
        <v>1.6435185185185183E-3</v>
      </c>
      <c r="P12" s="15">
        <f t="shared" si="0"/>
        <v>3.636574074074074E-2</v>
      </c>
      <c r="Q12" s="40">
        <f t="shared" si="1"/>
        <v>52.366666666666667</v>
      </c>
    </row>
    <row r="13" spans="1:17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3.472222222222222E-3</v>
      </c>
      <c r="N13" s="5">
        <v>5.5555555555555558E-3</v>
      </c>
      <c r="O13" s="5">
        <v>1.3888888888888889E-3</v>
      </c>
      <c r="P13" s="15">
        <f t="shared" si="0"/>
        <v>3.096064814814815E-2</v>
      </c>
      <c r="Q13" s="40">
        <f t="shared" si="1"/>
        <v>44.583333333333336</v>
      </c>
    </row>
    <row r="14" spans="1:17" x14ac:dyDescent="0.35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2.8124999999999995E-3</v>
      </c>
      <c r="N14" s="5">
        <v>5.6018518518518518E-3</v>
      </c>
      <c r="O14" s="5">
        <v>1.4699074074074074E-3</v>
      </c>
      <c r="P14" s="15">
        <f t="shared" si="0"/>
        <v>3.0868055555555551E-2</v>
      </c>
      <c r="Q14" s="40">
        <f t="shared" si="1"/>
        <v>44.449999999999996</v>
      </c>
    </row>
    <row r="15" spans="1:17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5.185185185185185E-3</v>
      </c>
      <c r="N15" s="5">
        <v>4.8611111111111112E-3</v>
      </c>
      <c r="O15" s="5">
        <v>2.0833333333333333E-3</v>
      </c>
      <c r="P15" s="15">
        <f t="shared" si="0"/>
        <v>3.1770833333333331E-2</v>
      </c>
      <c r="Q15" s="40">
        <f t="shared" si="1"/>
        <v>45.75</v>
      </c>
    </row>
    <row r="16" spans="1:17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3.1597222222222222E-3</v>
      </c>
      <c r="N16" s="5">
        <v>6.2499999999999995E-3</v>
      </c>
      <c r="O16" s="5">
        <v>2.4305555555555556E-3</v>
      </c>
      <c r="P16" s="15">
        <f t="shared" si="0"/>
        <v>3.2129629629629626E-2</v>
      </c>
      <c r="Q16" s="40">
        <f t="shared" si="1"/>
        <v>46.266666666666659</v>
      </c>
    </row>
    <row r="17" spans="1:23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6.1111111111111114E-3</v>
      </c>
      <c r="O17" s="5">
        <v>1.3888888888888889E-3</v>
      </c>
      <c r="P17" s="15">
        <f t="shared" si="0"/>
        <v>3.0428240740740742E-2</v>
      </c>
      <c r="Q17" s="40">
        <f t="shared" si="1"/>
        <v>43.81666666666667</v>
      </c>
    </row>
    <row r="18" spans="1:23" x14ac:dyDescent="0.35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2.9282407407407412E-3</v>
      </c>
      <c r="N18" s="5">
        <v>5.4398148148148149E-3</v>
      </c>
      <c r="O18" s="5">
        <v>1.2152777777777778E-3</v>
      </c>
      <c r="P18" s="15">
        <f t="shared" si="0"/>
        <v>2.8969907407407406E-2</v>
      </c>
      <c r="Q18" s="40">
        <f t="shared" si="1"/>
        <v>41.716666666666661</v>
      </c>
    </row>
    <row r="19" spans="1:23" x14ac:dyDescent="0.35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4.6296296296296302E-3</v>
      </c>
      <c r="N19" s="5">
        <v>5.8101851851851856E-3</v>
      </c>
      <c r="O19" s="5">
        <v>1.4814814814814814E-3</v>
      </c>
      <c r="P19" s="15">
        <f t="shared" si="0"/>
        <v>3.3136574074074075E-2</v>
      </c>
      <c r="Q19" s="40">
        <f t="shared" si="1"/>
        <v>47.716666666666669</v>
      </c>
    </row>
    <row r="20" spans="1:23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5.4976851851851853E-3</v>
      </c>
      <c r="O20" s="5">
        <v>2.7777777777777779E-3</v>
      </c>
      <c r="P20" s="15">
        <f t="shared" si="0"/>
        <v>3.1273148148148147E-2</v>
      </c>
      <c r="Q20" s="40">
        <f t="shared" si="1"/>
        <v>45.033333333333331</v>
      </c>
    </row>
    <row r="22" spans="1:23" ht="29" x14ac:dyDescent="0.35">
      <c r="B22" s="80"/>
      <c r="C22" s="19" t="s">
        <v>127</v>
      </c>
      <c r="D22" s="19" t="s">
        <v>128</v>
      </c>
      <c r="E22" s="19" t="s">
        <v>125</v>
      </c>
      <c r="F22" s="19" t="s">
        <v>1</v>
      </c>
      <c r="G22" s="19" t="s">
        <v>15</v>
      </c>
      <c r="H22" s="19" t="s">
        <v>14</v>
      </c>
      <c r="I22" s="19" t="s">
        <v>2</v>
      </c>
      <c r="J22" s="19" t="s">
        <v>3</v>
      </c>
      <c r="K22" s="90" t="s">
        <v>4</v>
      </c>
      <c r="L22" s="90" t="s">
        <v>5</v>
      </c>
      <c r="M22" s="90" t="s">
        <v>7</v>
      </c>
      <c r="N22" s="90" t="s">
        <v>8</v>
      </c>
      <c r="O22" s="90" t="s">
        <v>9</v>
      </c>
      <c r="P22" s="19" t="s">
        <v>11</v>
      </c>
      <c r="Q22" s="39"/>
    </row>
    <row r="23" spans="1:23" x14ac:dyDescent="0.35">
      <c r="A23">
        <v>1</v>
      </c>
      <c r="B23" s="12">
        <v>43380</v>
      </c>
      <c r="C23" s="14">
        <v>1</v>
      </c>
      <c r="D23" s="14">
        <v>0</v>
      </c>
      <c r="E23" s="14">
        <v>1</v>
      </c>
      <c r="F23" s="84">
        <f t="shared" ref="F23:O23" si="2">F4*1440</f>
        <v>9.0333333333333332</v>
      </c>
      <c r="G23" s="84">
        <f t="shared" si="2"/>
        <v>0</v>
      </c>
      <c r="H23" s="84">
        <f t="shared" si="2"/>
        <v>0.5</v>
      </c>
      <c r="I23" s="84">
        <f t="shared" si="2"/>
        <v>6</v>
      </c>
      <c r="J23" s="84">
        <f t="shared" si="2"/>
        <v>5</v>
      </c>
      <c r="K23" s="84">
        <f t="shared" si="2"/>
        <v>2.25</v>
      </c>
      <c r="L23" s="84">
        <f t="shared" si="2"/>
        <v>6.2</v>
      </c>
      <c r="M23" s="84">
        <f t="shared" si="2"/>
        <v>4</v>
      </c>
      <c r="N23" s="84">
        <f t="shared" si="2"/>
        <v>10.35</v>
      </c>
      <c r="O23" s="84">
        <f t="shared" si="2"/>
        <v>2</v>
      </c>
      <c r="P23" s="40">
        <f t="shared" ref="P23:P39" si="3">SUM(F23:O23)</f>
        <v>45.333333333333336</v>
      </c>
      <c r="R23" s="88"/>
      <c r="S23" s="88"/>
      <c r="T23" s="88"/>
      <c r="V23" s="94" t="s">
        <v>98</v>
      </c>
    </row>
    <row r="24" spans="1:23" ht="15" thickBot="1" x14ac:dyDescent="0.4">
      <c r="A24">
        <v>2</v>
      </c>
      <c r="B24" s="12">
        <v>43382</v>
      </c>
      <c r="C24" s="14">
        <v>0</v>
      </c>
      <c r="D24" s="14">
        <v>0</v>
      </c>
      <c r="E24" s="14">
        <v>0</v>
      </c>
      <c r="F24" s="84">
        <f t="shared" ref="F24:O24" si="4">F5*1440</f>
        <v>10</v>
      </c>
      <c r="G24" s="84">
        <f t="shared" si="4"/>
        <v>5</v>
      </c>
      <c r="H24" s="84">
        <f t="shared" si="4"/>
        <v>0</v>
      </c>
      <c r="I24" s="84">
        <f t="shared" si="4"/>
        <v>8.0333333333333332</v>
      </c>
      <c r="J24" s="84">
        <f t="shared" si="4"/>
        <v>4</v>
      </c>
      <c r="K24" s="84">
        <f t="shared" si="4"/>
        <v>3</v>
      </c>
      <c r="L24" s="84">
        <f t="shared" si="4"/>
        <v>4</v>
      </c>
      <c r="M24" s="84">
        <f t="shared" si="4"/>
        <v>6.3666666666666654</v>
      </c>
      <c r="N24" s="84">
        <f t="shared" si="4"/>
        <v>10.3</v>
      </c>
      <c r="O24" s="84">
        <f t="shared" si="4"/>
        <v>2.1666666666666665</v>
      </c>
      <c r="P24" s="40">
        <f t="shared" si="3"/>
        <v>52.866666666666667</v>
      </c>
      <c r="R24" s="88"/>
      <c r="S24" s="88"/>
      <c r="T24" s="88"/>
    </row>
    <row r="25" spans="1:23" x14ac:dyDescent="0.35">
      <c r="A25">
        <v>3</v>
      </c>
      <c r="B25" s="12">
        <v>43383</v>
      </c>
      <c r="C25" s="14">
        <v>0</v>
      </c>
      <c r="D25" s="14">
        <v>1</v>
      </c>
      <c r="E25" s="14">
        <v>0</v>
      </c>
      <c r="F25" s="84">
        <f t="shared" ref="F25:O25" si="5">F6*1440</f>
        <v>7.2166666666666659</v>
      </c>
      <c r="G25" s="84">
        <f t="shared" si="5"/>
        <v>6.2833333333333332</v>
      </c>
      <c r="H25" s="84">
        <f t="shared" si="5"/>
        <v>0</v>
      </c>
      <c r="I25" s="84">
        <f t="shared" si="5"/>
        <v>7.7333333333333325</v>
      </c>
      <c r="J25" s="84">
        <f t="shared" si="5"/>
        <v>4</v>
      </c>
      <c r="K25" s="84">
        <f t="shared" si="5"/>
        <v>1.9166666666666665</v>
      </c>
      <c r="L25" s="84">
        <f t="shared" si="5"/>
        <v>5.8666666666666671</v>
      </c>
      <c r="M25" s="84">
        <f t="shared" si="5"/>
        <v>3</v>
      </c>
      <c r="N25" s="84">
        <f t="shared" si="5"/>
        <v>11</v>
      </c>
      <c r="O25" s="84">
        <f t="shared" si="5"/>
        <v>3</v>
      </c>
      <c r="P25" s="40">
        <f t="shared" si="3"/>
        <v>50.016666666666666</v>
      </c>
      <c r="R25" s="88"/>
      <c r="S25" s="88"/>
      <c r="T25" s="88"/>
      <c r="V25" s="95" t="s">
        <v>99</v>
      </c>
      <c r="W25" s="95"/>
    </row>
    <row r="26" spans="1:23" x14ac:dyDescent="0.35">
      <c r="A26">
        <v>4</v>
      </c>
      <c r="B26" s="12">
        <v>43386</v>
      </c>
      <c r="C26" s="14">
        <v>1</v>
      </c>
      <c r="D26" s="14">
        <v>1</v>
      </c>
      <c r="E26" s="14">
        <v>1</v>
      </c>
      <c r="F26" s="84">
        <f t="shared" ref="F26:O26" si="6">F7*1440</f>
        <v>7.333333333333333</v>
      </c>
      <c r="G26" s="84">
        <f t="shared" si="6"/>
        <v>0</v>
      </c>
      <c r="H26" s="84">
        <f t="shared" si="6"/>
        <v>0.68333333333333335</v>
      </c>
      <c r="I26" s="84">
        <f t="shared" si="6"/>
        <v>6.4666666666666659</v>
      </c>
      <c r="J26" s="84">
        <f t="shared" si="6"/>
        <v>2.95</v>
      </c>
      <c r="K26" s="84">
        <f t="shared" si="6"/>
        <v>2.1666666666666665</v>
      </c>
      <c r="L26" s="84">
        <f t="shared" si="6"/>
        <v>5.8</v>
      </c>
      <c r="M26" s="84">
        <f t="shared" si="6"/>
        <v>4.5666666666666655</v>
      </c>
      <c r="N26" s="84">
        <f t="shared" si="6"/>
        <v>8.2999999999999989</v>
      </c>
      <c r="O26" s="84">
        <f t="shared" si="6"/>
        <v>2.6</v>
      </c>
      <c r="P26" s="40">
        <f t="shared" si="3"/>
        <v>40.866666666666667</v>
      </c>
      <c r="R26" s="88"/>
      <c r="S26" s="88"/>
      <c r="T26" s="88"/>
      <c r="V26" s="96" t="s">
        <v>100</v>
      </c>
      <c r="W26" s="96">
        <v>1</v>
      </c>
    </row>
    <row r="27" spans="1:23" x14ac:dyDescent="0.35">
      <c r="A27">
        <v>5</v>
      </c>
      <c r="B27" s="12">
        <v>43387</v>
      </c>
      <c r="C27" s="14">
        <v>1</v>
      </c>
      <c r="D27" s="14">
        <v>1</v>
      </c>
      <c r="E27" s="14">
        <v>0</v>
      </c>
      <c r="F27" s="84">
        <f t="shared" ref="F27:O27" si="7">F8*1440</f>
        <v>11.15</v>
      </c>
      <c r="G27" s="84">
        <f t="shared" si="7"/>
        <v>5.65</v>
      </c>
      <c r="H27" s="84">
        <f t="shared" si="7"/>
        <v>0</v>
      </c>
      <c r="I27" s="84">
        <f t="shared" si="7"/>
        <v>4.3166666666666664</v>
      </c>
      <c r="J27" s="84">
        <f t="shared" si="7"/>
        <v>7.4</v>
      </c>
      <c r="K27" s="84">
        <f t="shared" si="7"/>
        <v>3.2333333333333329</v>
      </c>
      <c r="L27" s="84">
        <f t="shared" si="7"/>
        <v>6.1833333333333327</v>
      </c>
      <c r="M27" s="84">
        <f t="shared" si="7"/>
        <v>6.1</v>
      </c>
      <c r="N27" s="84">
        <f t="shared" si="7"/>
        <v>14</v>
      </c>
      <c r="O27" s="84">
        <f t="shared" si="7"/>
        <v>1.1499999999999999</v>
      </c>
      <c r="P27" s="40">
        <f t="shared" si="3"/>
        <v>59.18333333333333</v>
      </c>
      <c r="R27" s="88"/>
      <c r="S27" s="88"/>
      <c r="T27" s="88"/>
      <c r="V27" s="96" t="s">
        <v>101</v>
      </c>
      <c r="W27" s="96">
        <v>1</v>
      </c>
    </row>
    <row r="28" spans="1:23" x14ac:dyDescent="0.35">
      <c r="A28">
        <v>6</v>
      </c>
      <c r="B28" s="12">
        <v>43389</v>
      </c>
      <c r="C28" s="14">
        <v>0</v>
      </c>
      <c r="D28" s="14">
        <v>0</v>
      </c>
      <c r="E28" s="14">
        <v>0</v>
      </c>
      <c r="F28" s="84">
        <f t="shared" ref="F28:O28" si="8">F9*1440</f>
        <v>6.3833333333333337</v>
      </c>
      <c r="G28" s="84">
        <f t="shared" si="8"/>
        <v>2</v>
      </c>
      <c r="H28" s="84">
        <f t="shared" si="8"/>
        <v>0</v>
      </c>
      <c r="I28" s="84">
        <f t="shared" si="8"/>
        <v>9</v>
      </c>
      <c r="J28" s="84">
        <f t="shared" si="8"/>
        <v>5</v>
      </c>
      <c r="K28" s="84">
        <f t="shared" si="8"/>
        <v>2.8</v>
      </c>
      <c r="L28" s="84">
        <f t="shared" si="8"/>
        <v>5.2166666666666668</v>
      </c>
      <c r="M28" s="84">
        <f t="shared" si="8"/>
        <v>4</v>
      </c>
      <c r="N28" s="84">
        <f t="shared" si="8"/>
        <v>8.0166666666666675</v>
      </c>
      <c r="O28" s="84">
        <f t="shared" si="8"/>
        <v>3.1833333333333327</v>
      </c>
      <c r="P28" s="40">
        <f t="shared" si="3"/>
        <v>45.599999999999994</v>
      </c>
      <c r="R28" s="88"/>
      <c r="S28" s="88"/>
      <c r="T28" s="88"/>
      <c r="V28" s="96" t="s">
        <v>102</v>
      </c>
      <c r="W28" s="96">
        <v>1</v>
      </c>
    </row>
    <row r="29" spans="1:23" x14ac:dyDescent="0.35">
      <c r="A29">
        <v>7</v>
      </c>
      <c r="B29" s="12">
        <v>43390</v>
      </c>
      <c r="C29" s="14">
        <v>0</v>
      </c>
      <c r="D29" s="14">
        <v>0</v>
      </c>
      <c r="E29" s="14">
        <v>0</v>
      </c>
      <c r="F29" s="84">
        <f t="shared" ref="F29:O29" si="9">F10*1440</f>
        <v>8</v>
      </c>
      <c r="G29" s="84">
        <f t="shared" si="9"/>
        <v>2.6666666666666665</v>
      </c>
      <c r="H29" s="84">
        <f t="shared" si="9"/>
        <v>0</v>
      </c>
      <c r="I29" s="84">
        <f t="shared" si="9"/>
        <v>6</v>
      </c>
      <c r="J29" s="84">
        <f t="shared" si="9"/>
        <v>6.2</v>
      </c>
      <c r="K29" s="84">
        <f t="shared" si="9"/>
        <v>3.6833333333333336</v>
      </c>
      <c r="L29" s="84">
        <f t="shared" si="9"/>
        <v>7.2500000000000009</v>
      </c>
      <c r="M29" s="84">
        <f t="shared" si="9"/>
        <v>10.116666666666667</v>
      </c>
      <c r="N29" s="84">
        <f t="shared" si="9"/>
        <v>9</v>
      </c>
      <c r="O29" s="84">
        <f t="shared" si="9"/>
        <v>2</v>
      </c>
      <c r="P29" s="40">
        <f t="shared" si="3"/>
        <v>54.916666666666664</v>
      </c>
      <c r="R29" s="88"/>
      <c r="S29" s="88"/>
      <c r="T29" s="88"/>
      <c r="V29" s="96" t="s">
        <v>23</v>
      </c>
      <c r="W29" s="96">
        <v>1.8335143619815836E-15</v>
      </c>
    </row>
    <row r="30" spans="1:23" ht="15" thickBot="1" x14ac:dyDescent="0.4">
      <c r="A30">
        <v>8</v>
      </c>
      <c r="B30" s="12">
        <v>43392</v>
      </c>
      <c r="C30" s="14">
        <v>0</v>
      </c>
      <c r="D30" s="14">
        <v>1</v>
      </c>
      <c r="E30" s="14">
        <v>0</v>
      </c>
      <c r="F30" s="84">
        <f t="shared" ref="F30:O30" si="10">F11*1440</f>
        <v>7.5</v>
      </c>
      <c r="G30" s="84">
        <f t="shared" si="10"/>
        <v>3</v>
      </c>
      <c r="H30" s="84">
        <f t="shared" si="10"/>
        <v>0</v>
      </c>
      <c r="I30" s="84">
        <f t="shared" si="10"/>
        <v>7.0166666666666675</v>
      </c>
      <c r="J30" s="84">
        <f t="shared" si="10"/>
        <v>5.9666666666666668</v>
      </c>
      <c r="K30" s="84">
        <f t="shared" si="10"/>
        <v>4</v>
      </c>
      <c r="L30" s="84">
        <f t="shared" si="10"/>
        <v>6.0333333333333332</v>
      </c>
      <c r="M30" s="84">
        <f t="shared" si="10"/>
        <v>6.2166666666666668</v>
      </c>
      <c r="N30" s="84">
        <f t="shared" si="10"/>
        <v>6</v>
      </c>
      <c r="O30" s="84">
        <f t="shared" si="10"/>
        <v>2.0833333333333335</v>
      </c>
      <c r="P30" s="40">
        <f t="shared" si="3"/>
        <v>47.81666666666667</v>
      </c>
      <c r="R30" s="88"/>
      <c r="S30" s="88"/>
      <c r="T30" s="88"/>
      <c r="V30" s="97" t="s">
        <v>103</v>
      </c>
      <c r="W30" s="97">
        <v>17</v>
      </c>
    </row>
    <row r="31" spans="1:23" x14ac:dyDescent="0.35">
      <c r="A31">
        <v>9</v>
      </c>
      <c r="B31" s="12">
        <v>43393</v>
      </c>
      <c r="C31" s="14">
        <v>1</v>
      </c>
      <c r="D31" s="14">
        <v>1</v>
      </c>
      <c r="E31" s="14">
        <v>0</v>
      </c>
      <c r="F31" s="84">
        <f t="shared" ref="F31:O31" si="11">F12*1440</f>
        <v>9</v>
      </c>
      <c r="G31" s="84">
        <f t="shared" si="11"/>
        <v>4</v>
      </c>
      <c r="H31" s="84">
        <f t="shared" si="11"/>
        <v>0</v>
      </c>
      <c r="I31" s="84">
        <f t="shared" si="11"/>
        <v>7.2</v>
      </c>
      <c r="J31" s="84">
        <f t="shared" si="11"/>
        <v>5</v>
      </c>
      <c r="K31" s="84">
        <f t="shared" si="11"/>
        <v>3</v>
      </c>
      <c r="L31" s="84">
        <f t="shared" si="11"/>
        <v>5.35</v>
      </c>
      <c r="M31" s="84">
        <f t="shared" si="11"/>
        <v>9.25</v>
      </c>
      <c r="N31" s="84">
        <f t="shared" si="11"/>
        <v>7.2</v>
      </c>
      <c r="O31" s="84">
        <f t="shared" si="11"/>
        <v>2.3666666666666663</v>
      </c>
      <c r="P31" s="40">
        <f t="shared" si="3"/>
        <v>52.366666666666667</v>
      </c>
      <c r="R31" s="88"/>
      <c r="S31" s="88"/>
      <c r="T31" s="88"/>
    </row>
    <row r="32" spans="1:23" ht="15" thickBot="1" x14ac:dyDescent="0.4">
      <c r="A32">
        <v>10</v>
      </c>
      <c r="B32" s="12">
        <v>43394</v>
      </c>
      <c r="C32" s="14">
        <v>1</v>
      </c>
      <c r="D32" s="14">
        <v>1</v>
      </c>
      <c r="E32" s="14">
        <v>0</v>
      </c>
      <c r="F32" s="84">
        <f t="shared" ref="F32:O32" si="12">F13*1440</f>
        <v>6.916666666666667</v>
      </c>
      <c r="G32" s="84">
        <f t="shared" si="12"/>
        <v>4</v>
      </c>
      <c r="H32" s="84">
        <f t="shared" si="12"/>
        <v>0</v>
      </c>
      <c r="I32" s="84">
        <f t="shared" si="12"/>
        <v>7.3666666666666671</v>
      </c>
      <c r="J32" s="84">
        <f t="shared" si="12"/>
        <v>4</v>
      </c>
      <c r="K32" s="84">
        <f t="shared" si="12"/>
        <v>1</v>
      </c>
      <c r="L32" s="84">
        <f t="shared" si="12"/>
        <v>6.2999999999999989</v>
      </c>
      <c r="M32" s="84">
        <f t="shared" si="12"/>
        <v>5</v>
      </c>
      <c r="N32" s="84">
        <f t="shared" si="12"/>
        <v>8</v>
      </c>
      <c r="O32" s="84">
        <f t="shared" si="12"/>
        <v>2</v>
      </c>
      <c r="P32" s="40">
        <f t="shared" si="3"/>
        <v>44.583333333333336</v>
      </c>
      <c r="R32" s="88"/>
      <c r="S32" s="88"/>
      <c r="T32" s="88"/>
      <c r="V32" s="94" t="s">
        <v>104</v>
      </c>
    </row>
    <row r="33" spans="1:31" x14ac:dyDescent="0.35">
      <c r="A33">
        <v>11</v>
      </c>
      <c r="B33" s="12">
        <v>43396</v>
      </c>
      <c r="C33" s="14">
        <v>0</v>
      </c>
      <c r="D33" s="14">
        <v>0</v>
      </c>
      <c r="E33" s="14">
        <v>0</v>
      </c>
      <c r="F33" s="84">
        <f t="shared" ref="F33:O33" si="13">F14*1440</f>
        <v>8.0166666666666675</v>
      </c>
      <c r="G33" s="84">
        <f t="shared" si="13"/>
        <v>3.166666666666667</v>
      </c>
      <c r="H33" s="84">
        <f t="shared" si="13"/>
        <v>0</v>
      </c>
      <c r="I33" s="84">
        <f t="shared" si="13"/>
        <v>4.583333333333333</v>
      </c>
      <c r="J33" s="84">
        <f t="shared" si="13"/>
        <v>5.3</v>
      </c>
      <c r="K33" s="84">
        <f t="shared" si="13"/>
        <v>3.6166666666666667</v>
      </c>
      <c r="L33" s="84">
        <f t="shared" si="13"/>
        <v>5.5333333333333332</v>
      </c>
      <c r="M33" s="84">
        <f t="shared" si="13"/>
        <v>4.0499999999999989</v>
      </c>
      <c r="N33" s="84">
        <f t="shared" si="13"/>
        <v>8.0666666666666664</v>
      </c>
      <c r="O33" s="84">
        <f t="shared" si="13"/>
        <v>2.1166666666666667</v>
      </c>
      <c r="P33" s="40">
        <f t="shared" si="3"/>
        <v>44.449999999999996</v>
      </c>
      <c r="R33" s="88"/>
      <c r="S33" s="88"/>
      <c r="T33" s="88"/>
      <c r="V33" s="98"/>
      <c r="W33" s="98" t="s">
        <v>108</v>
      </c>
      <c r="X33" s="98" t="s">
        <v>109</v>
      </c>
      <c r="Y33" s="98" t="s">
        <v>110</v>
      </c>
      <c r="Z33" s="98" t="s">
        <v>111</v>
      </c>
      <c r="AA33" s="98" t="s">
        <v>112</v>
      </c>
    </row>
    <row r="34" spans="1:31" x14ac:dyDescent="0.35">
      <c r="A34">
        <v>12</v>
      </c>
      <c r="B34" s="12">
        <v>43397</v>
      </c>
      <c r="C34" s="14">
        <v>0</v>
      </c>
      <c r="D34" s="14">
        <v>1</v>
      </c>
      <c r="E34" s="14">
        <v>1</v>
      </c>
      <c r="F34" s="84">
        <f t="shared" ref="F34:O34" si="14">F15*1440</f>
        <v>7</v>
      </c>
      <c r="G34" s="84">
        <f t="shared" si="14"/>
        <v>0</v>
      </c>
      <c r="H34" s="84">
        <f t="shared" si="14"/>
        <v>0.8</v>
      </c>
      <c r="I34" s="84">
        <f t="shared" si="14"/>
        <v>5.7833333333333323</v>
      </c>
      <c r="J34" s="84">
        <f t="shared" si="14"/>
        <v>7.333333333333333</v>
      </c>
      <c r="K34" s="84">
        <f t="shared" si="14"/>
        <v>3.2</v>
      </c>
      <c r="L34" s="84">
        <f t="shared" si="14"/>
        <v>4.166666666666667</v>
      </c>
      <c r="M34" s="84">
        <f t="shared" si="14"/>
        <v>7.4666666666666668</v>
      </c>
      <c r="N34" s="84">
        <f t="shared" si="14"/>
        <v>7</v>
      </c>
      <c r="O34" s="84">
        <f t="shared" si="14"/>
        <v>3</v>
      </c>
      <c r="P34" s="40">
        <f t="shared" si="3"/>
        <v>45.75</v>
      </c>
      <c r="R34" s="88"/>
      <c r="S34" s="88"/>
      <c r="T34" s="88"/>
      <c r="V34" s="96" t="s">
        <v>105</v>
      </c>
      <c r="W34" s="96">
        <v>13</v>
      </c>
      <c r="X34" s="96">
        <v>378.23290849673197</v>
      </c>
      <c r="Y34" s="96">
        <v>29.09483911513323</v>
      </c>
      <c r="Z34" s="96">
        <v>8.6546065235314422E+30</v>
      </c>
      <c r="AA34" s="96">
        <v>5.7341723561683966E-47</v>
      </c>
    </row>
    <row r="35" spans="1:31" x14ac:dyDescent="0.35">
      <c r="A35">
        <v>13</v>
      </c>
      <c r="B35" s="12">
        <v>43400</v>
      </c>
      <c r="C35" s="14">
        <v>1</v>
      </c>
      <c r="D35" s="14">
        <v>1</v>
      </c>
      <c r="E35" s="14">
        <v>0</v>
      </c>
      <c r="F35" s="84">
        <f t="shared" ref="F35:O35" si="15">F16*1440</f>
        <v>6.5000000000000009</v>
      </c>
      <c r="G35" s="84">
        <f t="shared" si="15"/>
        <v>5</v>
      </c>
      <c r="H35" s="84">
        <f t="shared" si="15"/>
        <v>0</v>
      </c>
      <c r="I35" s="84">
        <f t="shared" si="15"/>
        <v>6.083333333333333</v>
      </c>
      <c r="J35" s="84">
        <f t="shared" si="15"/>
        <v>4.333333333333333</v>
      </c>
      <c r="K35" s="84">
        <f t="shared" si="15"/>
        <v>3.3</v>
      </c>
      <c r="L35" s="84">
        <f t="shared" si="15"/>
        <v>4</v>
      </c>
      <c r="M35" s="84">
        <f t="shared" si="15"/>
        <v>4.55</v>
      </c>
      <c r="N35" s="84">
        <f t="shared" si="15"/>
        <v>9</v>
      </c>
      <c r="O35" s="84">
        <f t="shared" si="15"/>
        <v>3.5</v>
      </c>
      <c r="P35" s="40">
        <f t="shared" si="3"/>
        <v>46.266666666666666</v>
      </c>
      <c r="R35" s="88"/>
      <c r="S35" s="88"/>
      <c r="T35" s="88"/>
      <c r="V35" s="96" t="s">
        <v>106</v>
      </c>
      <c r="W35" s="96">
        <v>3</v>
      </c>
      <c r="X35" s="96">
        <v>1.0085324746778199E-29</v>
      </c>
      <c r="Y35" s="96">
        <v>3.3617749155927329E-30</v>
      </c>
      <c r="Z35" s="96"/>
      <c r="AA35" s="96"/>
    </row>
    <row r="36" spans="1:31" ht="15" thickBot="1" x14ac:dyDescent="0.4">
      <c r="A36">
        <v>14</v>
      </c>
      <c r="B36" s="12">
        <v>43402</v>
      </c>
      <c r="C36" s="14">
        <v>0</v>
      </c>
      <c r="D36" s="14">
        <v>0</v>
      </c>
      <c r="E36" s="14">
        <v>1</v>
      </c>
      <c r="F36" s="84">
        <f t="shared" ref="F36:O36" si="16">F17*1440</f>
        <v>6.083333333333333</v>
      </c>
      <c r="G36" s="84">
        <f t="shared" si="16"/>
        <v>0</v>
      </c>
      <c r="H36" s="84">
        <f t="shared" si="16"/>
        <v>0.65</v>
      </c>
      <c r="I36" s="84">
        <f t="shared" si="16"/>
        <v>5.4666666666666668</v>
      </c>
      <c r="J36" s="84">
        <f t="shared" si="16"/>
        <v>7</v>
      </c>
      <c r="K36" s="84">
        <f t="shared" si="16"/>
        <v>2.8166666666666664</v>
      </c>
      <c r="L36" s="84">
        <f t="shared" si="16"/>
        <v>6</v>
      </c>
      <c r="M36" s="84">
        <f t="shared" si="16"/>
        <v>5</v>
      </c>
      <c r="N36" s="84">
        <f t="shared" si="16"/>
        <v>8.8000000000000007</v>
      </c>
      <c r="O36" s="84">
        <f t="shared" si="16"/>
        <v>2</v>
      </c>
      <c r="P36" s="40">
        <f t="shared" si="3"/>
        <v>43.816666666666663</v>
      </c>
      <c r="R36" s="88"/>
      <c r="S36" s="88"/>
      <c r="T36" s="88"/>
      <c r="V36" s="97" t="s">
        <v>70</v>
      </c>
      <c r="W36" s="97">
        <v>16</v>
      </c>
      <c r="X36" s="97">
        <v>378.23290849673197</v>
      </c>
      <c r="Y36" s="97"/>
      <c r="Z36" s="97"/>
      <c r="AA36" s="97"/>
    </row>
    <row r="37" spans="1:31" ht="15" thickBot="1" x14ac:dyDescent="0.4">
      <c r="A37">
        <v>15</v>
      </c>
      <c r="B37" s="12">
        <v>43404</v>
      </c>
      <c r="C37" s="14">
        <v>0</v>
      </c>
      <c r="D37" s="14">
        <v>0</v>
      </c>
      <c r="E37" s="14">
        <v>0</v>
      </c>
      <c r="F37" s="84">
        <f t="shared" ref="F37:O37" si="17">F18*1440</f>
        <v>6.2333333333333334</v>
      </c>
      <c r="G37" s="84">
        <f t="shared" si="17"/>
        <v>4</v>
      </c>
      <c r="H37" s="84">
        <f t="shared" si="17"/>
        <v>0</v>
      </c>
      <c r="I37" s="84">
        <f t="shared" si="17"/>
        <v>5.9333333333333336</v>
      </c>
      <c r="J37" s="84">
        <f t="shared" si="17"/>
        <v>3</v>
      </c>
      <c r="K37" s="84">
        <f t="shared" si="17"/>
        <v>4.6166666666666671</v>
      </c>
      <c r="L37" s="84">
        <f t="shared" si="17"/>
        <v>4.1333333333333337</v>
      </c>
      <c r="M37" s="84">
        <f t="shared" si="17"/>
        <v>4.2166666666666677</v>
      </c>
      <c r="N37" s="84">
        <f t="shared" si="17"/>
        <v>7.833333333333333</v>
      </c>
      <c r="O37" s="84">
        <f t="shared" si="17"/>
        <v>1.75</v>
      </c>
      <c r="P37" s="40">
        <f t="shared" si="3"/>
        <v>41.716666666666669</v>
      </c>
      <c r="R37" s="88"/>
      <c r="S37" s="88"/>
      <c r="T37" s="88"/>
    </row>
    <row r="38" spans="1:31" x14ac:dyDescent="0.35">
      <c r="A38">
        <v>16</v>
      </c>
      <c r="B38" s="12">
        <v>43409</v>
      </c>
      <c r="C38" s="14">
        <v>0</v>
      </c>
      <c r="D38" s="14">
        <v>0</v>
      </c>
      <c r="E38" s="14">
        <v>1</v>
      </c>
      <c r="F38" s="84">
        <f t="shared" ref="F38:O38" si="18">F19*1440</f>
        <v>7.3666666666666671</v>
      </c>
      <c r="G38" s="84">
        <f t="shared" si="18"/>
        <v>0</v>
      </c>
      <c r="H38" s="84">
        <f t="shared" si="18"/>
        <v>0.7</v>
      </c>
      <c r="I38" s="84">
        <f t="shared" si="18"/>
        <v>4.416666666666667</v>
      </c>
      <c r="J38" s="84">
        <f t="shared" si="18"/>
        <v>6</v>
      </c>
      <c r="K38" s="84">
        <f t="shared" si="18"/>
        <v>4.1833333333333336</v>
      </c>
      <c r="L38" s="84">
        <f t="shared" si="18"/>
        <v>7.8833333333333337</v>
      </c>
      <c r="M38" s="84">
        <f t="shared" si="18"/>
        <v>6.6666666666666679</v>
      </c>
      <c r="N38" s="84">
        <f t="shared" si="18"/>
        <v>8.3666666666666671</v>
      </c>
      <c r="O38" s="84">
        <f t="shared" si="18"/>
        <v>2.1333333333333333</v>
      </c>
      <c r="P38" s="40">
        <f t="shared" si="3"/>
        <v>47.716666666666669</v>
      </c>
      <c r="R38" s="88"/>
      <c r="S38" s="89"/>
      <c r="T38" s="88"/>
      <c r="V38" s="98"/>
      <c r="W38" s="98" t="s">
        <v>113</v>
      </c>
      <c r="X38" s="98" t="s">
        <v>23</v>
      </c>
      <c r="Y38" s="98" t="s">
        <v>114</v>
      </c>
      <c r="Z38" s="98" t="s">
        <v>115</v>
      </c>
      <c r="AA38" s="98" t="s">
        <v>116</v>
      </c>
      <c r="AB38" s="98" t="s">
        <v>117</v>
      </c>
      <c r="AC38" s="98" t="s">
        <v>118</v>
      </c>
      <c r="AD38" s="98" t="s">
        <v>119</v>
      </c>
    </row>
    <row r="39" spans="1:31" x14ac:dyDescent="0.35">
      <c r="A39">
        <v>17</v>
      </c>
      <c r="B39" s="12">
        <v>43410</v>
      </c>
      <c r="C39" s="14">
        <v>0</v>
      </c>
      <c r="D39" s="14">
        <v>1</v>
      </c>
      <c r="E39" s="14">
        <v>0</v>
      </c>
      <c r="F39" s="84">
        <f t="shared" ref="F39:O39" si="19">F20*1440</f>
        <v>6.883333333333332</v>
      </c>
      <c r="G39" s="84">
        <f t="shared" si="19"/>
        <v>3</v>
      </c>
      <c r="H39" s="84">
        <f t="shared" si="19"/>
        <v>0</v>
      </c>
      <c r="I39" s="84">
        <f t="shared" si="19"/>
        <v>4.083333333333333</v>
      </c>
      <c r="J39" s="84">
        <f t="shared" si="19"/>
        <v>6.083333333333333</v>
      </c>
      <c r="K39" s="84">
        <f t="shared" si="19"/>
        <v>3.9666666666666663</v>
      </c>
      <c r="L39" s="84">
        <f t="shared" si="19"/>
        <v>5.0999999999999996</v>
      </c>
      <c r="M39" s="84">
        <f t="shared" si="19"/>
        <v>4</v>
      </c>
      <c r="N39" s="84">
        <f t="shared" si="19"/>
        <v>7.916666666666667</v>
      </c>
      <c r="O39" s="84">
        <f t="shared" si="19"/>
        <v>4</v>
      </c>
      <c r="P39" s="40">
        <f t="shared" si="3"/>
        <v>45.033333333333324</v>
      </c>
      <c r="R39" s="88"/>
      <c r="S39" s="86"/>
      <c r="T39" s="88"/>
      <c r="V39" s="96" t="s">
        <v>107</v>
      </c>
      <c r="W39" s="96">
        <v>4.8849813083506888E-15</v>
      </c>
      <c r="X39" s="96">
        <v>1.106270788386791E-14</v>
      </c>
      <c r="Y39" s="96">
        <v>0.44157193334863037</v>
      </c>
      <c r="Z39" s="96">
        <v>0.6886883884060766</v>
      </c>
      <c r="AA39" s="96">
        <v>-3.0321492523097705E-14</v>
      </c>
      <c r="AB39" s="96">
        <v>4.0091455139799083E-14</v>
      </c>
      <c r="AC39" s="96">
        <v>-3.0321492523097705E-14</v>
      </c>
      <c r="AD39" s="96">
        <v>4.0091455139799083E-14</v>
      </c>
    </row>
    <row r="40" spans="1:31" x14ac:dyDescent="0.35">
      <c r="R40" s="88"/>
      <c r="S40" s="86"/>
      <c r="T40" s="88"/>
      <c r="V40" s="96" t="s">
        <v>127</v>
      </c>
      <c r="W40" s="96">
        <v>-1.893959021944273E-15</v>
      </c>
      <c r="X40" s="96">
        <v>2.0612924568373391E-15</v>
      </c>
      <c r="Y40" s="96">
        <v>-0.9188211093782358</v>
      </c>
      <c r="Z40" s="96">
        <v>0.42594913173171678</v>
      </c>
      <c r="AA40" s="96">
        <v>-8.4539115853154432E-15</v>
      </c>
      <c r="AB40" s="96">
        <v>4.6659935414268964E-15</v>
      </c>
      <c r="AC40" s="96">
        <v>-8.4539115853154432E-15</v>
      </c>
      <c r="AD40" s="96">
        <v>4.6659935414268964E-15</v>
      </c>
    </row>
    <row r="41" spans="1:31" ht="16" customHeight="1" x14ac:dyDescent="0.35">
      <c r="B41" s="80" t="s">
        <v>0</v>
      </c>
      <c r="C41" s="19" t="s">
        <v>1</v>
      </c>
      <c r="D41" s="19" t="s">
        <v>15</v>
      </c>
      <c r="E41" s="19" t="s">
        <v>14</v>
      </c>
      <c r="F41" s="19" t="s">
        <v>2</v>
      </c>
      <c r="G41" s="19" t="s">
        <v>3</v>
      </c>
      <c r="H41" s="80" t="s">
        <v>4</v>
      </c>
      <c r="I41" s="80" t="s">
        <v>5</v>
      </c>
      <c r="J41" s="80" t="s">
        <v>6</v>
      </c>
      <c r="K41" s="80" t="s">
        <v>7</v>
      </c>
      <c r="L41" s="80" t="s">
        <v>8</v>
      </c>
      <c r="M41" s="19" t="s">
        <v>11</v>
      </c>
      <c r="N41" s="39" t="s">
        <v>96</v>
      </c>
      <c r="Q41" s="36"/>
      <c r="R41" s="86"/>
      <c r="S41" s="88"/>
      <c r="T41" s="88"/>
      <c r="V41" s="96" t="s">
        <v>128</v>
      </c>
      <c r="W41" s="96">
        <v>5.211890004410554E-15</v>
      </c>
      <c r="X41" s="96">
        <v>2.0832376719778296E-15</v>
      </c>
      <c r="Y41" s="96">
        <v>2.5018220794089117</v>
      </c>
      <c r="Z41" s="96">
        <v>8.7565897073319701E-2</v>
      </c>
      <c r="AA41" s="96">
        <v>-1.417902027803125E-15</v>
      </c>
      <c r="AB41" s="96">
        <v>1.1841682036624234E-14</v>
      </c>
      <c r="AC41" s="96">
        <v>-1.417902027803125E-15</v>
      </c>
      <c r="AD41" s="96">
        <v>1.1841682036624234E-14</v>
      </c>
    </row>
    <row r="42" spans="1:31" x14ac:dyDescent="0.35">
      <c r="Q42" s="36"/>
      <c r="R42" s="86"/>
      <c r="S42" s="88"/>
      <c r="T42" s="88"/>
      <c r="V42" s="96" t="s">
        <v>125</v>
      </c>
      <c r="W42" s="96">
        <v>1.7423114303758324E-14</v>
      </c>
      <c r="X42" s="96">
        <v>1.0346862595436749E-14</v>
      </c>
      <c r="Y42" s="96">
        <v>1.6839031293836255</v>
      </c>
      <c r="Z42" s="96">
        <v>0.19078908996654079</v>
      </c>
      <c r="AA42" s="96">
        <v>-1.5505220334367565E-14</v>
      </c>
      <c r="AB42" s="96">
        <v>5.0351448941884212E-14</v>
      </c>
      <c r="AC42" s="96">
        <v>-1.5505220334367565E-14</v>
      </c>
      <c r="AD42" s="96">
        <v>5.0351448941884212E-14</v>
      </c>
    </row>
    <row r="43" spans="1:31" x14ac:dyDescent="0.35">
      <c r="Q43" s="36"/>
      <c r="R43" s="86"/>
      <c r="S43" s="88"/>
      <c r="T43" s="88"/>
      <c r="V43" s="96" t="s">
        <v>1</v>
      </c>
      <c r="W43" s="96">
        <v>1.0000000000000004</v>
      </c>
      <c r="X43" s="96">
        <v>6.2721704198727996E-16</v>
      </c>
      <c r="Y43" s="96">
        <v>1594344434315100.5</v>
      </c>
      <c r="Z43" s="101">
        <v>5.441570947321259E-46</v>
      </c>
      <c r="AA43" s="96">
        <v>0.99999999999999845</v>
      </c>
      <c r="AB43" s="96">
        <v>1.0000000000000024</v>
      </c>
      <c r="AC43" s="96">
        <v>0.99999999999999845</v>
      </c>
      <c r="AD43" s="96">
        <v>1.0000000000000024</v>
      </c>
    </row>
    <row r="44" spans="1:31" x14ac:dyDescent="0.35">
      <c r="Q44" s="36"/>
      <c r="R44" s="86"/>
      <c r="S44" s="88"/>
      <c r="T44" s="88"/>
      <c r="V44" s="96" t="s">
        <v>15</v>
      </c>
      <c r="W44" s="96">
        <v>1.0000000000000007</v>
      </c>
      <c r="X44" s="96">
        <v>9.2735834078173793E-16</v>
      </c>
      <c r="Y44" s="96">
        <v>1078331812012417.8</v>
      </c>
      <c r="Z44" s="101">
        <v>1.7587879977289277E-45</v>
      </c>
      <c r="AA44" s="96">
        <v>0.99999999999999767</v>
      </c>
      <c r="AB44" s="96">
        <v>1.0000000000000036</v>
      </c>
      <c r="AC44" s="96">
        <v>0.99999999999999767</v>
      </c>
      <c r="AD44" s="96">
        <v>1.0000000000000036</v>
      </c>
    </row>
    <row r="45" spans="1:31" x14ac:dyDescent="0.35">
      <c r="D45" t="s">
        <v>98</v>
      </c>
      <c r="V45" s="96" t="s">
        <v>14</v>
      </c>
      <c r="W45" s="96">
        <v>0.99999999999998479</v>
      </c>
      <c r="X45" s="96">
        <v>1.4829774151344906E-14</v>
      </c>
      <c r="Y45" s="96">
        <v>67431910276886.797</v>
      </c>
      <c r="Z45" s="101">
        <v>7.1924086900483658E-42</v>
      </c>
      <c r="AA45" s="96">
        <v>0.99999999999993761</v>
      </c>
      <c r="AB45" s="96">
        <v>1.000000000000032</v>
      </c>
      <c r="AC45" s="96">
        <v>0.99999999999993761</v>
      </c>
      <c r="AD45" s="96">
        <v>1.000000000000032</v>
      </c>
    </row>
    <row r="46" spans="1:31" ht="15" thickBot="1" x14ac:dyDescent="0.4">
      <c r="N46" s="90"/>
      <c r="O46" s="90"/>
      <c r="P46" s="19"/>
      <c r="Q46" s="19"/>
      <c r="R46" s="19"/>
      <c r="S46" s="19"/>
      <c r="T46" s="19"/>
      <c r="U46" s="19"/>
      <c r="V46" s="96" t="s">
        <v>2</v>
      </c>
      <c r="W46" s="96">
        <v>1.0000000000000004</v>
      </c>
      <c r="X46" s="96">
        <v>5.9601371273498245E-16</v>
      </c>
      <c r="Y46" s="96">
        <v>1677813745947571</v>
      </c>
      <c r="Z46" s="101">
        <v>4.6691680118481685E-46</v>
      </c>
      <c r="AA46" s="96">
        <v>0.99999999999999856</v>
      </c>
      <c r="AB46" s="96">
        <v>1.0000000000000024</v>
      </c>
      <c r="AC46" s="96">
        <v>0.99999999999999856</v>
      </c>
      <c r="AD46" s="96">
        <v>1.0000000000000024</v>
      </c>
      <c r="AE46" s="39"/>
    </row>
    <row r="47" spans="1:31" x14ac:dyDescent="0.35">
      <c r="D47" s="38" t="s">
        <v>99</v>
      </c>
      <c r="E47" s="38"/>
      <c r="N47" s="90"/>
      <c r="O47" s="90"/>
      <c r="P47" s="19"/>
      <c r="Q47" s="19"/>
      <c r="R47" s="19"/>
      <c r="S47" s="19"/>
      <c r="T47" s="19"/>
      <c r="U47" s="19"/>
      <c r="V47" s="96" t="s">
        <v>3</v>
      </c>
      <c r="W47" s="96">
        <v>0.99999999999999811</v>
      </c>
      <c r="X47" s="96">
        <v>5.9910722091325105E-16</v>
      </c>
      <c r="Y47" s="96">
        <v>1669150304140292</v>
      </c>
      <c r="Z47" s="101">
        <v>4.7422495963571292E-46</v>
      </c>
      <c r="AA47" s="96">
        <v>0.99999999999999623</v>
      </c>
      <c r="AB47" s="96">
        <v>1</v>
      </c>
      <c r="AC47" s="96">
        <v>0.99999999999999623</v>
      </c>
      <c r="AD47" s="96">
        <v>1</v>
      </c>
      <c r="AE47" s="39"/>
    </row>
    <row r="48" spans="1:31" x14ac:dyDescent="0.35">
      <c r="D48" s="36" t="s">
        <v>100</v>
      </c>
      <c r="E48" s="36">
        <v>1</v>
      </c>
      <c r="N48" s="11"/>
      <c r="O48" s="12"/>
      <c r="P48" s="14"/>
      <c r="Q48" s="14"/>
      <c r="R48" s="14"/>
      <c r="S48" s="5"/>
      <c r="T48" s="5"/>
      <c r="U48" s="5"/>
      <c r="V48" s="96" t="s">
        <v>4</v>
      </c>
      <c r="W48" s="96">
        <v>1</v>
      </c>
      <c r="X48" s="96">
        <v>9.55579152496671E-16</v>
      </c>
      <c r="Y48" s="96">
        <v>1046485785491729.6</v>
      </c>
      <c r="Z48" s="101">
        <v>1.9242909839731745E-45</v>
      </c>
      <c r="AA48" s="96">
        <v>0.999999999999997</v>
      </c>
      <c r="AB48" s="96">
        <v>1.0000000000000031</v>
      </c>
      <c r="AC48" s="96">
        <v>0.999999999999997</v>
      </c>
      <c r="AD48" s="96">
        <v>1.0000000000000031</v>
      </c>
      <c r="AE48" s="40"/>
    </row>
    <row r="49" spans="4:31" x14ac:dyDescent="0.35">
      <c r="D49" s="36" t="s">
        <v>101</v>
      </c>
      <c r="E49" s="36">
        <v>1</v>
      </c>
      <c r="N49" s="11"/>
      <c r="O49" s="12"/>
      <c r="P49" s="14"/>
      <c r="Q49" s="14"/>
      <c r="R49" s="14"/>
      <c r="S49" s="5"/>
      <c r="T49" s="5"/>
      <c r="U49" s="5"/>
      <c r="V49" s="96" t="s">
        <v>5</v>
      </c>
      <c r="W49" s="96">
        <v>1</v>
      </c>
      <c r="X49" s="96">
        <v>6.4787487645746216E-16</v>
      </c>
      <c r="Y49" s="96">
        <v>1543507915398626.3</v>
      </c>
      <c r="Z49" s="101">
        <v>5.9971396653323861E-46</v>
      </c>
      <c r="AA49" s="96">
        <v>0.99999999999999789</v>
      </c>
      <c r="AB49" s="96">
        <v>1.000000000000002</v>
      </c>
      <c r="AC49" s="96">
        <v>0.99999999999999789</v>
      </c>
      <c r="AD49" s="96">
        <v>1.000000000000002</v>
      </c>
      <c r="AE49" s="40"/>
    </row>
    <row r="50" spans="4:31" x14ac:dyDescent="0.35">
      <c r="D50" s="36" t="s">
        <v>102</v>
      </c>
      <c r="E50" s="36">
        <v>1</v>
      </c>
      <c r="N50" s="11"/>
      <c r="O50" s="12"/>
      <c r="P50" s="14"/>
      <c r="Q50" s="14"/>
      <c r="R50" s="14"/>
      <c r="S50" s="5"/>
      <c r="T50" s="5"/>
      <c r="U50" s="5"/>
      <c r="V50" s="96" t="s">
        <v>7</v>
      </c>
      <c r="W50" s="96">
        <v>1.0000000000000004</v>
      </c>
      <c r="X50" s="96">
        <v>4.485191230276451E-16</v>
      </c>
      <c r="Y50" s="96">
        <v>2229559340189747.3</v>
      </c>
      <c r="Z50" s="101">
        <v>1.9898193001131644E-46</v>
      </c>
      <c r="AA50" s="96">
        <v>0.999999999999999</v>
      </c>
      <c r="AB50" s="96">
        <v>1.0000000000000018</v>
      </c>
      <c r="AC50" s="96">
        <v>0.999999999999999</v>
      </c>
      <c r="AD50" s="96">
        <v>1.0000000000000018</v>
      </c>
      <c r="AE50" s="40"/>
    </row>
    <row r="51" spans="4:31" x14ac:dyDescent="0.35">
      <c r="D51" s="36" t="s">
        <v>23</v>
      </c>
      <c r="E51" s="36">
        <v>4.4447346104487087E-15</v>
      </c>
      <c r="N51" s="11"/>
      <c r="O51" s="12"/>
      <c r="P51" s="14"/>
      <c r="Q51" s="14"/>
      <c r="R51" s="14"/>
      <c r="S51" s="20"/>
      <c r="T51" s="5"/>
      <c r="U51" s="5"/>
      <c r="V51" s="96" t="s">
        <v>8</v>
      </c>
      <c r="W51" s="96">
        <v>0.99999999999999922</v>
      </c>
      <c r="X51" s="96">
        <v>6.4434481648142907E-16</v>
      </c>
      <c r="Y51" s="96">
        <v>1551964063994019.3</v>
      </c>
      <c r="Z51" s="101">
        <v>5.8996434214848888E-46</v>
      </c>
      <c r="AA51" s="96">
        <v>0.99999999999999722</v>
      </c>
      <c r="AB51" s="96">
        <v>1.0000000000000013</v>
      </c>
      <c r="AC51" s="96">
        <v>0.99999999999999722</v>
      </c>
      <c r="AD51" s="96">
        <v>1.0000000000000013</v>
      </c>
      <c r="AE51" s="40"/>
    </row>
    <row r="52" spans="4:31" ht="15" thickBot="1" x14ac:dyDescent="0.4">
      <c r="D52" s="37" t="s">
        <v>103</v>
      </c>
      <c r="E52" s="37">
        <v>17</v>
      </c>
      <c r="N52" s="11"/>
      <c r="O52" s="12"/>
      <c r="P52" s="14"/>
      <c r="Q52" s="14"/>
      <c r="R52" s="14"/>
      <c r="S52" s="5"/>
      <c r="T52" s="5"/>
      <c r="U52" s="5"/>
      <c r="V52" s="97" t="s">
        <v>9</v>
      </c>
      <c r="W52" s="97">
        <v>0.99999999999999778</v>
      </c>
      <c r="X52" s="97">
        <v>1.0010807677309694E-15</v>
      </c>
      <c r="Y52" s="97">
        <v>998920399066879.25</v>
      </c>
      <c r="Z52" s="102">
        <v>2.2124736140384616E-45</v>
      </c>
      <c r="AA52" s="97">
        <v>0.99999999999999456</v>
      </c>
      <c r="AB52" s="97">
        <v>1.0000000000000009</v>
      </c>
      <c r="AC52" s="97">
        <v>0.99999999999999456</v>
      </c>
      <c r="AD52" s="97">
        <v>1.0000000000000009</v>
      </c>
      <c r="AE52" s="40"/>
    </row>
    <row r="53" spans="4:31" x14ac:dyDescent="0.35">
      <c r="N53" s="11"/>
      <c r="O53" s="12"/>
      <c r="P53" s="14"/>
      <c r="Q53" s="14"/>
      <c r="R53" s="14"/>
      <c r="S53" s="5"/>
      <c r="T53" s="5"/>
      <c r="U53" s="5"/>
      <c r="AE53" s="40"/>
    </row>
    <row r="54" spans="4:31" ht="15" thickBot="1" x14ac:dyDescent="0.4">
      <c r="D54" t="s">
        <v>104</v>
      </c>
      <c r="N54" s="11"/>
      <c r="O54" s="12"/>
      <c r="P54" s="14"/>
      <c r="Q54" s="14"/>
      <c r="R54" s="14"/>
      <c r="S54" s="5"/>
      <c r="T54" s="5"/>
      <c r="U54" s="5"/>
      <c r="AE54" s="40"/>
    </row>
    <row r="55" spans="4:31" x14ac:dyDescent="0.35">
      <c r="D55" s="85"/>
      <c r="E55" s="85" t="s">
        <v>108</v>
      </c>
      <c r="F55" s="85" t="s">
        <v>109</v>
      </c>
      <c r="G55" s="85" t="s">
        <v>110</v>
      </c>
      <c r="H55" s="85" t="s">
        <v>111</v>
      </c>
      <c r="I55" s="85" t="s">
        <v>112</v>
      </c>
      <c r="N55" s="11"/>
      <c r="O55" s="12"/>
      <c r="P55" s="14"/>
      <c r="Q55" s="14"/>
      <c r="R55" s="14"/>
      <c r="S55" s="5"/>
      <c r="T55" s="5"/>
      <c r="U55" s="5"/>
      <c r="AE55" s="40"/>
    </row>
    <row r="56" spans="4:31" x14ac:dyDescent="0.35">
      <c r="D56" s="36" t="s">
        <v>105</v>
      </c>
      <c r="E56" s="36">
        <v>14</v>
      </c>
      <c r="F56" s="36">
        <v>510.2088562091505</v>
      </c>
      <c r="G56" s="36">
        <v>36.443489729225035</v>
      </c>
      <c r="H56" s="36">
        <v>1.8447107871178971E+30</v>
      </c>
      <c r="I56" s="36">
        <v>5.4209039540683791E-31</v>
      </c>
      <c r="N56" s="11"/>
      <c r="O56" s="12"/>
      <c r="P56" s="14"/>
      <c r="Q56" s="14"/>
      <c r="R56" s="14"/>
      <c r="S56" s="5"/>
      <c r="T56" s="5"/>
      <c r="U56" s="5"/>
      <c r="V56" s="94" t="s">
        <v>120</v>
      </c>
      <c r="AE56" s="40"/>
    </row>
    <row r="57" spans="4:31" ht="15" thickBot="1" x14ac:dyDescent="0.4">
      <c r="D57" s="36" t="s">
        <v>106</v>
      </c>
      <c r="E57" s="36">
        <v>2</v>
      </c>
      <c r="F57" s="36">
        <v>3.951133151464127E-29</v>
      </c>
      <c r="G57" s="36">
        <v>1.9755665757320635E-29</v>
      </c>
      <c r="H57" s="36"/>
      <c r="I57" s="36"/>
      <c r="N57" s="11"/>
      <c r="O57" s="12"/>
      <c r="P57" s="14"/>
      <c r="Q57" s="14"/>
      <c r="R57" s="14"/>
      <c r="S57" s="5"/>
      <c r="T57" s="5"/>
      <c r="U57" s="5"/>
      <c r="AE57" s="40"/>
    </row>
    <row r="58" spans="4:31" ht="15" thickBot="1" x14ac:dyDescent="0.4">
      <c r="D58" s="37" t="s">
        <v>70</v>
      </c>
      <c r="E58" s="37">
        <v>16</v>
      </c>
      <c r="F58" s="37">
        <v>510.2088562091505</v>
      </c>
      <c r="G58" s="37"/>
      <c r="H58" s="37"/>
      <c r="I58" s="37"/>
      <c r="N58" s="11"/>
      <c r="O58" s="12"/>
      <c r="P58" s="14"/>
      <c r="Q58" s="14"/>
      <c r="R58" s="14"/>
      <c r="S58" s="5"/>
      <c r="T58" s="5"/>
      <c r="U58" s="5"/>
      <c r="V58" s="98" t="s">
        <v>121</v>
      </c>
      <c r="W58" s="98" t="s">
        <v>129</v>
      </c>
      <c r="X58" s="98" t="s">
        <v>122</v>
      </c>
      <c r="AE58" s="40"/>
    </row>
    <row r="59" spans="4:31" ht="15" thickBot="1" x14ac:dyDescent="0.4">
      <c r="N59" s="11"/>
      <c r="O59" s="12"/>
      <c r="P59" s="14"/>
      <c r="Q59" s="14"/>
      <c r="R59" s="14"/>
      <c r="S59" s="5"/>
      <c r="T59" s="5"/>
      <c r="U59" s="5"/>
      <c r="V59" s="96">
        <v>1</v>
      </c>
      <c r="W59" s="96">
        <v>45.333333333333321</v>
      </c>
      <c r="X59" s="96">
        <v>1.4210854715202004E-14</v>
      </c>
      <c r="AE59" s="40"/>
    </row>
    <row r="60" spans="4:31" x14ac:dyDescent="0.35">
      <c r="D60" s="85"/>
      <c r="E60" s="85" t="s">
        <v>113</v>
      </c>
      <c r="F60" s="85" t="s">
        <v>23</v>
      </c>
      <c r="G60" s="85" t="s">
        <v>114</v>
      </c>
      <c r="H60" s="85" t="s">
        <v>115</v>
      </c>
      <c r="I60" s="85" t="s">
        <v>116</v>
      </c>
      <c r="J60" s="85" t="s">
        <v>117</v>
      </c>
      <c r="K60" s="85" t="s">
        <v>118</v>
      </c>
      <c r="L60" s="85" t="s">
        <v>119</v>
      </c>
      <c r="N60" s="11"/>
      <c r="O60" s="12"/>
      <c r="P60" s="14"/>
      <c r="Q60" s="14"/>
      <c r="R60" s="14"/>
      <c r="S60" s="5"/>
      <c r="T60" s="5"/>
      <c r="U60" s="5"/>
      <c r="V60" s="96">
        <v>2</v>
      </c>
      <c r="W60" s="96">
        <v>52.866666666666667</v>
      </c>
      <c r="X60" s="96">
        <v>0</v>
      </c>
      <c r="AE60" s="40"/>
    </row>
    <row r="61" spans="4:31" x14ac:dyDescent="0.35">
      <c r="D61" s="36" t="s">
        <v>107</v>
      </c>
      <c r="E61" s="86">
        <v>-1.3322676295501878E-15</v>
      </c>
      <c r="F61" s="86">
        <v>4.2137799284433111E-14</v>
      </c>
      <c r="G61" s="86">
        <v>-3.1616924760528846E-2</v>
      </c>
      <c r="H61" s="86">
        <v>0.97764904307517053</v>
      </c>
      <c r="I61" s="86">
        <v>-1.826365847463513E-13</v>
      </c>
      <c r="J61" s="86">
        <v>1.7997204948725092E-13</v>
      </c>
      <c r="K61" s="86">
        <v>-1.826365847463513E-13</v>
      </c>
      <c r="L61" s="86">
        <v>1.7997204948725092E-13</v>
      </c>
      <c r="N61" s="11"/>
      <c r="O61" s="12"/>
      <c r="P61" s="14"/>
      <c r="Q61" s="14"/>
      <c r="R61" s="14"/>
      <c r="S61" s="5"/>
      <c r="T61" s="5"/>
      <c r="U61" s="5"/>
      <c r="V61" s="96">
        <v>3</v>
      </c>
      <c r="W61" s="96">
        <v>50.016666666666666</v>
      </c>
      <c r="X61" s="96">
        <v>0</v>
      </c>
      <c r="AE61" s="40"/>
    </row>
    <row r="62" spans="4:31" x14ac:dyDescent="0.35">
      <c r="D62" s="36" t="s">
        <v>93</v>
      </c>
      <c r="E62" s="86">
        <v>5.06634038370093E-15</v>
      </c>
      <c r="F62" s="86">
        <v>1.0261333347068448E-14</v>
      </c>
      <c r="G62" s="86">
        <v>0.49373119577567653</v>
      </c>
      <c r="H62" s="86">
        <v>0.67038926161982504</v>
      </c>
      <c r="I62" s="86">
        <v>-3.9084613552932329E-14</v>
      </c>
      <c r="J62" s="86">
        <v>4.9217294320334185E-14</v>
      </c>
      <c r="K62" s="86">
        <v>-3.9084613552932329E-14</v>
      </c>
      <c r="L62" s="86">
        <v>4.9217294320334185E-14</v>
      </c>
      <c r="N62" s="11"/>
      <c r="O62" s="12"/>
      <c r="P62" s="14"/>
      <c r="Q62" s="14"/>
      <c r="R62" s="14"/>
      <c r="S62" s="5"/>
      <c r="T62" s="5"/>
      <c r="U62" s="5"/>
      <c r="V62" s="96">
        <v>4</v>
      </c>
      <c r="W62" s="96">
        <v>40.866666666666667</v>
      </c>
      <c r="X62" s="96">
        <v>0</v>
      </c>
      <c r="AE62" s="40"/>
    </row>
    <row r="63" spans="4:31" x14ac:dyDescent="0.35">
      <c r="D63" s="36" t="s">
        <v>123</v>
      </c>
      <c r="E63" s="86">
        <v>7.8374285780609841E-16</v>
      </c>
      <c r="F63" s="86">
        <v>5.3465376373522049E-15</v>
      </c>
      <c r="G63" s="86">
        <v>0.14658886011213712</v>
      </c>
      <c r="H63" s="86">
        <v>0.89689841249752544</v>
      </c>
      <c r="I63" s="86">
        <v>-2.2220551902255616E-14</v>
      </c>
      <c r="J63" s="86">
        <v>2.3788037617867812E-14</v>
      </c>
      <c r="K63" s="86">
        <v>-2.2220551902255616E-14</v>
      </c>
      <c r="L63" s="86">
        <v>2.3788037617867812E-14</v>
      </c>
      <c r="N63" s="11"/>
      <c r="O63" s="12"/>
      <c r="P63" s="14"/>
      <c r="Q63" s="14"/>
      <c r="R63" s="14"/>
      <c r="S63" s="5"/>
      <c r="T63" s="5"/>
      <c r="U63" s="5"/>
      <c r="V63" s="96">
        <v>5</v>
      </c>
      <c r="W63" s="96">
        <v>59.18333333333333</v>
      </c>
      <c r="X63" s="96">
        <v>0</v>
      </c>
      <c r="AE63" s="40"/>
    </row>
    <row r="64" spans="4:31" x14ac:dyDescent="0.35">
      <c r="D64" s="36" t="s">
        <v>84</v>
      </c>
      <c r="E64" s="86">
        <v>-6.3083689720504271E-14</v>
      </c>
      <c r="F64" s="86">
        <v>8.3026019992144155E-14</v>
      </c>
      <c r="G64" s="86">
        <v>-0.75980625985050454</v>
      </c>
      <c r="H64" s="86">
        <v>0.526718081720292</v>
      </c>
      <c r="I64" s="86">
        <v>-4.2031582127993688E-13</v>
      </c>
      <c r="J64" s="86">
        <v>2.9414844183892831E-13</v>
      </c>
      <c r="K64" s="86">
        <v>-4.2031582127993688E-13</v>
      </c>
      <c r="L64" s="86">
        <v>2.9414844183892831E-13</v>
      </c>
      <c r="N64" s="11"/>
      <c r="O64" s="12"/>
      <c r="P64" s="14"/>
      <c r="Q64" s="14"/>
      <c r="R64" s="14"/>
      <c r="S64" s="5"/>
      <c r="T64" s="5"/>
      <c r="U64" s="5"/>
      <c r="V64" s="96">
        <v>6</v>
      </c>
      <c r="W64" s="96">
        <v>45.599999999999987</v>
      </c>
      <c r="X64" s="96">
        <v>7.1054273576010019E-15</v>
      </c>
      <c r="AE64" s="40"/>
    </row>
    <row r="65" spans="4:31" x14ac:dyDescent="0.35">
      <c r="D65" s="36" t="s">
        <v>84</v>
      </c>
      <c r="E65" s="86">
        <v>0.99999999999999922</v>
      </c>
      <c r="F65" s="86">
        <v>1.6731097019271581E-15</v>
      </c>
      <c r="G65" s="86">
        <v>597689439519809.88</v>
      </c>
      <c r="H65" s="86">
        <v>2.799296074682788E-30</v>
      </c>
      <c r="I65" s="86">
        <v>0.99999999999999201</v>
      </c>
      <c r="J65" s="86">
        <v>1.0000000000000064</v>
      </c>
      <c r="K65" s="86">
        <v>0.99999999999999201</v>
      </c>
      <c r="L65" s="86">
        <v>1.0000000000000064</v>
      </c>
      <c r="V65" s="96">
        <v>7</v>
      </c>
      <c r="W65" s="96">
        <v>54.916666666666664</v>
      </c>
      <c r="X65" s="96">
        <v>0</v>
      </c>
    </row>
    <row r="66" spans="4:31" x14ac:dyDescent="0.35">
      <c r="D66" s="36" t="s">
        <v>85</v>
      </c>
      <c r="E66" s="86">
        <v>1.00000000000001</v>
      </c>
      <c r="F66" s="86">
        <v>7.6648307826065891E-15</v>
      </c>
      <c r="G66" s="86">
        <v>130466024412340.47</v>
      </c>
      <c r="H66" s="86">
        <v>5.8749630925992368E-29</v>
      </c>
      <c r="I66" s="86">
        <v>0.99999999999997702</v>
      </c>
      <c r="J66" s="86">
        <v>1.0000000000000431</v>
      </c>
      <c r="K66" s="86">
        <v>0.99999999999997702</v>
      </c>
      <c r="L66" s="86">
        <v>1.0000000000000431</v>
      </c>
      <c r="O66" s="90"/>
      <c r="P66" s="19"/>
      <c r="Q66" s="19"/>
      <c r="R66" s="19"/>
      <c r="S66" s="19"/>
      <c r="T66" s="19"/>
      <c r="U66" s="19"/>
      <c r="V66" s="96">
        <v>8</v>
      </c>
      <c r="W66" s="96">
        <v>47.816666666666663</v>
      </c>
      <c r="X66" s="96">
        <v>7.1054273576010019E-15</v>
      </c>
      <c r="AE66" s="39"/>
    </row>
    <row r="67" spans="4:31" x14ac:dyDescent="0.35">
      <c r="D67" s="36" t="s">
        <v>86</v>
      </c>
      <c r="E67" s="86">
        <v>1.0000000000001081</v>
      </c>
      <c r="F67" s="86">
        <v>1.2840063040232316E-13</v>
      </c>
      <c r="G67" s="86">
        <v>7788123756610.583</v>
      </c>
      <c r="H67" s="86">
        <v>1.6486721887710433E-26</v>
      </c>
      <c r="I67" s="86">
        <v>0.99999999999955569</v>
      </c>
      <c r="J67" s="86">
        <v>1.0000000000006606</v>
      </c>
      <c r="K67" s="86">
        <v>0.99999999999955569</v>
      </c>
      <c r="L67" s="86">
        <v>1.0000000000006606</v>
      </c>
      <c r="O67" s="12"/>
      <c r="P67" s="14"/>
      <c r="Q67" s="14"/>
      <c r="R67" s="14"/>
      <c r="S67" s="84"/>
      <c r="T67" s="84"/>
      <c r="U67" s="84"/>
      <c r="V67" s="96">
        <v>9</v>
      </c>
      <c r="W67" s="96">
        <v>52.366666666666667</v>
      </c>
      <c r="X67" s="96">
        <v>0</v>
      </c>
      <c r="AE67" s="40"/>
    </row>
    <row r="68" spans="4:31" x14ac:dyDescent="0.35">
      <c r="D68" s="36" t="s">
        <v>87</v>
      </c>
      <c r="E68" s="86">
        <v>1.0000000000000022</v>
      </c>
      <c r="F68" s="86">
        <v>3.3743979104836381E-15</v>
      </c>
      <c r="G68" s="86">
        <v>296349164066627.94</v>
      </c>
      <c r="H68" s="86">
        <v>1.1386561258276294E-29</v>
      </c>
      <c r="I68" s="86">
        <v>0.99999999999998768</v>
      </c>
      <c r="J68" s="86">
        <v>1.0000000000000167</v>
      </c>
      <c r="K68" s="86">
        <v>0.99999999999998768</v>
      </c>
      <c r="L68" s="86">
        <v>1.0000000000000167</v>
      </c>
      <c r="O68" s="12"/>
      <c r="P68" s="14"/>
      <c r="Q68" s="14"/>
      <c r="R68" s="14"/>
      <c r="S68" s="84"/>
      <c r="T68" s="84"/>
      <c r="U68" s="84"/>
      <c r="V68" s="96">
        <v>10</v>
      </c>
      <c r="W68" s="96">
        <v>44.583333333333329</v>
      </c>
      <c r="X68" s="96">
        <v>7.1054273576010019E-15</v>
      </c>
      <c r="AE68" s="40"/>
    </row>
    <row r="69" spans="4:31" x14ac:dyDescent="0.35">
      <c r="D69" s="36" t="s">
        <v>88</v>
      </c>
      <c r="E69" s="86">
        <v>1.0000000000000151</v>
      </c>
      <c r="F69" s="86">
        <v>1.4899955381225489E-14</v>
      </c>
      <c r="G69" s="86">
        <v>67114294936752.172</v>
      </c>
      <c r="H69" s="86">
        <v>2.2200867036250369E-28</v>
      </c>
      <c r="I69" s="86">
        <v>0.99999999999995104</v>
      </c>
      <c r="J69" s="86">
        <v>1.0000000000000793</v>
      </c>
      <c r="K69" s="86">
        <v>0.99999999999995104</v>
      </c>
      <c r="L69" s="86">
        <v>1.0000000000000793</v>
      </c>
      <c r="O69" s="12"/>
      <c r="P69" s="14"/>
      <c r="Q69" s="14"/>
      <c r="R69" s="14"/>
      <c r="S69" s="84"/>
      <c r="T69" s="84"/>
      <c r="U69" s="84"/>
      <c r="V69" s="96">
        <v>11</v>
      </c>
      <c r="W69" s="96">
        <v>44.449999999999989</v>
      </c>
      <c r="X69" s="96">
        <v>7.1054273576010019E-15</v>
      </c>
      <c r="AE69" s="40"/>
    </row>
    <row r="70" spans="4:31" x14ac:dyDescent="0.35">
      <c r="D70" s="36" t="s">
        <v>89</v>
      </c>
      <c r="E70" s="86">
        <v>1.0000000000000111</v>
      </c>
      <c r="F70" s="86">
        <v>1.185959760150487E-14</v>
      </c>
      <c r="G70" s="86">
        <v>84319892934067.234</v>
      </c>
      <c r="H70" s="86">
        <v>1.4065005526961691E-28</v>
      </c>
      <c r="I70" s="86">
        <v>0.99999999999996003</v>
      </c>
      <c r="J70" s="86">
        <v>1.0000000000000622</v>
      </c>
      <c r="K70" s="86">
        <v>0.99999999999996003</v>
      </c>
      <c r="L70" s="86">
        <v>1.0000000000000622</v>
      </c>
      <c r="O70" s="12"/>
      <c r="P70" s="14"/>
      <c r="Q70" s="14"/>
      <c r="R70" s="14"/>
      <c r="S70" s="84"/>
      <c r="T70" s="84"/>
      <c r="U70" s="84"/>
      <c r="V70" s="96">
        <v>12</v>
      </c>
      <c r="W70" s="96">
        <v>45.749999999999993</v>
      </c>
      <c r="X70" s="96">
        <v>7.1054273576010019E-15</v>
      </c>
      <c r="AE70" s="40"/>
    </row>
    <row r="71" spans="4:31" x14ac:dyDescent="0.35">
      <c r="D71" s="36" t="s">
        <v>90</v>
      </c>
      <c r="E71" s="86">
        <v>1.0000000000000084</v>
      </c>
      <c r="F71" s="86">
        <v>8.5194219837141492E-15</v>
      </c>
      <c r="G71" s="86">
        <v>117378855268775.63</v>
      </c>
      <c r="H71" s="86">
        <v>7.2580550936590706E-29</v>
      </c>
      <c r="I71" s="86">
        <v>0.9999999999999718</v>
      </c>
      <c r="J71" s="86">
        <v>1.0000000000000451</v>
      </c>
      <c r="K71" s="86">
        <v>0.9999999999999718</v>
      </c>
      <c r="L71" s="86">
        <v>1.0000000000000451</v>
      </c>
      <c r="O71" s="12"/>
      <c r="P71" s="14"/>
      <c r="Q71" s="14"/>
      <c r="R71" s="14"/>
      <c r="S71" s="84"/>
      <c r="T71" s="84"/>
      <c r="U71" s="84"/>
      <c r="V71" s="96">
        <v>13</v>
      </c>
      <c r="W71" s="96">
        <v>46.266666666666666</v>
      </c>
      <c r="X71" s="96">
        <v>0</v>
      </c>
      <c r="AE71" s="40"/>
    </row>
    <row r="72" spans="4:31" x14ac:dyDescent="0.35">
      <c r="D72" s="36" t="s">
        <v>91</v>
      </c>
      <c r="E72" s="86">
        <v>0.9999999999999466</v>
      </c>
      <c r="F72" s="86">
        <v>4.7757644768350476E-14</v>
      </c>
      <c r="G72" s="86">
        <v>20939056037006.617</v>
      </c>
      <c r="H72" s="86">
        <v>2.2807926338201975E-27</v>
      </c>
      <c r="I72" s="86">
        <v>0.9999999999997411</v>
      </c>
      <c r="J72" s="86">
        <v>1.0000000000001521</v>
      </c>
      <c r="K72" s="86">
        <v>0.9999999999997411</v>
      </c>
      <c r="L72" s="86">
        <v>1.0000000000001521</v>
      </c>
      <c r="O72" s="12"/>
      <c r="P72" s="14"/>
      <c r="Q72" s="14"/>
      <c r="R72" s="14"/>
      <c r="S72" s="84"/>
      <c r="T72" s="84"/>
      <c r="U72" s="84"/>
      <c r="V72" s="96">
        <v>14</v>
      </c>
      <c r="W72" s="96">
        <v>43.816666666666656</v>
      </c>
      <c r="X72" s="96">
        <v>7.1054273576010019E-15</v>
      </c>
      <c r="AE72" s="40"/>
    </row>
    <row r="73" spans="4:31" x14ac:dyDescent="0.35">
      <c r="D73" s="36" t="s">
        <v>92</v>
      </c>
      <c r="E73" s="86">
        <v>0.99999999999999734</v>
      </c>
      <c r="F73" s="86">
        <v>3.812644343924252E-15</v>
      </c>
      <c r="G73" s="86">
        <v>262285151667392.16</v>
      </c>
      <c r="H73" s="86">
        <v>1.4536256893257669E-29</v>
      </c>
      <c r="I73" s="86">
        <v>0.9999999999999809</v>
      </c>
      <c r="J73" s="86">
        <v>1.0000000000000138</v>
      </c>
      <c r="K73" s="86">
        <v>0.9999999999999809</v>
      </c>
      <c r="L73" s="86">
        <v>1.0000000000000138</v>
      </c>
      <c r="O73" s="12"/>
      <c r="P73" s="14"/>
      <c r="Q73" s="14"/>
      <c r="R73" s="14"/>
      <c r="S73" s="84"/>
      <c r="T73" s="84"/>
      <c r="U73" s="84"/>
      <c r="V73" s="96">
        <v>15</v>
      </c>
      <c r="W73" s="96">
        <v>41.716666666666669</v>
      </c>
      <c r="X73" s="96">
        <v>0</v>
      </c>
      <c r="AE73" s="40"/>
    </row>
    <row r="74" spans="4:31" x14ac:dyDescent="0.35">
      <c r="D74" s="36" t="s">
        <v>94</v>
      </c>
      <c r="E74" s="86">
        <v>1.0000000000000158</v>
      </c>
      <c r="F74" s="86">
        <v>1.5053711222853134E-14</v>
      </c>
      <c r="G74" s="86">
        <v>66428801854648.938</v>
      </c>
      <c r="H74" s="86">
        <v>2.2661422158104724E-28</v>
      </c>
      <c r="I74" s="86">
        <v>0.99999999999995104</v>
      </c>
      <c r="J74" s="86">
        <v>1.0000000000000806</v>
      </c>
      <c r="K74" s="86">
        <v>0.99999999999995104</v>
      </c>
      <c r="L74" s="86">
        <v>1.0000000000000806</v>
      </c>
      <c r="O74" s="12"/>
      <c r="P74" s="14"/>
      <c r="Q74" s="14"/>
      <c r="R74" s="14"/>
      <c r="S74" s="84"/>
      <c r="T74" s="84"/>
      <c r="U74" s="84"/>
      <c r="V74" s="96">
        <v>16</v>
      </c>
      <c r="W74" s="96">
        <v>47.716666666666661</v>
      </c>
      <c r="X74" s="96">
        <v>7.1054273576010019E-15</v>
      </c>
      <c r="AE74" s="40"/>
    </row>
    <row r="75" spans="4:31" ht="15" thickBot="1" x14ac:dyDescent="0.4">
      <c r="D75" s="37" t="s">
        <v>95</v>
      </c>
      <c r="E75" s="87">
        <v>0.99999999999997102</v>
      </c>
      <c r="F75" s="87">
        <v>2.227027173839501E-14</v>
      </c>
      <c r="G75" s="87">
        <v>44902909661219.953</v>
      </c>
      <c r="H75" s="87">
        <v>4.9596500330198425E-28</v>
      </c>
      <c r="I75" s="87">
        <v>0.99999999999987521</v>
      </c>
      <c r="J75" s="87">
        <v>1.0000000000000668</v>
      </c>
      <c r="K75" s="87">
        <v>0.99999999999987521</v>
      </c>
      <c r="L75" s="87">
        <v>1.0000000000000668</v>
      </c>
      <c r="O75" s="12"/>
      <c r="P75" s="14"/>
      <c r="Q75" s="14"/>
      <c r="R75" s="14"/>
      <c r="S75" s="84"/>
      <c r="T75" s="84"/>
      <c r="U75" s="84"/>
      <c r="V75" s="97">
        <v>17</v>
      </c>
      <c r="W75" s="97">
        <v>45.033333333333324</v>
      </c>
      <c r="X75" s="97">
        <v>0</v>
      </c>
      <c r="AE75" s="40"/>
    </row>
    <row r="76" spans="4:31" x14ac:dyDescent="0.35">
      <c r="O76" s="12"/>
      <c r="P76" s="14"/>
      <c r="Q76" s="14"/>
      <c r="R76" s="14"/>
      <c r="S76" s="84"/>
      <c r="T76" s="84"/>
      <c r="U76" s="84"/>
      <c r="V76" s="99"/>
      <c r="W76" s="99"/>
      <c r="X76" s="99"/>
      <c r="Y76" s="99"/>
      <c r="Z76" s="99"/>
      <c r="AA76" s="99"/>
      <c r="AB76" s="99"/>
      <c r="AC76" s="99"/>
      <c r="AD76" s="100"/>
      <c r="AE76" s="40"/>
    </row>
    <row r="77" spans="4:31" x14ac:dyDescent="0.35">
      <c r="O77" s="12"/>
      <c r="P77" s="14"/>
      <c r="Q77" s="14"/>
      <c r="R77" s="14"/>
      <c r="S77" s="84"/>
      <c r="T77" s="84"/>
      <c r="U77" s="84"/>
      <c r="V77" s="99"/>
      <c r="W77" s="99"/>
      <c r="X77" s="99"/>
      <c r="Y77" s="99"/>
      <c r="Z77" s="99"/>
      <c r="AA77" s="99"/>
      <c r="AB77" s="99"/>
      <c r="AC77" s="99"/>
      <c r="AD77" s="100"/>
      <c r="AE77" s="40"/>
    </row>
    <row r="78" spans="4:31" x14ac:dyDescent="0.35">
      <c r="O78" s="12"/>
      <c r="P78" s="14"/>
      <c r="Q78" s="14"/>
      <c r="R78" s="14"/>
      <c r="S78" s="84"/>
      <c r="T78" s="84"/>
      <c r="U78" s="84"/>
      <c r="V78" s="99"/>
      <c r="W78" s="99"/>
      <c r="X78" s="99"/>
      <c r="Y78" s="99"/>
      <c r="Z78" s="99"/>
      <c r="AA78" s="99"/>
      <c r="AB78" s="99"/>
      <c r="AC78" s="99"/>
      <c r="AD78" s="100"/>
      <c r="AE78" s="40"/>
    </row>
    <row r="79" spans="4:31" x14ac:dyDescent="0.35">
      <c r="O79" s="12"/>
      <c r="P79" s="14"/>
      <c r="Q79" s="14"/>
      <c r="R79" s="14"/>
      <c r="S79" s="84"/>
      <c r="T79" s="84"/>
      <c r="U79" s="84"/>
      <c r="V79" s="99"/>
      <c r="W79" s="99"/>
      <c r="X79" s="99"/>
      <c r="Y79" s="99"/>
      <c r="Z79" s="99"/>
      <c r="AA79" s="99"/>
      <c r="AB79" s="99"/>
      <c r="AC79" s="99"/>
      <c r="AD79" s="100"/>
      <c r="AE79" s="40"/>
    </row>
    <row r="80" spans="4:31" x14ac:dyDescent="0.35">
      <c r="O80" s="12"/>
      <c r="P80" s="14"/>
      <c r="Q80" s="14"/>
      <c r="R80" s="14"/>
      <c r="S80" s="84"/>
      <c r="T80" s="84"/>
      <c r="U80" s="84"/>
      <c r="V80" s="99"/>
      <c r="W80" s="99"/>
      <c r="X80" s="99"/>
      <c r="Y80" s="99"/>
      <c r="Z80" s="99"/>
      <c r="AA80" s="99"/>
      <c r="AB80" s="99"/>
      <c r="AC80" s="99"/>
      <c r="AD80" s="100"/>
      <c r="AE80" s="40"/>
    </row>
    <row r="81" spans="15:31" x14ac:dyDescent="0.35">
      <c r="O81" s="12"/>
      <c r="P81" s="14"/>
      <c r="Q81" s="14"/>
      <c r="R81" s="14"/>
      <c r="S81" s="84"/>
      <c r="T81" s="84"/>
      <c r="U81" s="84"/>
      <c r="V81" s="99"/>
      <c r="W81" s="99"/>
      <c r="X81" s="99"/>
      <c r="Y81" s="99"/>
      <c r="Z81" s="99"/>
      <c r="AA81" s="99"/>
      <c r="AB81" s="99"/>
      <c r="AC81" s="99"/>
      <c r="AD81" s="100"/>
      <c r="AE81" s="40"/>
    </row>
    <row r="82" spans="15:31" x14ac:dyDescent="0.35">
      <c r="O82" s="12"/>
      <c r="P82" s="14"/>
      <c r="Q82" s="14"/>
      <c r="R82" s="14"/>
      <c r="S82" s="84"/>
      <c r="T82" s="84"/>
      <c r="U82" s="84"/>
      <c r="V82" s="99"/>
      <c r="W82" s="99"/>
      <c r="X82" s="99"/>
      <c r="Y82" s="99"/>
      <c r="Z82" s="99"/>
      <c r="AA82" s="99"/>
      <c r="AB82" s="99"/>
      <c r="AC82" s="99"/>
      <c r="AD82" s="100"/>
      <c r="AE82" s="40"/>
    </row>
    <row r="83" spans="15:31" x14ac:dyDescent="0.35">
      <c r="O83" s="12"/>
      <c r="P83" s="14"/>
      <c r="Q83" s="14"/>
      <c r="R83" s="14"/>
      <c r="S83" s="84"/>
      <c r="T83" s="84"/>
      <c r="U83" s="84"/>
      <c r="V83" s="99"/>
      <c r="W83" s="99"/>
      <c r="X83" s="99"/>
      <c r="Y83" s="99"/>
      <c r="Z83" s="99"/>
      <c r="AA83" s="99"/>
      <c r="AB83" s="99"/>
      <c r="AC83" s="99"/>
      <c r="AD83" s="100"/>
      <c r="AE83" s="40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2D15-9CFE-4B4A-8A4B-E5201D8B0AF8}">
  <dimension ref="A1:AC53"/>
  <sheetViews>
    <sheetView topLeftCell="I5" zoomScale="75" zoomScaleNormal="75" workbookViewId="0">
      <selection activeCell="V32" sqref="V32"/>
    </sheetView>
  </sheetViews>
  <sheetFormatPr defaultRowHeight="14.5" x14ac:dyDescent="0.35"/>
  <cols>
    <col min="2" max="2" width="11.453125" customWidth="1"/>
    <col min="3" max="3" width="13.36328125" hidden="1" customWidth="1"/>
    <col min="4" max="4" width="14.08984375" hidden="1" customWidth="1"/>
    <col min="5" max="5" width="13.453125" hidden="1" customWidth="1"/>
    <col min="6" max="6" width="14.54296875" customWidth="1"/>
    <col min="7" max="7" width="17.81640625" customWidth="1"/>
    <col min="8" max="8" width="13.1796875" bestFit="1" customWidth="1"/>
    <col min="9" max="9" width="15.90625" bestFit="1" customWidth="1"/>
    <col min="10" max="10" width="14" customWidth="1"/>
    <col min="11" max="11" width="11.7265625" customWidth="1"/>
    <col min="12" max="12" width="12.26953125" customWidth="1"/>
    <col min="13" max="13" width="13.26953125" customWidth="1"/>
    <col min="14" max="14" width="12.08984375" customWidth="1"/>
    <col min="15" max="15" width="11.7265625" hidden="1" customWidth="1"/>
    <col min="16" max="16" width="0" hidden="1" customWidth="1"/>
    <col min="17" max="17" width="2.08984375" hidden="1" customWidth="1"/>
    <col min="18" max="18" width="17.90625" bestFit="1" customWidth="1"/>
    <col min="19" max="19" width="13.1796875" bestFit="1" customWidth="1"/>
    <col min="21" max="21" width="18.54296875" bestFit="1" customWidth="1"/>
    <col min="22" max="22" width="19.36328125" bestFit="1" customWidth="1"/>
    <col min="23" max="23" width="14.26953125" bestFit="1" customWidth="1"/>
    <col min="24" max="24" width="15.81640625" customWidth="1"/>
    <col min="25" max="25" width="13.1796875" bestFit="1" customWidth="1"/>
    <col min="26" max="26" width="13.7265625" bestFit="1" customWidth="1"/>
    <col min="27" max="27" width="13.1796875" bestFit="1" customWidth="1"/>
    <col min="28" max="28" width="13.7265625" bestFit="1" customWidth="1"/>
    <col min="29" max="29" width="13.1796875" bestFit="1" customWidth="1"/>
  </cols>
  <sheetData>
    <row r="1" spans="1:26" x14ac:dyDescent="0.35">
      <c r="A1" t="s">
        <v>83</v>
      </c>
    </row>
    <row r="2" spans="1:26" x14ac:dyDescent="0.35">
      <c r="A2" s="83"/>
      <c r="B2" s="83"/>
      <c r="C2" s="19" t="s">
        <v>93</v>
      </c>
      <c r="D2" s="19" t="s">
        <v>123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94</v>
      </c>
      <c r="O2" s="19" t="s">
        <v>95</v>
      </c>
      <c r="P2" s="19" t="s">
        <v>124</v>
      </c>
      <c r="Q2" s="19"/>
      <c r="R2" s="39"/>
    </row>
    <row r="3" spans="1:26" ht="24.5" customHeight="1" x14ac:dyDescent="0.35">
      <c r="A3" s="83"/>
      <c r="B3" s="83" t="s">
        <v>0</v>
      </c>
      <c r="C3" s="19" t="s">
        <v>12</v>
      </c>
      <c r="D3" s="19" t="s">
        <v>13</v>
      </c>
      <c r="E3" s="19" t="s">
        <v>71</v>
      </c>
      <c r="F3" s="19" t="s">
        <v>1</v>
      </c>
      <c r="G3" s="19" t="s">
        <v>15</v>
      </c>
      <c r="H3" s="19" t="s">
        <v>14</v>
      </c>
      <c r="I3" s="19" t="s">
        <v>2</v>
      </c>
      <c r="J3" s="19" t="s">
        <v>3</v>
      </c>
      <c r="K3" s="83" t="s">
        <v>4</v>
      </c>
      <c r="L3" s="83" t="s">
        <v>5</v>
      </c>
      <c r="M3" s="83" t="s">
        <v>6</v>
      </c>
      <c r="N3" s="83" t="s">
        <v>7</v>
      </c>
      <c r="O3" s="83" t="s">
        <v>8</v>
      </c>
      <c r="P3" s="83" t="s">
        <v>9</v>
      </c>
      <c r="Q3" s="19" t="s">
        <v>11</v>
      </c>
      <c r="R3" s="39" t="s">
        <v>45</v>
      </c>
    </row>
    <row r="4" spans="1:26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3.1712962962962958E-3</v>
      </c>
      <c r="N4" s="5">
        <v>2.7777777777777779E-3</v>
      </c>
      <c r="O4" s="5">
        <v>7.1874999999999994E-3</v>
      </c>
      <c r="P4" s="5">
        <v>1.3888888888888889E-3</v>
      </c>
      <c r="Q4" s="15">
        <f t="shared" ref="Q4:Q17" si="0">SUM(F4:P4)</f>
        <v>3.4652777777777775E-2</v>
      </c>
      <c r="R4" s="40">
        <f t="shared" ref="R4:R20" si="1">Q4*1440</f>
        <v>49.9</v>
      </c>
    </row>
    <row r="5" spans="1:26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3.37962962962963E-3</v>
      </c>
      <c r="N5" s="5">
        <v>4.4212962962962956E-3</v>
      </c>
      <c r="O5" s="5">
        <v>7.1527777777777787E-3</v>
      </c>
      <c r="P5" s="5">
        <v>1.5046296296296294E-3</v>
      </c>
      <c r="Q5" s="15">
        <f t="shared" si="0"/>
        <v>4.0092592592592589E-2</v>
      </c>
      <c r="R5" s="40">
        <f t="shared" si="1"/>
        <v>57.733333333333327</v>
      </c>
      <c r="U5" t="s">
        <v>98</v>
      </c>
    </row>
    <row r="6" spans="1:26" ht="15" thickBot="1" x14ac:dyDescent="0.4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3.6111111111111114E-3</v>
      </c>
      <c r="N6" s="5">
        <v>2.0833333333333333E-3</v>
      </c>
      <c r="O6" s="5">
        <v>7.6388888888888886E-3</v>
      </c>
      <c r="P6" s="5">
        <v>2.0833333333333333E-3</v>
      </c>
      <c r="Q6" s="15">
        <f t="shared" si="0"/>
        <v>3.8344907407407404E-2</v>
      </c>
      <c r="R6" s="40">
        <f t="shared" si="1"/>
        <v>55.216666666666661</v>
      </c>
    </row>
    <row r="7" spans="1:26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2.3611111111111111E-3</v>
      </c>
      <c r="N7" s="5">
        <v>3.1712962962962958E-3</v>
      </c>
      <c r="O7" s="5">
        <v>5.7638888888888887E-3</v>
      </c>
      <c r="P7" s="5">
        <v>1.8055555555555557E-3</v>
      </c>
      <c r="Q7" s="15">
        <f t="shared" si="0"/>
        <v>3.0740740740740746E-2</v>
      </c>
      <c r="R7" s="40">
        <f t="shared" si="1"/>
        <v>44.266666666666673</v>
      </c>
      <c r="U7" s="38" t="s">
        <v>99</v>
      </c>
      <c r="V7" s="38"/>
    </row>
    <row r="8" spans="1:26" x14ac:dyDescent="0.35">
      <c r="A8" s="11">
        <v>5</v>
      </c>
      <c r="B8" s="12">
        <v>43387</v>
      </c>
      <c r="C8" s="14">
        <v>1</v>
      </c>
      <c r="D8" s="14">
        <v>1</v>
      </c>
      <c r="E8" s="14">
        <v>0</v>
      </c>
      <c r="F8" s="5">
        <v>7.743055555555556E-3</v>
      </c>
      <c r="G8" s="5">
        <v>3.9236111111111112E-3</v>
      </c>
      <c r="H8" s="5">
        <v>0</v>
      </c>
      <c r="I8" s="5">
        <v>2.9976851851851848E-3</v>
      </c>
      <c r="J8" s="5">
        <v>5.138888888888889E-3</v>
      </c>
      <c r="K8" s="5">
        <v>2.2453703703703702E-3</v>
      </c>
      <c r="L8" s="5">
        <v>4.2939814814814811E-3</v>
      </c>
      <c r="M8" s="5">
        <v>5.5671296296296302E-3</v>
      </c>
      <c r="N8" s="5">
        <v>4.2361111111111106E-3</v>
      </c>
      <c r="O8" s="5">
        <v>9.7222222222222224E-3</v>
      </c>
      <c r="P8" s="5">
        <v>7.9861111111111105E-4</v>
      </c>
      <c r="Q8" s="15">
        <f t="shared" si="0"/>
        <v>4.6666666666666669E-2</v>
      </c>
      <c r="R8" s="40">
        <f t="shared" si="1"/>
        <v>67.2</v>
      </c>
      <c r="U8" s="36" t="s">
        <v>100</v>
      </c>
      <c r="V8" s="36">
        <v>0.9838465524719745</v>
      </c>
    </row>
    <row r="9" spans="1:26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2.7777777777777779E-3</v>
      </c>
      <c r="O9" s="5">
        <v>5.5671296296296302E-3</v>
      </c>
      <c r="P9" s="5">
        <v>2.2106481481481478E-3</v>
      </c>
      <c r="Q9" s="15">
        <f t="shared" si="0"/>
        <v>3.4444444444444444E-2</v>
      </c>
      <c r="R9" s="40">
        <f t="shared" si="1"/>
        <v>49.6</v>
      </c>
      <c r="U9" s="36" t="s">
        <v>101</v>
      </c>
      <c r="V9" s="36">
        <v>0.96795403881098974</v>
      </c>
      <c r="X9" t="s">
        <v>130</v>
      </c>
    </row>
    <row r="10" spans="1:26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3.5995370370370369E-3</v>
      </c>
      <c r="N10" s="5">
        <v>7.0254629629629634E-3</v>
      </c>
      <c r="O10" s="5">
        <v>6.2499999999999995E-3</v>
      </c>
      <c r="P10" s="5">
        <v>1.3888888888888889E-3</v>
      </c>
      <c r="Q10" s="15">
        <f t="shared" si="0"/>
        <v>4.1736111111111113E-2</v>
      </c>
      <c r="R10" s="40">
        <f t="shared" si="1"/>
        <v>60.1</v>
      </c>
      <c r="U10" s="92" t="s">
        <v>102</v>
      </c>
      <c r="V10" s="92">
        <v>0.9267520887108337</v>
      </c>
    </row>
    <row r="11" spans="1:26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3.0439814814814821E-3</v>
      </c>
      <c r="N11" s="5">
        <v>4.31712962962963E-3</v>
      </c>
      <c r="O11" s="5">
        <v>4.1666666666666666E-3</v>
      </c>
      <c r="P11" s="5">
        <v>1.4467592592592594E-3</v>
      </c>
      <c r="Q11" s="15">
        <f t="shared" si="0"/>
        <v>3.6249999999999998E-2</v>
      </c>
      <c r="R11" s="40">
        <f t="shared" si="1"/>
        <v>52.199999999999996</v>
      </c>
      <c r="U11" s="36" t="s">
        <v>23</v>
      </c>
      <c r="V11" s="36">
        <v>1.528310608125744</v>
      </c>
    </row>
    <row r="12" spans="1:26" ht="15" thickBot="1" x14ac:dyDescent="0.4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2.8703703703703708E-3</v>
      </c>
      <c r="N12" s="5">
        <v>6.4236111111111117E-3</v>
      </c>
      <c r="O12" s="5">
        <v>5.0000000000000001E-3</v>
      </c>
      <c r="P12" s="5">
        <v>1.6435185185185183E-3</v>
      </c>
      <c r="Q12" s="15">
        <f t="shared" si="0"/>
        <v>3.9236111111111104E-2</v>
      </c>
      <c r="R12" s="40">
        <f t="shared" si="1"/>
        <v>56.499999999999986</v>
      </c>
      <c r="U12" s="37" t="s">
        <v>103</v>
      </c>
      <c r="V12" s="37">
        <v>17</v>
      </c>
    </row>
    <row r="13" spans="1:26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2.9398148148148148E-3</v>
      </c>
      <c r="N13" s="5">
        <v>3.472222222222222E-3</v>
      </c>
      <c r="O13" s="5">
        <v>5.5555555555555558E-3</v>
      </c>
      <c r="P13" s="5">
        <v>1.3888888888888889E-3</v>
      </c>
      <c r="Q13" s="15">
        <f t="shared" si="0"/>
        <v>3.3900462962962966E-2</v>
      </c>
      <c r="R13" s="40">
        <f t="shared" si="1"/>
        <v>48.81666666666667</v>
      </c>
    </row>
    <row r="14" spans="1:26" ht="15" thickBot="1" x14ac:dyDescent="0.4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3.2638888888888891E-3</v>
      </c>
      <c r="N14" s="5">
        <v>2.8124999999999995E-3</v>
      </c>
      <c r="O14" s="5">
        <v>5.6018518518518518E-3</v>
      </c>
      <c r="P14" s="5">
        <v>1.4699074074074074E-3</v>
      </c>
      <c r="Q14" s="15">
        <f t="shared" si="0"/>
        <v>3.4131944444444444E-2</v>
      </c>
      <c r="R14" s="40">
        <f t="shared" si="1"/>
        <v>49.15</v>
      </c>
      <c r="U14" t="s">
        <v>104</v>
      </c>
    </row>
    <row r="15" spans="1:26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2.7430555555555559E-3</v>
      </c>
      <c r="N15" s="5">
        <v>5.185185185185185E-3</v>
      </c>
      <c r="O15" s="5">
        <v>4.8611111111111112E-3</v>
      </c>
      <c r="P15" s="5">
        <v>2.0833333333333333E-3</v>
      </c>
      <c r="Q15" s="15">
        <f t="shared" si="0"/>
        <v>3.4513888888888886E-2</v>
      </c>
      <c r="R15" s="40">
        <f t="shared" si="1"/>
        <v>49.699999999999996</v>
      </c>
      <c r="U15" s="85"/>
      <c r="V15" s="85" t="s">
        <v>108</v>
      </c>
      <c r="W15" s="85" t="s">
        <v>109</v>
      </c>
      <c r="X15" s="85" t="s">
        <v>110</v>
      </c>
      <c r="Y15" s="85" t="s">
        <v>111</v>
      </c>
      <c r="Z15" s="85" t="s">
        <v>112</v>
      </c>
    </row>
    <row r="16" spans="1:26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2.9166666666666668E-3</v>
      </c>
      <c r="N16" s="5">
        <v>3.1597222222222222E-3</v>
      </c>
      <c r="O16" s="5">
        <v>6.2499999999999995E-3</v>
      </c>
      <c r="P16" s="5">
        <v>2.4305555555555556E-3</v>
      </c>
      <c r="Q16" s="15">
        <f t="shared" si="0"/>
        <v>3.5046296296296298E-2</v>
      </c>
      <c r="R16" s="40">
        <f t="shared" si="1"/>
        <v>50.466666666666669</v>
      </c>
      <c r="U16" s="36" t="s">
        <v>105</v>
      </c>
      <c r="V16" s="36">
        <v>9</v>
      </c>
      <c r="W16" s="36">
        <v>493.85872300478275</v>
      </c>
      <c r="X16" s="36">
        <v>54.873191444975859</v>
      </c>
      <c r="Y16" s="36">
        <v>23.492918089023231</v>
      </c>
      <c r="Z16" s="105">
        <v>2.0093097965145795E-4</v>
      </c>
    </row>
    <row r="17" spans="1:29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3.472222222222222E-3</v>
      </c>
      <c r="O17" s="5">
        <v>6.1111111111111114E-3</v>
      </c>
      <c r="P17" s="5">
        <v>1.3888888888888889E-3</v>
      </c>
      <c r="Q17" s="15">
        <f t="shared" si="0"/>
        <v>3.3900462962962966E-2</v>
      </c>
      <c r="R17" s="40">
        <f t="shared" si="1"/>
        <v>48.81666666666667</v>
      </c>
      <c r="U17" s="36" t="s">
        <v>106</v>
      </c>
      <c r="V17" s="36">
        <v>7</v>
      </c>
      <c r="W17" s="36">
        <v>16.350133204367772</v>
      </c>
      <c r="X17" s="36">
        <v>2.3357333149096817</v>
      </c>
      <c r="Y17" s="36"/>
      <c r="Z17" s="36"/>
    </row>
    <row r="18" spans="1:29" ht="15" thickBot="1" x14ac:dyDescent="0.4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3.0092592592592588E-3</v>
      </c>
      <c r="N18" s="5">
        <v>2.9282407407407412E-3</v>
      </c>
      <c r="O18" s="5">
        <v>5.4398148148148149E-3</v>
      </c>
      <c r="P18" s="5">
        <v>1.2152777777777778E-3</v>
      </c>
      <c r="Q18" s="15">
        <f t="shared" ref="Q18:Q20" si="2">SUM(F18:P18)</f>
        <v>3.197916666666667E-2</v>
      </c>
      <c r="R18" s="40">
        <f t="shared" si="1"/>
        <v>46.050000000000004</v>
      </c>
      <c r="U18" s="37" t="s">
        <v>70</v>
      </c>
      <c r="V18" s="37">
        <v>16</v>
      </c>
      <c r="W18" s="37">
        <v>510.2088562091505</v>
      </c>
      <c r="X18" s="37"/>
      <c r="Y18" s="37"/>
      <c r="Z18" s="37"/>
    </row>
    <row r="19" spans="1:29" ht="15" thickBot="1" x14ac:dyDescent="0.4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3.4953703703703705E-3</v>
      </c>
      <c r="N19" s="5">
        <v>4.6296296296296302E-3</v>
      </c>
      <c r="O19" s="5">
        <v>5.8101851851851856E-3</v>
      </c>
      <c r="P19" s="5">
        <v>1.4814814814814814E-3</v>
      </c>
      <c r="Q19" s="15">
        <f t="shared" si="2"/>
        <v>3.6631944444444446E-2</v>
      </c>
      <c r="R19" s="40">
        <f t="shared" si="1"/>
        <v>52.75</v>
      </c>
    </row>
    <row r="20" spans="1:29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2.7777777777777779E-3</v>
      </c>
      <c r="O20" s="5">
        <v>5.4976851851851853E-3</v>
      </c>
      <c r="P20" s="5">
        <v>2.7777777777777779E-3</v>
      </c>
      <c r="Q20" s="15">
        <f t="shared" si="2"/>
        <v>3.4050925925925922E-2</v>
      </c>
      <c r="R20" s="40">
        <f t="shared" si="1"/>
        <v>49.033333333333324</v>
      </c>
      <c r="U20" s="85"/>
      <c r="V20" s="85" t="s">
        <v>113</v>
      </c>
      <c r="W20" s="85" t="s">
        <v>23</v>
      </c>
      <c r="X20" s="85" t="s">
        <v>114</v>
      </c>
      <c r="Y20" s="85" t="s">
        <v>115</v>
      </c>
      <c r="Z20" s="85" t="s">
        <v>116</v>
      </c>
      <c r="AA20" s="85" t="s">
        <v>117</v>
      </c>
      <c r="AB20" s="85" t="s">
        <v>118</v>
      </c>
      <c r="AC20" s="85" t="s">
        <v>119</v>
      </c>
    </row>
    <row r="21" spans="1:29" x14ac:dyDescent="0.35">
      <c r="U21" s="36" t="s">
        <v>107</v>
      </c>
      <c r="V21" s="36">
        <v>8.6931387752464921</v>
      </c>
      <c r="W21" s="36">
        <v>7.324282449569278</v>
      </c>
      <c r="X21" s="36">
        <v>1.186892891570247</v>
      </c>
      <c r="Y21" s="36">
        <v>0.27398303149240932</v>
      </c>
      <c r="Z21" s="36">
        <v>-8.6260371305204302</v>
      </c>
      <c r="AA21" s="36">
        <v>26.012314681013414</v>
      </c>
      <c r="AB21" s="36">
        <v>-8.6260371305204302</v>
      </c>
      <c r="AC21" s="36">
        <v>26.012314681013414</v>
      </c>
    </row>
    <row r="22" spans="1:29" ht="14" customHeight="1" x14ac:dyDescent="0.35">
      <c r="B22" s="83"/>
      <c r="C22" s="19" t="s">
        <v>93</v>
      </c>
      <c r="D22" s="19" t="s">
        <v>123</v>
      </c>
      <c r="E22" s="19" t="s">
        <v>84</v>
      </c>
      <c r="F22" s="19" t="s">
        <v>1</v>
      </c>
      <c r="G22" s="19" t="s">
        <v>15</v>
      </c>
      <c r="H22" s="19" t="s">
        <v>14</v>
      </c>
      <c r="I22" s="19" t="s">
        <v>2</v>
      </c>
      <c r="J22" s="19" t="s">
        <v>3</v>
      </c>
      <c r="K22" s="90" t="s">
        <v>4</v>
      </c>
      <c r="L22" s="90" t="s">
        <v>5</v>
      </c>
      <c r="M22" s="90" t="s">
        <v>6</v>
      </c>
      <c r="N22" s="90" t="s">
        <v>7</v>
      </c>
      <c r="O22" s="19" t="s">
        <v>94</v>
      </c>
      <c r="P22" s="19" t="s">
        <v>95</v>
      </c>
      <c r="Q22" s="19"/>
      <c r="R22" s="39" t="s">
        <v>96</v>
      </c>
      <c r="T22" s="109" t="s">
        <v>85</v>
      </c>
      <c r="U22" s="36" t="s">
        <v>1</v>
      </c>
      <c r="V22" s="36">
        <v>1.239780705066333</v>
      </c>
      <c r="W22" s="36">
        <v>0.44901410358447608</v>
      </c>
      <c r="X22" s="36">
        <v>2.7611175131675672</v>
      </c>
      <c r="Y22" s="92">
        <v>2.8050768111252233E-2</v>
      </c>
      <c r="Z22" s="36">
        <v>0.17803106642328603</v>
      </c>
      <c r="AA22" s="36">
        <v>2.3015303437093797</v>
      </c>
      <c r="AB22" s="36">
        <v>0.17803106642328603</v>
      </c>
      <c r="AC22" s="36">
        <v>2.3015303437093797</v>
      </c>
    </row>
    <row r="23" spans="1:29" x14ac:dyDescent="0.35">
      <c r="A23">
        <v>1</v>
      </c>
      <c r="B23" s="12">
        <v>43380</v>
      </c>
      <c r="C23" s="14">
        <v>1</v>
      </c>
      <c r="D23" s="14">
        <v>0</v>
      </c>
      <c r="E23" s="14">
        <v>1</v>
      </c>
      <c r="F23" s="84">
        <f t="shared" ref="F23:P38" si="3">F4*1440</f>
        <v>9.0333333333333332</v>
      </c>
      <c r="G23" s="84">
        <f t="shared" si="3"/>
        <v>0</v>
      </c>
      <c r="H23" s="84">
        <f t="shared" si="3"/>
        <v>0.5</v>
      </c>
      <c r="I23" s="84">
        <f t="shared" si="3"/>
        <v>6</v>
      </c>
      <c r="J23" s="84">
        <f t="shared" si="3"/>
        <v>5</v>
      </c>
      <c r="K23" s="84">
        <f t="shared" si="3"/>
        <v>2.25</v>
      </c>
      <c r="L23" s="84">
        <f t="shared" si="3"/>
        <v>6.2</v>
      </c>
      <c r="M23" s="84">
        <f t="shared" si="3"/>
        <v>4.5666666666666655</v>
      </c>
      <c r="N23" s="84">
        <f t="shared" si="3"/>
        <v>4</v>
      </c>
      <c r="O23" s="84">
        <f t="shared" si="3"/>
        <v>10.35</v>
      </c>
      <c r="P23" s="84">
        <f t="shared" si="3"/>
        <v>2</v>
      </c>
      <c r="Q23" s="15">
        <f>SUM(F23:P23)</f>
        <v>49.9</v>
      </c>
      <c r="R23" s="40">
        <f t="shared" ref="R23:R39" si="4">SUM(F23:P23)</f>
        <v>49.9</v>
      </c>
      <c r="S23" s="88"/>
      <c r="T23" s="110" t="s">
        <v>86</v>
      </c>
      <c r="U23" s="36" t="s">
        <v>15</v>
      </c>
      <c r="V23" s="36">
        <v>1.2631251835440043</v>
      </c>
      <c r="W23" s="36">
        <v>0.56491033519218559</v>
      </c>
      <c r="X23" s="36">
        <v>2.2359746403193035</v>
      </c>
      <c r="Y23" s="93">
        <v>6.043574228861856E-2</v>
      </c>
      <c r="Z23" s="36">
        <v>-7.2675495026846892E-2</v>
      </c>
      <c r="AA23" s="36">
        <v>2.5989258621148554</v>
      </c>
      <c r="AB23" s="36">
        <v>-7.2675495026846892E-2</v>
      </c>
      <c r="AC23" s="36">
        <v>2.5989258621148554</v>
      </c>
    </row>
    <row r="24" spans="1:29" x14ac:dyDescent="0.35">
      <c r="A24">
        <v>2</v>
      </c>
      <c r="B24" s="12">
        <v>43382</v>
      </c>
      <c r="C24" s="14">
        <v>0</v>
      </c>
      <c r="D24" s="14">
        <v>0</v>
      </c>
      <c r="E24" s="14">
        <v>0</v>
      </c>
      <c r="F24" s="84">
        <f t="shared" si="3"/>
        <v>10</v>
      </c>
      <c r="G24" s="84">
        <f t="shared" si="3"/>
        <v>5</v>
      </c>
      <c r="H24" s="84">
        <f t="shared" si="3"/>
        <v>0</v>
      </c>
      <c r="I24" s="84">
        <f t="shared" si="3"/>
        <v>8.0333333333333332</v>
      </c>
      <c r="J24" s="84">
        <f t="shared" si="3"/>
        <v>4</v>
      </c>
      <c r="K24" s="84">
        <f t="shared" si="3"/>
        <v>3</v>
      </c>
      <c r="L24" s="84">
        <f t="shared" si="3"/>
        <v>4</v>
      </c>
      <c r="M24" s="84">
        <f t="shared" si="3"/>
        <v>4.8666666666666671</v>
      </c>
      <c r="N24" s="84">
        <f t="shared" si="3"/>
        <v>6.3666666666666654</v>
      </c>
      <c r="O24" s="84">
        <f t="shared" si="3"/>
        <v>10.3</v>
      </c>
      <c r="P24" s="84">
        <f t="shared" si="3"/>
        <v>2.1666666666666665</v>
      </c>
      <c r="Q24" s="15">
        <f t="shared" ref="Q24:Q39" si="5">SUM(F24:P24)</f>
        <v>57.733333333333327</v>
      </c>
      <c r="R24" s="40">
        <f t="shared" si="4"/>
        <v>57.733333333333327</v>
      </c>
      <c r="S24" s="88"/>
      <c r="T24" s="110" t="s">
        <v>87</v>
      </c>
      <c r="U24" s="36" t="s">
        <v>14</v>
      </c>
      <c r="V24" s="36">
        <v>2.4606570857463796</v>
      </c>
      <c r="W24" s="36">
        <v>3.046746860051488</v>
      </c>
      <c r="X24" s="36">
        <v>0.80763424031387898</v>
      </c>
      <c r="Y24" s="36">
        <v>0.44587342251392481</v>
      </c>
      <c r="Z24" s="36">
        <v>-4.7437544279955368</v>
      </c>
      <c r="AA24" s="36">
        <v>9.665068599488297</v>
      </c>
      <c r="AB24" s="36">
        <v>-4.7437544279955368</v>
      </c>
      <c r="AC24" s="36">
        <v>9.665068599488297</v>
      </c>
    </row>
    <row r="25" spans="1:29" x14ac:dyDescent="0.35">
      <c r="A25">
        <v>3</v>
      </c>
      <c r="B25" s="12">
        <v>43383</v>
      </c>
      <c r="C25" s="14">
        <v>0</v>
      </c>
      <c r="D25" s="14">
        <v>1</v>
      </c>
      <c r="E25" s="14">
        <v>0</v>
      </c>
      <c r="F25" s="84">
        <f t="shared" si="3"/>
        <v>7.2166666666666659</v>
      </c>
      <c r="G25" s="84">
        <f t="shared" si="3"/>
        <v>6.2833333333333332</v>
      </c>
      <c r="H25" s="84">
        <f t="shared" si="3"/>
        <v>0</v>
      </c>
      <c r="I25" s="84">
        <f t="shared" si="3"/>
        <v>7.7333333333333325</v>
      </c>
      <c r="J25" s="84">
        <f t="shared" si="3"/>
        <v>4</v>
      </c>
      <c r="K25" s="84">
        <f t="shared" si="3"/>
        <v>1.9166666666666665</v>
      </c>
      <c r="L25" s="84">
        <f t="shared" si="3"/>
        <v>5.8666666666666671</v>
      </c>
      <c r="M25" s="84">
        <f t="shared" si="3"/>
        <v>5.2</v>
      </c>
      <c r="N25" s="84">
        <f t="shared" si="3"/>
        <v>3</v>
      </c>
      <c r="O25" s="84">
        <f t="shared" si="3"/>
        <v>11</v>
      </c>
      <c r="P25" s="84">
        <f t="shared" si="3"/>
        <v>3</v>
      </c>
      <c r="Q25" s="15">
        <f t="shared" si="5"/>
        <v>55.216666666666669</v>
      </c>
      <c r="R25" s="40">
        <f t="shared" si="4"/>
        <v>55.216666666666669</v>
      </c>
      <c r="S25" s="88"/>
      <c r="T25" s="110" t="s">
        <v>88</v>
      </c>
      <c r="U25" s="36" t="s">
        <v>2</v>
      </c>
      <c r="V25" s="36">
        <v>0.9268011878007002</v>
      </c>
      <c r="W25" s="36">
        <v>0.42459073466476288</v>
      </c>
      <c r="X25" s="36">
        <v>2.1828106742189259</v>
      </c>
      <c r="Y25" s="103">
        <v>6.5368898339622256E-2</v>
      </c>
      <c r="Z25" s="36">
        <v>-7.7196360389195529E-2</v>
      </c>
      <c r="AA25" s="36">
        <v>1.9307987359905958</v>
      </c>
      <c r="AB25" s="36">
        <v>-7.7196360389195529E-2</v>
      </c>
      <c r="AC25" s="36">
        <v>1.9307987359905958</v>
      </c>
    </row>
    <row r="26" spans="1:29" x14ac:dyDescent="0.35">
      <c r="A26">
        <v>4</v>
      </c>
      <c r="B26" s="12">
        <v>43386</v>
      </c>
      <c r="C26" s="14">
        <v>1</v>
      </c>
      <c r="D26" s="14">
        <v>1</v>
      </c>
      <c r="E26" s="14">
        <v>1</v>
      </c>
      <c r="F26" s="84">
        <f t="shared" si="3"/>
        <v>7.333333333333333</v>
      </c>
      <c r="G26" s="84">
        <f t="shared" si="3"/>
        <v>0</v>
      </c>
      <c r="H26" s="84">
        <f t="shared" si="3"/>
        <v>0.68333333333333335</v>
      </c>
      <c r="I26" s="84">
        <f t="shared" si="3"/>
        <v>6.4666666666666659</v>
      </c>
      <c r="J26" s="84">
        <f t="shared" si="3"/>
        <v>2.95</v>
      </c>
      <c r="K26" s="84">
        <f t="shared" si="3"/>
        <v>2.1666666666666665</v>
      </c>
      <c r="L26" s="84">
        <f t="shared" si="3"/>
        <v>5.8</v>
      </c>
      <c r="M26" s="84">
        <f t="shared" si="3"/>
        <v>3.4</v>
      </c>
      <c r="N26" s="84">
        <f t="shared" si="3"/>
        <v>4.5666666666666655</v>
      </c>
      <c r="O26" s="84">
        <f t="shared" si="3"/>
        <v>8.2999999999999989</v>
      </c>
      <c r="P26" s="84">
        <f t="shared" si="3"/>
        <v>2.6</v>
      </c>
      <c r="Q26" s="15">
        <f t="shared" si="5"/>
        <v>44.266666666666659</v>
      </c>
      <c r="R26" s="40">
        <f t="shared" si="4"/>
        <v>44.266666666666659</v>
      </c>
      <c r="S26" s="88"/>
      <c r="T26" s="110" t="s">
        <v>89</v>
      </c>
      <c r="U26" s="36" t="s">
        <v>3</v>
      </c>
      <c r="V26" s="36">
        <v>1.0274403542449497</v>
      </c>
      <c r="W26" s="36">
        <v>0.48425984288195917</v>
      </c>
      <c r="X26" s="36">
        <v>2.121671597071479</v>
      </c>
      <c r="Y26" s="103">
        <v>7.1544681873514662E-2</v>
      </c>
      <c r="Z26" s="36">
        <v>-0.11765221430624262</v>
      </c>
      <c r="AA26" s="36">
        <v>2.1725329227961421</v>
      </c>
      <c r="AB26" s="36">
        <v>-0.11765221430624262</v>
      </c>
      <c r="AC26" s="36">
        <v>2.1725329227961421</v>
      </c>
    </row>
    <row r="27" spans="1:29" x14ac:dyDescent="0.35">
      <c r="A27">
        <v>5</v>
      </c>
      <c r="B27" s="12">
        <v>43387</v>
      </c>
      <c r="C27" s="14">
        <v>1</v>
      </c>
      <c r="D27" s="14">
        <v>1</v>
      </c>
      <c r="E27" s="14">
        <v>0</v>
      </c>
      <c r="F27" s="84">
        <f t="shared" si="3"/>
        <v>11.15</v>
      </c>
      <c r="G27" s="84">
        <f t="shared" si="3"/>
        <v>5.65</v>
      </c>
      <c r="H27" s="84">
        <f t="shared" si="3"/>
        <v>0</v>
      </c>
      <c r="I27" s="84">
        <f t="shared" si="3"/>
        <v>4.3166666666666664</v>
      </c>
      <c r="J27" s="84">
        <f t="shared" si="3"/>
        <v>7.4</v>
      </c>
      <c r="K27" s="84">
        <f t="shared" si="3"/>
        <v>3.2333333333333329</v>
      </c>
      <c r="L27" s="84">
        <f t="shared" si="3"/>
        <v>6.1833333333333327</v>
      </c>
      <c r="M27" s="84">
        <f t="shared" si="3"/>
        <v>8.0166666666666675</v>
      </c>
      <c r="N27" s="84">
        <f t="shared" si="3"/>
        <v>6.1</v>
      </c>
      <c r="O27" s="84">
        <f t="shared" si="3"/>
        <v>14</v>
      </c>
      <c r="P27" s="84">
        <f t="shared" si="3"/>
        <v>1.1499999999999999</v>
      </c>
      <c r="Q27" s="15">
        <f t="shared" si="5"/>
        <v>67.2</v>
      </c>
      <c r="R27" s="40">
        <f t="shared" si="4"/>
        <v>67.2</v>
      </c>
      <c r="S27" s="88"/>
      <c r="T27" s="110" t="s">
        <v>90</v>
      </c>
      <c r="U27" s="36" t="s">
        <v>4</v>
      </c>
      <c r="V27" s="36">
        <v>0.55583905875873529</v>
      </c>
      <c r="W27" s="36">
        <v>0.63923443525503054</v>
      </c>
      <c r="X27" s="36">
        <v>0.86953866704157823</v>
      </c>
      <c r="Y27" s="36">
        <v>0.41337233993419276</v>
      </c>
      <c r="Z27" s="36">
        <v>-0.95571018929852791</v>
      </c>
      <c r="AA27" s="36">
        <v>2.0673883068159986</v>
      </c>
      <c r="AB27" s="36">
        <v>-0.95571018929852791</v>
      </c>
      <c r="AC27" s="36">
        <v>2.0673883068159986</v>
      </c>
    </row>
    <row r="28" spans="1:29" x14ac:dyDescent="0.35">
      <c r="A28">
        <v>6</v>
      </c>
      <c r="B28" s="12">
        <v>43389</v>
      </c>
      <c r="C28" s="14">
        <v>0</v>
      </c>
      <c r="D28" s="14">
        <v>0</v>
      </c>
      <c r="E28" s="14">
        <v>0</v>
      </c>
      <c r="F28" s="84">
        <f t="shared" si="3"/>
        <v>6.3833333333333337</v>
      </c>
      <c r="G28" s="84">
        <f t="shared" si="3"/>
        <v>2</v>
      </c>
      <c r="H28" s="84">
        <f t="shared" si="3"/>
        <v>0</v>
      </c>
      <c r="I28" s="84">
        <f t="shared" si="3"/>
        <v>9</v>
      </c>
      <c r="J28" s="84">
        <f t="shared" si="3"/>
        <v>5</v>
      </c>
      <c r="K28" s="84">
        <f t="shared" si="3"/>
        <v>2.8</v>
      </c>
      <c r="L28" s="84">
        <f t="shared" si="3"/>
        <v>5.2166666666666668</v>
      </c>
      <c r="M28" s="84">
        <f t="shared" si="3"/>
        <v>4</v>
      </c>
      <c r="N28" s="84">
        <f t="shared" si="3"/>
        <v>4</v>
      </c>
      <c r="O28" s="84">
        <f t="shared" si="3"/>
        <v>8.0166666666666675</v>
      </c>
      <c r="P28" s="84">
        <f t="shared" si="3"/>
        <v>3.1833333333333327</v>
      </c>
      <c r="Q28" s="15">
        <f t="shared" si="5"/>
        <v>49.599999999999994</v>
      </c>
      <c r="R28" s="40">
        <f t="shared" si="4"/>
        <v>49.599999999999994</v>
      </c>
      <c r="S28" s="88"/>
      <c r="T28" s="110" t="s">
        <v>91</v>
      </c>
      <c r="U28" s="36" t="s">
        <v>5</v>
      </c>
      <c r="V28" s="36">
        <v>0.79285858778585372</v>
      </c>
      <c r="W28" s="36">
        <v>0.55133578843051168</v>
      </c>
      <c r="X28" s="36">
        <v>1.4380684229530707</v>
      </c>
      <c r="Y28" s="36">
        <v>0.19357844851363284</v>
      </c>
      <c r="Z28" s="36">
        <v>-0.51084338830796294</v>
      </c>
      <c r="AA28" s="36">
        <v>2.0965605638796703</v>
      </c>
      <c r="AB28" s="36">
        <v>-0.51084338830796294</v>
      </c>
      <c r="AC28" s="36">
        <v>2.0965605638796703</v>
      </c>
    </row>
    <row r="29" spans="1:29" x14ac:dyDescent="0.35">
      <c r="A29">
        <v>7</v>
      </c>
      <c r="B29" s="12">
        <v>43390</v>
      </c>
      <c r="C29" s="14">
        <v>0</v>
      </c>
      <c r="D29" s="14">
        <v>0</v>
      </c>
      <c r="E29" s="14">
        <v>0</v>
      </c>
      <c r="F29" s="84">
        <f t="shared" si="3"/>
        <v>8</v>
      </c>
      <c r="G29" s="84">
        <f t="shared" si="3"/>
        <v>2.6666666666666665</v>
      </c>
      <c r="H29" s="84">
        <f t="shared" si="3"/>
        <v>0</v>
      </c>
      <c r="I29" s="84">
        <f t="shared" si="3"/>
        <v>6</v>
      </c>
      <c r="J29" s="84">
        <f t="shared" si="3"/>
        <v>6.2</v>
      </c>
      <c r="K29" s="84">
        <f t="shared" si="3"/>
        <v>3.6833333333333336</v>
      </c>
      <c r="L29" s="84">
        <f t="shared" si="3"/>
        <v>7.2500000000000009</v>
      </c>
      <c r="M29" s="84">
        <f t="shared" si="3"/>
        <v>5.1833333333333336</v>
      </c>
      <c r="N29" s="84">
        <f t="shared" si="3"/>
        <v>10.116666666666667</v>
      </c>
      <c r="O29" s="84">
        <f t="shared" si="3"/>
        <v>9</v>
      </c>
      <c r="P29" s="84">
        <f t="shared" si="3"/>
        <v>2</v>
      </c>
      <c r="Q29" s="15">
        <f t="shared" si="5"/>
        <v>60.1</v>
      </c>
      <c r="R29" s="40">
        <f t="shared" si="4"/>
        <v>60.1</v>
      </c>
      <c r="S29" s="88"/>
      <c r="T29" s="110" t="s">
        <v>92</v>
      </c>
      <c r="U29" s="36" t="s">
        <v>6</v>
      </c>
      <c r="V29" s="36">
        <v>1.8762657647196401</v>
      </c>
      <c r="W29" s="36">
        <v>0.96178349770743399</v>
      </c>
      <c r="X29" s="36">
        <v>1.9508192531812223</v>
      </c>
      <c r="Y29" s="103">
        <v>9.2056391119485867E-2</v>
      </c>
      <c r="Z29" s="36">
        <v>-0.39799081874109188</v>
      </c>
      <c r="AA29" s="36">
        <v>4.1505223481803721</v>
      </c>
      <c r="AB29" s="36">
        <v>-0.39799081874109188</v>
      </c>
      <c r="AC29" s="36">
        <v>4.1505223481803721</v>
      </c>
    </row>
    <row r="30" spans="1:29" ht="15" thickBot="1" x14ac:dyDescent="0.4">
      <c r="A30">
        <v>8</v>
      </c>
      <c r="B30" s="12">
        <v>43392</v>
      </c>
      <c r="C30" s="14">
        <v>0</v>
      </c>
      <c r="D30" s="14">
        <v>1</v>
      </c>
      <c r="E30" s="14">
        <v>0</v>
      </c>
      <c r="F30" s="84">
        <f t="shared" si="3"/>
        <v>7.5</v>
      </c>
      <c r="G30" s="84">
        <f t="shared" si="3"/>
        <v>3</v>
      </c>
      <c r="H30" s="84">
        <f t="shared" si="3"/>
        <v>0</v>
      </c>
      <c r="I30" s="84">
        <f t="shared" si="3"/>
        <v>7.0166666666666675</v>
      </c>
      <c r="J30" s="84">
        <f t="shared" si="3"/>
        <v>5.9666666666666668</v>
      </c>
      <c r="K30" s="84">
        <f t="shared" si="3"/>
        <v>4</v>
      </c>
      <c r="L30" s="84">
        <f t="shared" si="3"/>
        <v>6.0333333333333332</v>
      </c>
      <c r="M30" s="84">
        <f t="shared" si="3"/>
        <v>4.3833333333333346</v>
      </c>
      <c r="N30" s="84">
        <f t="shared" si="3"/>
        <v>6.2166666666666668</v>
      </c>
      <c r="O30" s="84">
        <f t="shared" si="3"/>
        <v>6</v>
      </c>
      <c r="P30" s="84">
        <f t="shared" si="3"/>
        <v>2.0833333333333335</v>
      </c>
      <c r="Q30" s="15">
        <f t="shared" si="5"/>
        <v>52.2</v>
      </c>
      <c r="R30" s="40">
        <f t="shared" si="4"/>
        <v>52.2</v>
      </c>
      <c r="S30" s="88"/>
      <c r="T30" s="110" t="s">
        <v>94</v>
      </c>
      <c r="U30" s="37" t="s">
        <v>7</v>
      </c>
      <c r="V30" s="37">
        <v>0.71091183759653809</v>
      </c>
      <c r="W30" s="37">
        <v>0.29287851774668761</v>
      </c>
      <c r="X30" s="37">
        <v>2.4273266713655319</v>
      </c>
      <c r="Y30" s="91">
        <v>4.5599103123519114E-2</v>
      </c>
      <c r="Z30" s="37">
        <v>1.8364191762172744E-2</v>
      </c>
      <c r="AA30" s="37">
        <v>1.4034594834309035</v>
      </c>
      <c r="AB30" s="37">
        <v>1.8364191762172744E-2</v>
      </c>
      <c r="AC30" s="37">
        <v>1.4034594834309035</v>
      </c>
    </row>
    <row r="31" spans="1:29" x14ac:dyDescent="0.35">
      <c r="A31">
        <v>9</v>
      </c>
      <c r="B31" s="12">
        <v>43393</v>
      </c>
      <c r="C31" s="14">
        <v>1</v>
      </c>
      <c r="D31" s="14">
        <v>1</v>
      </c>
      <c r="E31" s="14">
        <v>0</v>
      </c>
      <c r="F31" s="84">
        <f t="shared" si="3"/>
        <v>9</v>
      </c>
      <c r="G31" s="84">
        <f t="shared" si="3"/>
        <v>4</v>
      </c>
      <c r="H31" s="84">
        <f t="shared" si="3"/>
        <v>0</v>
      </c>
      <c r="I31" s="84">
        <f t="shared" si="3"/>
        <v>7.2</v>
      </c>
      <c r="J31" s="84">
        <f t="shared" si="3"/>
        <v>5</v>
      </c>
      <c r="K31" s="84">
        <f t="shared" si="3"/>
        <v>3</v>
      </c>
      <c r="L31" s="84">
        <f t="shared" si="3"/>
        <v>5.35</v>
      </c>
      <c r="M31" s="84">
        <f t="shared" si="3"/>
        <v>4.1333333333333337</v>
      </c>
      <c r="N31" s="84">
        <f t="shared" si="3"/>
        <v>9.25</v>
      </c>
      <c r="O31" s="84">
        <f t="shared" si="3"/>
        <v>7.2</v>
      </c>
      <c r="P31" s="84">
        <f t="shared" si="3"/>
        <v>2.3666666666666663</v>
      </c>
      <c r="Q31" s="15">
        <f t="shared" si="5"/>
        <v>56.5</v>
      </c>
      <c r="R31" s="40">
        <f t="shared" si="4"/>
        <v>56.5</v>
      </c>
      <c r="S31" s="88"/>
    </row>
    <row r="32" spans="1:29" x14ac:dyDescent="0.35">
      <c r="A32">
        <v>10</v>
      </c>
      <c r="B32" s="12">
        <v>43394</v>
      </c>
      <c r="C32" s="14">
        <v>1</v>
      </c>
      <c r="D32" s="14">
        <v>1</v>
      </c>
      <c r="E32" s="14">
        <v>0</v>
      </c>
      <c r="F32" s="84">
        <f t="shared" si="3"/>
        <v>6.916666666666667</v>
      </c>
      <c r="G32" s="84">
        <f t="shared" si="3"/>
        <v>4</v>
      </c>
      <c r="H32" s="84">
        <f t="shared" si="3"/>
        <v>0</v>
      </c>
      <c r="I32" s="84">
        <f t="shared" si="3"/>
        <v>7.3666666666666671</v>
      </c>
      <c r="J32" s="84">
        <f t="shared" si="3"/>
        <v>4</v>
      </c>
      <c r="K32" s="84">
        <f t="shared" si="3"/>
        <v>1</v>
      </c>
      <c r="L32" s="84">
        <f t="shared" si="3"/>
        <v>6.2999999999999989</v>
      </c>
      <c r="M32" s="84">
        <f t="shared" si="3"/>
        <v>4.2333333333333334</v>
      </c>
      <c r="N32" s="84">
        <f t="shared" si="3"/>
        <v>5</v>
      </c>
      <c r="O32" s="84">
        <f t="shared" si="3"/>
        <v>8</v>
      </c>
      <c r="P32" s="84">
        <f t="shared" si="3"/>
        <v>2</v>
      </c>
      <c r="Q32" s="15">
        <f t="shared" si="5"/>
        <v>48.81666666666667</v>
      </c>
      <c r="R32" s="40">
        <f t="shared" si="4"/>
        <v>48.81666666666667</v>
      </c>
      <c r="S32" s="88"/>
    </row>
    <row r="33" spans="1:23" x14ac:dyDescent="0.35">
      <c r="A33">
        <v>11</v>
      </c>
      <c r="B33" s="12">
        <v>43396</v>
      </c>
      <c r="C33" s="14">
        <v>0</v>
      </c>
      <c r="D33" s="14">
        <v>0</v>
      </c>
      <c r="E33" s="14">
        <v>0</v>
      </c>
      <c r="F33" s="84">
        <f t="shared" si="3"/>
        <v>8.0166666666666675</v>
      </c>
      <c r="G33" s="84">
        <f t="shared" si="3"/>
        <v>3.166666666666667</v>
      </c>
      <c r="H33" s="84">
        <f t="shared" si="3"/>
        <v>0</v>
      </c>
      <c r="I33" s="84">
        <f t="shared" si="3"/>
        <v>4.583333333333333</v>
      </c>
      <c r="J33" s="84">
        <f t="shared" si="3"/>
        <v>5.3</v>
      </c>
      <c r="K33" s="84">
        <f t="shared" si="3"/>
        <v>3.6166666666666667</v>
      </c>
      <c r="L33" s="84">
        <f t="shared" si="3"/>
        <v>5.5333333333333332</v>
      </c>
      <c r="M33" s="84">
        <f t="shared" si="3"/>
        <v>4.7</v>
      </c>
      <c r="N33" s="84">
        <f t="shared" si="3"/>
        <v>4.0499999999999989</v>
      </c>
      <c r="O33" s="84">
        <f t="shared" si="3"/>
        <v>8.0666666666666664</v>
      </c>
      <c r="P33" s="84">
        <f t="shared" si="3"/>
        <v>2.1166666666666667</v>
      </c>
      <c r="Q33" s="15">
        <f t="shared" si="5"/>
        <v>49.15</v>
      </c>
      <c r="R33" s="40">
        <f t="shared" si="4"/>
        <v>49.15</v>
      </c>
      <c r="S33" s="88"/>
    </row>
    <row r="34" spans="1:23" x14ac:dyDescent="0.35">
      <c r="A34">
        <v>12</v>
      </c>
      <c r="B34" s="12">
        <v>43397</v>
      </c>
      <c r="C34" s="14">
        <v>0</v>
      </c>
      <c r="D34" s="14">
        <v>1</v>
      </c>
      <c r="E34" s="14">
        <v>1</v>
      </c>
      <c r="F34" s="84">
        <f t="shared" si="3"/>
        <v>7</v>
      </c>
      <c r="G34" s="84">
        <f t="shared" si="3"/>
        <v>0</v>
      </c>
      <c r="H34" s="84">
        <f t="shared" si="3"/>
        <v>0.8</v>
      </c>
      <c r="I34" s="84">
        <f t="shared" si="3"/>
        <v>5.7833333333333323</v>
      </c>
      <c r="J34" s="84">
        <f t="shared" si="3"/>
        <v>7.333333333333333</v>
      </c>
      <c r="K34" s="84">
        <f t="shared" si="3"/>
        <v>3.2</v>
      </c>
      <c r="L34" s="84">
        <f t="shared" si="3"/>
        <v>4.166666666666667</v>
      </c>
      <c r="M34" s="84">
        <f t="shared" si="3"/>
        <v>3.9500000000000006</v>
      </c>
      <c r="N34" s="84">
        <f t="shared" si="3"/>
        <v>7.4666666666666668</v>
      </c>
      <c r="O34" s="84">
        <f t="shared" si="3"/>
        <v>7</v>
      </c>
      <c r="P34" s="84">
        <f t="shared" si="3"/>
        <v>3</v>
      </c>
      <c r="Q34" s="15">
        <f t="shared" si="5"/>
        <v>49.7</v>
      </c>
      <c r="R34" s="40">
        <f t="shared" si="4"/>
        <v>49.7</v>
      </c>
      <c r="S34" s="88"/>
      <c r="U34" t="s">
        <v>120</v>
      </c>
    </row>
    <row r="35" spans="1:23" ht="15" thickBot="1" x14ac:dyDescent="0.4">
      <c r="A35">
        <v>13</v>
      </c>
      <c r="B35" s="12">
        <v>43400</v>
      </c>
      <c r="C35" s="14">
        <v>1</v>
      </c>
      <c r="D35" s="14">
        <v>1</v>
      </c>
      <c r="E35" s="14">
        <v>0</v>
      </c>
      <c r="F35" s="84">
        <f t="shared" si="3"/>
        <v>6.5000000000000009</v>
      </c>
      <c r="G35" s="84">
        <f t="shared" si="3"/>
        <v>5</v>
      </c>
      <c r="H35" s="84">
        <f t="shared" si="3"/>
        <v>0</v>
      </c>
      <c r="I35" s="84">
        <f t="shared" si="3"/>
        <v>6.083333333333333</v>
      </c>
      <c r="J35" s="84">
        <f t="shared" si="3"/>
        <v>4.333333333333333</v>
      </c>
      <c r="K35" s="84">
        <f t="shared" si="3"/>
        <v>3.3</v>
      </c>
      <c r="L35" s="84">
        <f t="shared" si="3"/>
        <v>4</v>
      </c>
      <c r="M35" s="84">
        <f t="shared" si="3"/>
        <v>4.2</v>
      </c>
      <c r="N35" s="84">
        <f t="shared" si="3"/>
        <v>4.55</v>
      </c>
      <c r="O35" s="84">
        <f t="shared" si="3"/>
        <v>9</v>
      </c>
      <c r="P35" s="84">
        <f t="shared" si="3"/>
        <v>3.5</v>
      </c>
      <c r="Q35" s="15">
        <f t="shared" si="5"/>
        <v>50.466666666666661</v>
      </c>
      <c r="R35" s="40">
        <f t="shared" si="4"/>
        <v>50.466666666666661</v>
      </c>
      <c r="S35" s="88"/>
    </row>
    <row r="36" spans="1:23" x14ac:dyDescent="0.35">
      <c r="A36">
        <v>14</v>
      </c>
      <c r="B36" s="12">
        <v>43402</v>
      </c>
      <c r="C36" s="14">
        <v>0</v>
      </c>
      <c r="D36" s="14">
        <v>0</v>
      </c>
      <c r="E36" s="14">
        <v>1</v>
      </c>
      <c r="F36" s="84">
        <f t="shared" si="3"/>
        <v>6.083333333333333</v>
      </c>
      <c r="G36" s="84">
        <f t="shared" si="3"/>
        <v>0</v>
      </c>
      <c r="H36" s="84">
        <f t="shared" si="3"/>
        <v>0.65</v>
      </c>
      <c r="I36" s="84">
        <f t="shared" si="3"/>
        <v>5.4666666666666668</v>
      </c>
      <c r="J36" s="84">
        <f t="shared" si="3"/>
        <v>7</v>
      </c>
      <c r="K36" s="84">
        <f t="shared" si="3"/>
        <v>2.8166666666666664</v>
      </c>
      <c r="L36" s="84">
        <f t="shared" si="3"/>
        <v>6</v>
      </c>
      <c r="M36" s="84">
        <f t="shared" si="3"/>
        <v>5</v>
      </c>
      <c r="N36" s="84">
        <f t="shared" si="3"/>
        <v>5</v>
      </c>
      <c r="O36" s="84">
        <f t="shared" si="3"/>
        <v>8.8000000000000007</v>
      </c>
      <c r="P36" s="84">
        <f t="shared" si="3"/>
        <v>2</v>
      </c>
      <c r="Q36" s="15">
        <f t="shared" si="5"/>
        <v>48.816666666666663</v>
      </c>
      <c r="R36" s="40">
        <f t="shared" si="4"/>
        <v>48.816666666666663</v>
      </c>
      <c r="S36" s="88"/>
      <c r="U36" s="85" t="s">
        <v>121</v>
      </c>
      <c r="V36" s="85" t="s">
        <v>126</v>
      </c>
      <c r="W36" s="85" t="s">
        <v>122</v>
      </c>
    </row>
    <row r="37" spans="1:23" x14ac:dyDescent="0.35">
      <c r="A37">
        <v>15</v>
      </c>
      <c r="B37" s="12">
        <v>43404</v>
      </c>
      <c r="C37" s="14">
        <v>0</v>
      </c>
      <c r="D37" s="14">
        <v>0</v>
      </c>
      <c r="E37" s="14">
        <v>0</v>
      </c>
      <c r="F37" s="84">
        <f t="shared" si="3"/>
        <v>6.2333333333333334</v>
      </c>
      <c r="G37" s="84">
        <f t="shared" si="3"/>
        <v>4</v>
      </c>
      <c r="H37" s="84">
        <f t="shared" si="3"/>
        <v>0</v>
      </c>
      <c r="I37" s="84">
        <f t="shared" si="3"/>
        <v>5.9333333333333336</v>
      </c>
      <c r="J37" s="84">
        <f t="shared" si="3"/>
        <v>3</v>
      </c>
      <c r="K37" s="84">
        <f t="shared" si="3"/>
        <v>4.6166666666666671</v>
      </c>
      <c r="L37" s="84">
        <f t="shared" si="3"/>
        <v>4.1333333333333337</v>
      </c>
      <c r="M37" s="84">
        <f t="shared" si="3"/>
        <v>4.333333333333333</v>
      </c>
      <c r="N37" s="84">
        <f t="shared" si="3"/>
        <v>4.2166666666666677</v>
      </c>
      <c r="O37" s="84">
        <f t="shared" si="3"/>
        <v>7.833333333333333</v>
      </c>
      <c r="P37" s="84">
        <f t="shared" si="3"/>
        <v>1.75</v>
      </c>
      <c r="Q37" s="15">
        <f t="shared" si="5"/>
        <v>46.050000000000004</v>
      </c>
      <c r="R37" s="40">
        <f t="shared" si="4"/>
        <v>46.050000000000004</v>
      </c>
      <c r="S37" s="88"/>
      <c r="U37" s="36">
        <v>1</v>
      </c>
      <c r="V37" s="36">
        <v>49.39911738766645</v>
      </c>
      <c r="W37" s="36">
        <v>0.50088261233354814</v>
      </c>
    </row>
    <row r="38" spans="1:23" x14ac:dyDescent="0.35">
      <c r="A38">
        <v>16</v>
      </c>
      <c r="B38" s="12">
        <v>43409</v>
      </c>
      <c r="C38" s="14">
        <v>0</v>
      </c>
      <c r="D38" s="14">
        <v>0</v>
      </c>
      <c r="E38" s="14">
        <v>1</v>
      </c>
      <c r="F38" s="84">
        <f t="shared" si="3"/>
        <v>7.3666666666666671</v>
      </c>
      <c r="G38" s="84">
        <f t="shared" si="3"/>
        <v>0</v>
      </c>
      <c r="H38" s="84">
        <f t="shared" si="3"/>
        <v>0.7</v>
      </c>
      <c r="I38" s="84">
        <f t="shared" si="3"/>
        <v>4.416666666666667</v>
      </c>
      <c r="J38" s="84">
        <f t="shared" si="3"/>
        <v>6</v>
      </c>
      <c r="K38" s="84">
        <f t="shared" si="3"/>
        <v>4.1833333333333336</v>
      </c>
      <c r="L38" s="84">
        <f t="shared" si="3"/>
        <v>7.8833333333333337</v>
      </c>
      <c r="M38" s="84">
        <f t="shared" si="3"/>
        <v>5.0333333333333332</v>
      </c>
      <c r="N38" s="84">
        <f t="shared" si="3"/>
        <v>6.6666666666666679</v>
      </c>
      <c r="O38" s="84">
        <f t="shared" si="3"/>
        <v>8.3666666666666671</v>
      </c>
      <c r="P38" s="84">
        <f t="shared" si="3"/>
        <v>2.1333333333333333</v>
      </c>
      <c r="Q38" s="15">
        <f t="shared" si="5"/>
        <v>52.75</v>
      </c>
      <c r="R38" s="40">
        <f t="shared" si="4"/>
        <v>52.75</v>
      </c>
      <c r="S38" s="88"/>
      <c r="U38" s="36">
        <v>2</v>
      </c>
      <c r="V38" s="36">
        <v>57.457886317695092</v>
      </c>
      <c r="W38" s="36">
        <v>0.27544701563823537</v>
      </c>
    </row>
    <row r="39" spans="1:23" x14ac:dyDescent="0.35">
      <c r="A39">
        <v>17</v>
      </c>
      <c r="B39" s="12">
        <v>43410</v>
      </c>
      <c r="C39" s="14">
        <v>0</v>
      </c>
      <c r="D39" s="14">
        <v>1</v>
      </c>
      <c r="E39" s="14">
        <v>0</v>
      </c>
      <c r="F39" s="84">
        <f t="shared" ref="F39:P39" si="6">F20*1440</f>
        <v>6.883333333333332</v>
      </c>
      <c r="G39" s="84">
        <f t="shared" si="6"/>
        <v>3</v>
      </c>
      <c r="H39" s="84">
        <f t="shared" si="6"/>
        <v>0</v>
      </c>
      <c r="I39" s="84">
        <f t="shared" si="6"/>
        <v>4.083333333333333</v>
      </c>
      <c r="J39" s="84">
        <f t="shared" si="6"/>
        <v>6.083333333333333</v>
      </c>
      <c r="K39" s="84">
        <f t="shared" si="6"/>
        <v>3.9666666666666663</v>
      </c>
      <c r="L39" s="84">
        <f t="shared" si="6"/>
        <v>5.0999999999999996</v>
      </c>
      <c r="M39" s="84">
        <f t="shared" si="6"/>
        <v>4</v>
      </c>
      <c r="N39" s="84">
        <f t="shared" si="6"/>
        <v>4</v>
      </c>
      <c r="O39" s="84">
        <f t="shared" si="6"/>
        <v>7.916666666666667</v>
      </c>
      <c r="P39" s="84">
        <f t="shared" si="6"/>
        <v>4</v>
      </c>
      <c r="Q39" s="15">
        <f t="shared" si="5"/>
        <v>49.033333333333324</v>
      </c>
      <c r="R39" s="40">
        <f t="shared" si="4"/>
        <v>49.033333333333324</v>
      </c>
      <c r="S39" s="88"/>
      <c r="U39" s="36">
        <v>3</v>
      </c>
      <c r="V39" s="36">
        <v>54.459996103011562</v>
      </c>
      <c r="W39" s="36">
        <v>0.75667056365510632</v>
      </c>
    </row>
    <row r="40" spans="1:23" x14ac:dyDescent="0.35">
      <c r="S40" s="88"/>
      <c r="U40" s="36">
        <v>4</v>
      </c>
      <c r="V40" s="36">
        <v>43.91927510866627</v>
      </c>
      <c r="W40" s="36">
        <v>0.34739155800038901</v>
      </c>
    </row>
    <row r="41" spans="1:23" ht="16" customHeight="1" x14ac:dyDescent="0.35">
      <c r="B41" s="83" t="s">
        <v>0</v>
      </c>
      <c r="C41" s="19" t="s">
        <v>1</v>
      </c>
      <c r="D41" s="19" t="s">
        <v>15</v>
      </c>
      <c r="E41" s="19" t="s">
        <v>14</v>
      </c>
      <c r="F41" s="19" t="s">
        <v>2</v>
      </c>
      <c r="G41" s="19" t="s">
        <v>3</v>
      </c>
      <c r="H41" s="83" t="s">
        <v>4</v>
      </c>
      <c r="I41" s="83" t="s">
        <v>5</v>
      </c>
      <c r="J41" s="83" t="s">
        <v>6</v>
      </c>
      <c r="K41" s="83" t="s">
        <v>7</v>
      </c>
      <c r="L41" s="83" t="s">
        <v>8</v>
      </c>
      <c r="M41" s="83" t="s">
        <v>9</v>
      </c>
      <c r="N41" s="19" t="s">
        <v>11</v>
      </c>
      <c r="O41" s="39" t="s">
        <v>96</v>
      </c>
      <c r="R41" s="36"/>
      <c r="S41" s="86"/>
      <c r="U41" s="36">
        <v>5</v>
      </c>
      <c r="V41" s="36">
        <v>67.334782653482492</v>
      </c>
      <c r="W41" s="36">
        <v>-0.13478265348248897</v>
      </c>
    </row>
    <row r="42" spans="1:23" x14ac:dyDescent="0.35">
      <c r="R42" s="36"/>
      <c r="S42" s="86"/>
      <c r="U42" s="36">
        <v>6</v>
      </c>
      <c r="V42" s="36">
        <v>48.652873844511021</v>
      </c>
      <c r="W42" s="36">
        <v>0.94712615548897361</v>
      </c>
    </row>
    <row r="43" spans="1:23" x14ac:dyDescent="0.35">
      <c r="R43" s="36"/>
      <c r="S43" s="86"/>
      <c r="U43" s="36">
        <v>7</v>
      </c>
      <c r="V43" s="36">
        <v>58.623589827041286</v>
      </c>
      <c r="W43" s="36">
        <v>1.4764101729587153</v>
      </c>
    </row>
    <row r="44" spans="1:23" x14ac:dyDescent="0.35">
      <c r="U44" s="36">
        <v>8</v>
      </c>
      <c r="V44" s="36">
        <v>54.065055302361607</v>
      </c>
      <c r="W44" s="36">
        <v>-1.8650553023616041</v>
      </c>
    </row>
    <row r="45" spans="1:23" x14ac:dyDescent="0.35">
      <c r="U45" s="36">
        <v>9</v>
      </c>
      <c r="V45" s="36">
        <v>56.954313124615645</v>
      </c>
      <c r="W45" s="36">
        <v>-0.45431312461564488</v>
      </c>
    </row>
    <row r="46" spans="1:23" x14ac:dyDescent="0.35">
      <c r="U46" s="36">
        <v>10</v>
      </c>
      <c r="V46" s="36">
        <v>50.306251973681718</v>
      </c>
      <c r="W46" s="36">
        <v>-1.489585307015048</v>
      </c>
    </row>
    <row r="47" spans="1:23" x14ac:dyDescent="0.35">
      <c r="U47" s="36">
        <v>11</v>
      </c>
      <c r="V47" s="36">
        <v>50.420293981709825</v>
      </c>
      <c r="W47" s="36">
        <v>-1.2702939817098269</v>
      </c>
    </row>
    <row r="48" spans="1:23" x14ac:dyDescent="0.35">
      <c r="U48" s="36">
        <v>12</v>
      </c>
      <c r="V48" s="36">
        <v>50.036346108384009</v>
      </c>
      <c r="W48" s="36">
        <v>-0.33634610838400647</v>
      </c>
    </row>
    <row r="49" spans="21:23" x14ac:dyDescent="0.35">
      <c r="U49" s="36">
        <v>13</v>
      </c>
      <c r="V49" s="36">
        <v>49.278289688014034</v>
      </c>
      <c r="W49" s="36">
        <v>1.1883769786526273</v>
      </c>
    </row>
    <row r="50" spans="21:23" x14ac:dyDescent="0.35">
      <c r="U50" s="36">
        <v>14</v>
      </c>
      <c r="V50" s="36">
        <v>49.351813696960093</v>
      </c>
      <c r="W50" s="36">
        <v>-0.53514703029343025</v>
      </c>
    </row>
    <row r="51" spans="21:23" x14ac:dyDescent="0.35">
      <c r="U51" s="36">
        <v>15</v>
      </c>
      <c r="V51" s="36">
        <v>47.026383061123191</v>
      </c>
      <c r="W51" s="36">
        <v>-0.97638306112318674</v>
      </c>
    </row>
    <row r="52" spans="21:23" x14ac:dyDescent="0.35">
      <c r="U52" s="36">
        <v>16</v>
      </c>
      <c r="V52" s="36">
        <v>52.565575830098702</v>
      </c>
      <c r="W52" s="36">
        <v>0.18442416990129828</v>
      </c>
    </row>
    <row r="53" spans="21:23" ht="15" thickBot="1" x14ac:dyDescent="0.4">
      <c r="U53" s="37">
        <v>17</v>
      </c>
      <c r="V53" s="37">
        <v>47.648155990976946</v>
      </c>
      <c r="W53" s="37">
        <v>1.3851773423563785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8DFB-6768-4BAE-9ACE-070CA29DD63D}">
  <dimension ref="A1:AC73"/>
  <sheetViews>
    <sheetView topLeftCell="K26" zoomScale="75" zoomScaleNormal="75" workbookViewId="0">
      <selection activeCell="AA54" sqref="AA54"/>
    </sheetView>
  </sheetViews>
  <sheetFormatPr defaultRowHeight="14.5" x14ac:dyDescent="0.35"/>
  <cols>
    <col min="2" max="2" width="11.453125" customWidth="1"/>
    <col min="3" max="3" width="13.36328125" hidden="1" customWidth="1"/>
    <col min="4" max="4" width="14.08984375" hidden="1" customWidth="1"/>
    <col min="5" max="5" width="13.453125" hidden="1" customWidth="1"/>
    <col min="6" max="6" width="14.54296875" customWidth="1"/>
    <col min="7" max="7" width="17.81640625" customWidth="1"/>
    <col min="8" max="8" width="12.453125" customWidth="1"/>
    <col min="9" max="9" width="13.1796875" customWidth="1"/>
    <col min="10" max="10" width="14" customWidth="1"/>
    <col min="11" max="11" width="11.7265625" customWidth="1"/>
    <col min="12" max="12" width="12.26953125" customWidth="1"/>
    <col min="13" max="13" width="13.26953125" customWidth="1"/>
    <col min="14" max="14" width="12.54296875" customWidth="1"/>
    <col min="15" max="15" width="11.7265625" customWidth="1"/>
    <col min="16" max="16" width="10.90625" customWidth="1"/>
    <col min="17" max="17" width="17.90625" bestFit="1" customWidth="1"/>
    <col min="18" max="18" width="13.1796875" bestFit="1" customWidth="1"/>
    <col min="20" max="20" width="18.6328125" style="94" bestFit="1" customWidth="1"/>
    <col min="21" max="21" width="13.7265625" style="94" bestFit="1" customWidth="1"/>
    <col min="22" max="22" width="14.453125" style="94" bestFit="1" customWidth="1"/>
    <col min="23" max="23" width="27.36328125" style="94" bestFit="1" customWidth="1"/>
    <col min="24" max="24" width="44.453125" style="94" bestFit="1" customWidth="1"/>
    <col min="25" max="25" width="13.7265625" style="94" bestFit="1" customWidth="1"/>
    <col min="26" max="26" width="13.1796875" style="94" bestFit="1" customWidth="1"/>
    <col min="27" max="27" width="13.7265625" style="94" bestFit="1" customWidth="1"/>
    <col min="28" max="28" width="13.1796875" style="94" bestFit="1" customWidth="1"/>
    <col min="29" max="29" width="8.7265625" style="94"/>
  </cols>
  <sheetData>
    <row r="1" spans="1:17" x14ac:dyDescent="0.35">
      <c r="A1" t="s">
        <v>83</v>
      </c>
    </row>
    <row r="2" spans="1:17" x14ac:dyDescent="0.35">
      <c r="A2" s="83"/>
      <c r="B2" s="83"/>
      <c r="C2" s="19" t="s">
        <v>93</v>
      </c>
      <c r="D2" s="19" t="s">
        <v>123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94</v>
      </c>
      <c r="O2" s="19" t="s">
        <v>95</v>
      </c>
      <c r="P2" s="19" t="s">
        <v>124</v>
      </c>
      <c r="Q2" s="39"/>
    </row>
    <row r="3" spans="1:17" ht="29" x14ac:dyDescent="0.35">
      <c r="A3" s="83"/>
      <c r="B3" s="83" t="s">
        <v>0</v>
      </c>
      <c r="C3" s="19" t="s">
        <v>12</v>
      </c>
      <c r="D3" s="19" t="s">
        <v>13</v>
      </c>
      <c r="E3" s="19" t="s">
        <v>71</v>
      </c>
      <c r="F3" s="19" t="s">
        <v>1</v>
      </c>
      <c r="G3" s="19" t="s">
        <v>15</v>
      </c>
      <c r="H3" s="19" t="s">
        <v>14</v>
      </c>
      <c r="I3" s="19" t="s">
        <v>2</v>
      </c>
      <c r="J3" s="19" t="s">
        <v>3</v>
      </c>
      <c r="K3" s="83" t="s">
        <v>4</v>
      </c>
      <c r="L3" s="83" t="s">
        <v>5</v>
      </c>
      <c r="M3" s="83" t="s">
        <v>6</v>
      </c>
      <c r="N3" s="83" t="s">
        <v>7</v>
      </c>
      <c r="O3" s="83" t="s">
        <v>8</v>
      </c>
      <c r="P3" s="83" t="s">
        <v>9</v>
      </c>
      <c r="Q3" s="39" t="s">
        <v>45</v>
      </c>
    </row>
    <row r="4" spans="1:17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3.1712962962962958E-3</v>
      </c>
      <c r="N4" s="5">
        <v>2.7777777777777779E-3</v>
      </c>
      <c r="O4" s="5">
        <v>7.1874999999999994E-3</v>
      </c>
      <c r="P4" s="5">
        <v>1.3888888888888889E-3</v>
      </c>
      <c r="Q4" s="40" t="e">
        <f>#REF!*1440</f>
        <v>#REF!</v>
      </c>
    </row>
    <row r="5" spans="1:17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3.37962962962963E-3</v>
      </c>
      <c r="N5" s="5">
        <v>4.4212962962962956E-3</v>
      </c>
      <c r="O5" s="5">
        <v>7.1527777777777787E-3</v>
      </c>
      <c r="P5" s="5">
        <v>1.5046296296296294E-3</v>
      </c>
      <c r="Q5" s="40" t="e">
        <f>#REF!*1440</f>
        <v>#REF!</v>
      </c>
    </row>
    <row r="6" spans="1:17" x14ac:dyDescent="0.35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3.6111111111111114E-3</v>
      </c>
      <c r="N6" s="5">
        <v>2.0833333333333333E-3</v>
      </c>
      <c r="O6" s="5">
        <v>7.6388888888888886E-3</v>
      </c>
      <c r="P6" s="5">
        <v>2.0833333333333333E-3</v>
      </c>
      <c r="Q6" s="40" t="e">
        <f>#REF!*1440</f>
        <v>#REF!</v>
      </c>
    </row>
    <row r="7" spans="1:17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2.3611111111111111E-3</v>
      </c>
      <c r="N7" s="5">
        <v>3.1712962962962958E-3</v>
      </c>
      <c r="O7" s="5">
        <v>5.7638888888888887E-3</v>
      </c>
      <c r="P7" s="5">
        <v>1.8055555555555557E-3</v>
      </c>
      <c r="Q7" s="40" t="e">
        <f>#REF!*1440</f>
        <v>#REF!</v>
      </c>
    </row>
    <row r="8" spans="1:17" x14ac:dyDescent="0.35">
      <c r="A8" s="11">
        <v>5</v>
      </c>
      <c r="B8" s="12">
        <v>43387</v>
      </c>
      <c r="C8" s="14">
        <v>1</v>
      </c>
      <c r="D8" s="14">
        <v>1</v>
      </c>
      <c r="E8" s="14">
        <v>0</v>
      </c>
      <c r="F8" s="5">
        <v>7.743055555555556E-3</v>
      </c>
      <c r="G8" s="5">
        <v>3.9236111111111112E-3</v>
      </c>
      <c r="H8" s="5">
        <v>0</v>
      </c>
      <c r="I8" s="5">
        <v>2.9976851851851848E-3</v>
      </c>
      <c r="J8" s="5">
        <v>5.138888888888889E-3</v>
      </c>
      <c r="K8" s="5">
        <v>2.2453703703703702E-3</v>
      </c>
      <c r="L8" s="5">
        <v>4.2939814814814811E-3</v>
      </c>
      <c r="M8" s="5">
        <v>5.5671296296296302E-3</v>
      </c>
      <c r="N8" s="5">
        <v>4.2361111111111106E-3</v>
      </c>
      <c r="O8" s="5">
        <v>9.7222222222222224E-3</v>
      </c>
      <c r="P8" s="5">
        <v>7.9861111111111105E-4</v>
      </c>
      <c r="Q8" s="40" t="e">
        <f>#REF!*1440</f>
        <v>#REF!</v>
      </c>
    </row>
    <row r="9" spans="1:17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2.7777777777777779E-3</v>
      </c>
      <c r="O9" s="5">
        <v>5.5671296296296302E-3</v>
      </c>
      <c r="P9" s="5">
        <v>2.2106481481481478E-3</v>
      </c>
      <c r="Q9" s="40" t="e">
        <f>#REF!*1440</f>
        <v>#REF!</v>
      </c>
    </row>
    <row r="10" spans="1:17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3.5995370370370369E-3</v>
      </c>
      <c r="N10" s="5">
        <v>7.0254629629629634E-3</v>
      </c>
      <c r="O10" s="5">
        <v>6.2499999999999995E-3</v>
      </c>
      <c r="P10" s="5">
        <v>1.3888888888888889E-3</v>
      </c>
      <c r="Q10" s="40" t="e">
        <f>#REF!*1440</f>
        <v>#REF!</v>
      </c>
    </row>
    <row r="11" spans="1:17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3.0439814814814821E-3</v>
      </c>
      <c r="N11" s="5">
        <v>4.31712962962963E-3</v>
      </c>
      <c r="O11" s="5">
        <v>4.1666666666666666E-3</v>
      </c>
      <c r="P11" s="5">
        <v>1.4467592592592594E-3</v>
      </c>
      <c r="Q11" s="40" t="e">
        <f>#REF!*1440</f>
        <v>#REF!</v>
      </c>
    </row>
    <row r="12" spans="1:17" x14ac:dyDescent="0.35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2.8703703703703708E-3</v>
      </c>
      <c r="N12" s="5">
        <v>6.4236111111111117E-3</v>
      </c>
      <c r="O12" s="5">
        <v>5.0000000000000001E-3</v>
      </c>
      <c r="P12" s="5">
        <v>1.6435185185185183E-3</v>
      </c>
      <c r="Q12" s="40" t="e">
        <f>#REF!*1440</f>
        <v>#REF!</v>
      </c>
    </row>
    <row r="13" spans="1:17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2.9398148148148148E-3</v>
      </c>
      <c r="N13" s="5">
        <v>3.472222222222222E-3</v>
      </c>
      <c r="O13" s="5">
        <v>5.5555555555555558E-3</v>
      </c>
      <c r="P13" s="5">
        <v>1.3888888888888889E-3</v>
      </c>
      <c r="Q13" s="40" t="e">
        <f>#REF!*1440</f>
        <v>#REF!</v>
      </c>
    </row>
    <row r="14" spans="1:17" x14ac:dyDescent="0.35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3.2638888888888891E-3</v>
      </c>
      <c r="N14" s="5">
        <v>2.8124999999999995E-3</v>
      </c>
      <c r="O14" s="5">
        <v>5.6018518518518518E-3</v>
      </c>
      <c r="P14" s="5">
        <v>1.4699074074074074E-3</v>
      </c>
      <c r="Q14" s="40" t="e">
        <f>#REF!*1440</f>
        <v>#REF!</v>
      </c>
    </row>
    <row r="15" spans="1:17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2.7430555555555559E-3</v>
      </c>
      <c r="N15" s="5">
        <v>5.185185185185185E-3</v>
      </c>
      <c r="O15" s="5">
        <v>4.8611111111111112E-3</v>
      </c>
      <c r="P15" s="5">
        <v>2.0833333333333333E-3</v>
      </c>
      <c r="Q15" s="40" t="e">
        <f>#REF!*1440</f>
        <v>#REF!</v>
      </c>
    </row>
    <row r="16" spans="1:17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2.9166666666666668E-3</v>
      </c>
      <c r="N16" s="5">
        <v>3.1597222222222222E-3</v>
      </c>
      <c r="O16" s="5">
        <v>6.2499999999999995E-3</v>
      </c>
      <c r="P16" s="5">
        <v>2.4305555555555556E-3</v>
      </c>
      <c r="Q16" s="40" t="e">
        <f>#REF!*1440</f>
        <v>#REF!</v>
      </c>
    </row>
    <row r="17" spans="1:21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3.472222222222222E-3</v>
      </c>
      <c r="O17" s="5">
        <v>6.1111111111111114E-3</v>
      </c>
      <c r="P17" s="5">
        <v>1.3888888888888889E-3</v>
      </c>
      <c r="Q17" s="40" t="e">
        <f>#REF!*1440</f>
        <v>#REF!</v>
      </c>
    </row>
    <row r="18" spans="1:21" x14ac:dyDescent="0.35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3.0092592592592588E-3</v>
      </c>
      <c r="N18" s="5">
        <v>2.9282407407407412E-3</v>
      </c>
      <c r="O18" s="5">
        <v>5.4398148148148149E-3</v>
      </c>
      <c r="P18" s="5">
        <v>1.2152777777777778E-3</v>
      </c>
      <c r="Q18" s="40" t="e">
        <f>#REF!*1440</f>
        <v>#REF!</v>
      </c>
    </row>
    <row r="19" spans="1:21" x14ac:dyDescent="0.35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3.4953703703703705E-3</v>
      </c>
      <c r="N19" s="5">
        <v>4.6296296296296302E-3</v>
      </c>
      <c r="O19" s="5">
        <v>5.8101851851851856E-3</v>
      </c>
      <c r="P19" s="5">
        <v>1.4814814814814814E-3</v>
      </c>
      <c r="Q19" s="40" t="e">
        <f>#REF!*1440</f>
        <v>#REF!</v>
      </c>
    </row>
    <row r="20" spans="1:21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2.7777777777777779E-3</v>
      </c>
      <c r="O20" s="5">
        <v>5.4976851851851853E-3</v>
      </c>
      <c r="P20" s="5">
        <v>2.7777777777777779E-3</v>
      </c>
      <c r="Q20" s="40" t="e">
        <f>#REF!*1440</f>
        <v>#REF!</v>
      </c>
    </row>
    <row r="21" spans="1:21" x14ac:dyDescent="0.35">
      <c r="A21" s="11"/>
      <c r="B21" s="12"/>
      <c r="C21" s="14"/>
      <c r="D21" s="14"/>
      <c r="E21" s="1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0"/>
    </row>
    <row r="22" spans="1:21" ht="29" x14ac:dyDescent="0.35">
      <c r="D22" s="19" t="s">
        <v>13</v>
      </c>
      <c r="E22" s="19" t="s">
        <v>71</v>
      </c>
      <c r="F22" s="19" t="s">
        <v>1</v>
      </c>
      <c r="G22" s="19" t="s">
        <v>15</v>
      </c>
      <c r="H22" s="19" t="s">
        <v>14</v>
      </c>
      <c r="I22" s="19" t="s">
        <v>2</v>
      </c>
      <c r="J22" s="19" t="s">
        <v>3</v>
      </c>
      <c r="K22" s="90" t="s">
        <v>4</v>
      </c>
      <c r="L22" s="90" t="s">
        <v>5</v>
      </c>
      <c r="M22" s="90" t="s">
        <v>6</v>
      </c>
      <c r="N22" s="90" t="s">
        <v>7</v>
      </c>
      <c r="O22" s="90" t="s">
        <v>8</v>
      </c>
      <c r="P22" s="90" t="s">
        <v>9</v>
      </c>
      <c r="Q22" s="39" t="s">
        <v>96</v>
      </c>
    </row>
    <row r="23" spans="1:21" x14ac:dyDescent="0.35">
      <c r="A23">
        <v>1</v>
      </c>
      <c r="B23" s="12">
        <v>43380</v>
      </c>
      <c r="C23" s="14">
        <v>1</v>
      </c>
      <c r="D23" s="14">
        <v>0</v>
      </c>
      <c r="E23" s="14">
        <v>1</v>
      </c>
      <c r="F23" s="84">
        <f t="shared" ref="F23:P23" si="0">F4*1440</f>
        <v>9.0333333333333332</v>
      </c>
      <c r="G23" s="84">
        <f t="shared" si="0"/>
        <v>0</v>
      </c>
      <c r="H23" s="84">
        <f t="shared" si="0"/>
        <v>0.5</v>
      </c>
      <c r="I23" s="84">
        <f t="shared" si="0"/>
        <v>6</v>
      </c>
      <c r="J23" s="84">
        <f t="shared" si="0"/>
        <v>5</v>
      </c>
      <c r="K23" s="84">
        <f t="shared" si="0"/>
        <v>2.25</v>
      </c>
      <c r="L23" s="84">
        <f t="shared" si="0"/>
        <v>6.2</v>
      </c>
      <c r="M23" s="84">
        <f t="shared" si="0"/>
        <v>4.5666666666666655</v>
      </c>
      <c r="N23" s="84">
        <f t="shared" si="0"/>
        <v>4</v>
      </c>
      <c r="O23" s="84">
        <f t="shared" si="0"/>
        <v>10.35</v>
      </c>
      <c r="P23" s="84">
        <f t="shared" si="0"/>
        <v>2</v>
      </c>
      <c r="Q23" s="40">
        <f t="shared" ref="Q23:Q39" si="1">SUM(F23:P23)</f>
        <v>49.9</v>
      </c>
      <c r="R23" s="88"/>
      <c r="T23" s="94" t="s">
        <v>98</v>
      </c>
    </row>
    <row r="24" spans="1:21" ht="15" thickBot="1" x14ac:dyDescent="0.4">
      <c r="A24">
        <v>2</v>
      </c>
      <c r="B24" s="12">
        <v>43382</v>
      </c>
      <c r="C24" s="14">
        <v>0</v>
      </c>
      <c r="D24" s="14">
        <v>0</v>
      </c>
      <c r="E24" s="14">
        <v>0</v>
      </c>
      <c r="F24" s="84">
        <f t="shared" ref="F24:P24" si="2">F5*1440</f>
        <v>10</v>
      </c>
      <c r="G24" s="84">
        <f t="shared" si="2"/>
        <v>5</v>
      </c>
      <c r="H24" s="84">
        <f t="shared" si="2"/>
        <v>0</v>
      </c>
      <c r="I24" s="84">
        <f t="shared" si="2"/>
        <v>8.0333333333333332</v>
      </c>
      <c r="J24" s="84">
        <f t="shared" si="2"/>
        <v>4</v>
      </c>
      <c r="K24" s="84">
        <f t="shared" si="2"/>
        <v>3</v>
      </c>
      <c r="L24" s="84">
        <f t="shared" si="2"/>
        <v>4</v>
      </c>
      <c r="M24" s="84">
        <f t="shared" si="2"/>
        <v>4.8666666666666671</v>
      </c>
      <c r="N24" s="84">
        <f t="shared" si="2"/>
        <v>6.3666666666666654</v>
      </c>
      <c r="O24" s="84">
        <f t="shared" si="2"/>
        <v>10.3</v>
      </c>
      <c r="P24" s="84">
        <f t="shared" si="2"/>
        <v>2.1666666666666665</v>
      </c>
      <c r="Q24" s="40">
        <f t="shared" si="1"/>
        <v>57.733333333333327</v>
      </c>
      <c r="R24" s="88"/>
    </row>
    <row r="25" spans="1:21" x14ac:dyDescent="0.35">
      <c r="A25">
        <v>3</v>
      </c>
      <c r="B25" s="12">
        <v>43383</v>
      </c>
      <c r="C25" s="14">
        <v>0</v>
      </c>
      <c r="D25" s="14">
        <v>1</v>
      </c>
      <c r="E25" s="14">
        <v>0</v>
      </c>
      <c r="F25" s="84">
        <f t="shared" ref="F25:P25" si="3">F6*1440</f>
        <v>7.2166666666666659</v>
      </c>
      <c r="G25" s="84">
        <f t="shared" si="3"/>
        <v>6.2833333333333332</v>
      </c>
      <c r="H25" s="84">
        <f t="shared" si="3"/>
        <v>0</v>
      </c>
      <c r="I25" s="84">
        <f t="shared" si="3"/>
        <v>7.7333333333333325</v>
      </c>
      <c r="J25" s="84">
        <f t="shared" si="3"/>
        <v>4</v>
      </c>
      <c r="K25" s="84">
        <f t="shared" si="3"/>
        <v>1.9166666666666665</v>
      </c>
      <c r="L25" s="84">
        <f t="shared" si="3"/>
        <v>5.8666666666666671</v>
      </c>
      <c r="M25" s="84">
        <f t="shared" si="3"/>
        <v>5.2</v>
      </c>
      <c r="N25" s="84">
        <f t="shared" si="3"/>
        <v>3</v>
      </c>
      <c r="O25" s="84">
        <f t="shared" si="3"/>
        <v>11</v>
      </c>
      <c r="P25" s="84">
        <f t="shared" si="3"/>
        <v>3</v>
      </c>
      <c r="Q25" s="40">
        <f t="shared" si="1"/>
        <v>55.216666666666669</v>
      </c>
      <c r="R25" s="88"/>
      <c r="T25" s="95" t="s">
        <v>99</v>
      </c>
      <c r="U25" s="95"/>
    </row>
    <row r="26" spans="1:21" x14ac:dyDescent="0.35">
      <c r="A26">
        <v>4</v>
      </c>
      <c r="B26" s="12">
        <v>43386</v>
      </c>
      <c r="C26" s="14">
        <v>1</v>
      </c>
      <c r="D26" s="14">
        <v>1</v>
      </c>
      <c r="E26" s="14">
        <v>1</v>
      </c>
      <c r="F26" s="84">
        <f t="shared" ref="F26:P26" si="4">F7*1440</f>
        <v>7.333333333333333</v>
      </c>
      <c r="G26" s="84">
        <f t="shared" si="4"/>
        <v>0</v>
      </c>
      <c r="H26" s="84">
        <f t="shared" si="4"/>
        <v>0.68333333333333335</v>
      </c>
      <c r="I26" s="84">
        <f t="shared" si="4"/>
        <v>6.4666666666666659</v>
      </c>
      <c r="J26" s="84">
        <f t="shared" si="4"/>
        <v>2.95</v>
      </c>
      <c r="K26" s="84">
        <f t="shared" si="4"/>
        <v>2.1666666666666665</v>
      </c>
      <c r="L26" s="84">
        <f t="shared" si="4"/>
        <v>5.8</v>
      </c>
      <c r="M26" s="84">
        <f t="shared" si="4"/>
        <v>3.4</v>
      </c>
      <c r="N26" s="84">
        <f t="shared" si="4"/>
        <v>4.5666666666666655</v>
      </c>
      <c r="O26" s="84">
        <f t="shared" si="4"/>
        <v>8.2999999999999989</v>
      </c>
      <c r="P26" s="84">
        <f t="shared" si="4"/>
        <v>2.6</v>
      </c>
      <c r="Q26" s="40">
        <f t="shared" si="1"/>
        <v>44.266666666666659</v>
      </c>
      <c r="R26" s="88"/>
      <c r="T26" s="96" t="s">
        <v>100</v>
      </c>
      <c r="U26" s="96">
        <v>1</v>
      </c>
    </row>
    <row r="27" spans="1:21" x14ac:dyDescent="0.35">
      <c r="A27">
        <v>5</v>
      </c>
      <c r="B27" s="12">
        <v>43387</v>
      </c>
      <c r="C27" s="14">
        <v>1</v>
      </c>
      <c r="D27" s="14">
        <v>1</v>
      </c>
      <c r="E27" s="14">
        <v>0</v>
      </c>
      <c r="F27" s="84">
        <f t="shared" ref="F27:P27" si="5">F8*1440</f>
        <v>11.15</v>
      </c>
      <c r="G27" s="84">
        <f t="shared" si="5"/>
        <v>5.65</v>
      </c>
      <c r="H27" s="84">
        <f t="shared" si="5"/>
        <v>0</v>
      </c>
      <c r="I27" s="84">
        <f t="shared" si="5"/>
        <v>4.3166666666666664</v>
      </c>
      <c r="J27" s="84">
        <f t="shared" si="5"/>
        <v>7.4</v>
      </c>
      <c r="K27" s="84">
        <f t="shared" si="5"/>
        <v>3.2333333333333329</v>
      </c>
      <c r="L27" s="84">
        <f t="shared" si="5"/>
        <v>6.1833333333333327</v>
      </c>
      <c r="M27" s="84">
        <f t="shared" si="5"/>
        <v>8.0166666666666675</v>
      </c>
      <c r="N27" s="84">
        <f t="shared" si="5"/>
        <v>6.1</v>
      </c>
      <c r="O27" s="84">
        <f t="shared" si="5"/>
        <v>14</v>
      </c>
      <c r="P27" s="84">
        <f t="shared" si="5"/>
        <v>1.1499999999999999</v>
      </c>
      <c r="Q27" s="40">
        <f t="shared" si="1"/>
        <v>67.2</v>
      </c>
      <c r="R27" s="88"/>
      <c r="T27" s="96" t="s">
        <v>101</v>
      </c>
      <c r="U27" s="96">
        <v>1</v>
      </c>
    </row>
    <row r="28" spans="1:21" x14ac:dyDescent="0.35">
      <c r="A28">
        <v>6</v>
      </c>
      <c r="B28" s="12">
        <v>43389</v>
      </c>
      <c r="C28" s="14">
        <v>0</v>
      </c>
      <c r="D28" s="14">
        <v>0</v>
      </c>
      <c r="E28" s="14">
        <v>0</v>
      </c>
      <c r="F28" s="84">
        <f t="shared" ref="F28:P28" si="6">F9*1440</f>
        <v>6.3833333333333337</v>
      </c>
      <c r="G28" s="84">
        <f t="shared" si="6"/>
        <v>2</v>
      </c>
      <c r="H28" s="84">
        <f t="shared" si="6"/>
        <v>0</v>
      </c>
      <c r="I28" s="84">
        <f t="shared" si="6"/>
        <v>9</v>
      </c>
      <c r="J28" s="84">
        <f t="shared" si="6"/>
        <v>5</v>
      </c>
      <c r="K28" s="84">
        <f t="shared" si="6"/>
        <v>2.8</v>
      </c>
      <c r="L28" s="84">
        <f t="shared" si="6"/>
        <v>5.2166666666666668</v>
      </c>
      <c r="M28" s="84">
        <f t="shared" si="6"/>
        <v>4</v>
      </c>
      <c r="N28" s="84">
        <f t="shared" si="6"/>
        <v>4</v>
      </c>
      <c r="O28" s="84">
        <f t="shared" si="6"/>
        <v>8.0166666666666675</v>
      </c>
      <c r="P28" s="84">
        <f t="shared" si="6"/>
        <v>3.1833333333333327</v>
      </c>
      <c r="Q28" s="40">
        <f t="shared" si="1"/>
        <v>49.599999999999994</v>
      </c>
      <c r="R28" s="88"/>
      <c r="T28" s="96" t="s">
        <v>102</v>
      </c>
      <c r="U28" s="96">
        <v>1</v>
      </c>
    </row>
    <row r="29" spans="1:21" x14ac:dyDescent="0.35">
      <c r="A29">
        <v>7</v>
      </c>
      <c r="B29" s="12">
        <v>43390</v>
      </c>
      <c r="C29" s="14">
        <v>0</v>
      </c>
      <c r="D29" s="14">
        <v>0</v>
      </c>
      <c r="E29" s="14">
        <v>0</v>
      </c>
      <c r="F29" s="84">
        <f t="shared" ref="F29:P29" si="7">F10*1440</f>
        <v>8</v>
      </c>
      <c r="G29" s="84">
        <f t="shared" si="7"/>
        <v>2.6666666666666665</v>
      </c>
      <c r="H29" s="84">
        <f t="shared" si="7"/>
        <v>0</v>
      </c>
      <c r="I29" s="84">
        <f t="shared" si="7"/>
        <v>6</v>
      </c>
      <c r="J29" s="84">
        <f t="shared" si="7"/>
        <v>6.2</v>
      </c>
      <c r="K29" s="84">
        <f t="shared" si="7"/>
        <v>3.6833333333333336</v>
      </c>
      <c r="L29" s="84">
        <f t="shared" si="7"/>
        <v>7.2500000000000009</v>
      </c>
      <c r="M29" s="84">
        <f t="shared" si="7"/>
        <v>5.1833333333333336</v>
      </c>
      <c r="N29" s="84">
        <f t="shared" si="7"/>
        <v>10.116666666666667</v>
      </c>
      <c r="O29" s="84">
        <f t="shared" si="7"/>
        <v>9</v>
      </c>
      <c r="P29" s="84">
        <f t="shared" si="7"/>
        <v>2</v>
      </c>
      <c r="Q29" s="40">
        <f t="shared" si="1"/>
        <v>60.1</v>
      </c>
      <c r="R29" s="88"/>
      <c r="T29" s="96" t="s">
        <v>23</v>
      </c>
      <c r="U29" s="96">
        <v>3.3539314339115974E-15</v>
      </c>
    </row>
    <row r="30" spans="1:21" ht="15" thickBot="1" x14ac:dyDescent="0.4">
      <c r="A30">
        <v>8</v>
      </c>
      <c r="B30" s="12">
        <v>43392</v>
      </c>
      <c r="C30" s="14">
        <v>0</v>
      </c>
      <c r="D30" s="14">
        <v>1</v>
      </c>
      <c r="E30" s="14">
        <v>0</v>
      </c>
      <c r="F30" s="84">
        <f t="shared" ref="F30:P30" si="8">F11*1440</f>
        <v>7.5</v>
      </c>
      <c r="G30" s="84">
        <f t="shared" si="8"/>
        <v>3</v>
      </c>
      <c r="H30" s="84">
        <f t="shared" si="8"/>
        <v>0</v>
      </c>
      <c r="I30" s="84">
        <f t="shared" si="8"/>
        <v>7.0166666666666675</v>
      </c>
      <c r="J30" s="84">
        <f t="shared" si="8"/>
        <v>5.9666666666666668</v>
      </c>
      <c r="K30" s="84">
        <f t="shared" si="8"/>
        <v>4</v>
      </c>
      <c r="L30" s="84">
        <f t="shared" si="8"/>
        <v>6.0333333333333332</v>
      </c>
      <c r="M30" s="84">
        <f t="shared" si="8"/>
        <v>4.3833333333333346</v>
      </c>
      <c r="N30" s="84">
        <f t="shared" si="8"/>
        <v>6.2166666666666668</v>
      </c>
      <c r="O30" s="84">
        <f t="shared" si="8"/>
        <v>6</v>
      </c>
      <c r="P30" s="84">
        <f t="shared" si="8"/>
        <v>2.0833333333333335</v>
      </c>
      <c r="Q30" s="40">
        <f t="shared" si="1"/>
        <v>52.2</v>
      </c>
      <c r="R30" s="88"/>
      <c r="T30" s="97" t="s">
        <v>103</v>
      </c>
      <c r="U30" s="97">
        <v>17</v>
      </c>
    </row>
    <row r="31" spans="1:21" x14ac:dyDescent="0.35">
      <c r="A31">
        <v>9</v>
      </c>
      <c r="B31" s="12">
        <v>43393</v>
      </c>
      <c r="C31" s="14">
        <v>1</v>
      </c>
      <c r="D31" s="14">
        <v>1</v>
      </c>
      <c r="E31" s="14">
        <v>0</v>
      </c>
      <c r="F31" s="84">
        <f t="shared" ref="F31:P31" si="9">F12*1440</f>
        <v>9</v>
      </c>
      <c r="G31" s="84">
        <f t="shared" si="9"/>
        <v>4</v>
      </c>
      <c r="H31" s="84">
        <f t="shared" si="9"/>
        <v>0</v>
      </c>
      <c r="I31" s="84">
        <f t="shared" si="9"/>
        <v>7.2</v>
      </c>
      <c r="J31" s="84">
        <f t="shared" si="9"/>
        <v>5</v>
      </c>
      <c r="K31" s="84">
        <f t="shared" si="9"/>
        <v>3</v>
      </c>
      <c r="L31" s="84">
        <f t="shared" si="9"/>
        <v>5.35</v>
      </c>
      <c r="M31" s="84">
        <f t="shared" si="9"/>
        <v>4.1333333333333337</v>
      </c>
      <c r="N31" s="84">
        <f t="shared" si="9"/>
        <v>9.25</v>
      </c>
      <c r="O31" s="84">
        <f t="shared" si="9"/>
        <v>7.2</v>
      </c>
      <c r="P31" s="84">
        <f t="shared" si="9"/>
        <v>2.3666666666666663</v>
      </c>
      <c r="Q31" s="40">
        <f t="shared" si="1"/>
        <v>56.5</v>
      </c>
      <c r="R31" s="88"/>
    </row>
    <row r="32" spans="1:21" ht="15" thickBot="1" x14ac:dyDescent="0.4">
      <c r="A32">
        <v>10</v>
      </c>
      <c r="B32" s="12">
        <v>43394</v>
      </c>
      <c r="C32" s="14">
        <v>1</v>
      </c>
      <c r="D32" s="14">
        <v>1</v>
      </c>
      <c r="E32" s="14">
        <v>0</v>
      </c>
      <c r="F32" s="84">
        <f t="shared" ref="F32:P32" si="10">F13*1440</f>
        <v>6.916666666666667</v>
      </c>
      <c r="G32" s="84">
        <f t="shared" si="10"/>
        <v>4</v>
      </c>
      <c r="H32" s="84">
        <f t="shared" si="10"/>
        <v>0</v>
      </c>
      <c r="I32" s="84">
        <f t="shared" si="10"/>
        <v>7.3666666666666671</v>
      </c>
      <c r="J32" s="84">
        <f t="shared" si="10"/>
        <v>4</v>
      </c>
      <c r="K32" s="84">
        <f t="shared" si="10"/>
        <v>1</v>
      </c>
      <c r="L32" s="84">
        <f t="shared" si="10"/>
        <v>6.2999999999999989</v>
      </c>
      <c r="M32" s="84">
        <f t="shared" si="10"/>
        <v>4.2333333333333334</v>
      </c>
      <c r="N32" s="84">
        <f t="shared" si="10"/>
        <v>5</v>
      </c>
      <c r="O32" s="84">
        <f t="shared" si="10"/>
        <v>8</v>
      </c>
      <c r="P32" s="84">
        <f t="shared" si="10"/>
        <v>2</v>
      </c>
      <c r="Q32" s="40">
        <f t="shared" si="1"/>
        <v>48.81666666666667</v>
      </c>
      <c r="R32" s="88"/>
      <c r="T32" s="94" t="s">
        <v>104</v>
      </c>
    </row>
    <row r="33" spans="1:28" x14ac:dyDescent="0.35">
      <c r="A33">
        <v>11</v>
      </c>
      <c r="B33" s="12">
        <v>43396</v>
      </c>
      <c r="C33" s="14">
        <v>0</v>
      </c>
      <c r="D33" s="14">
        <v>0</v>
      </c>
      <c r="E33" s="14">
        <v>0</v>
      </c>
      <c r="F33" s="84">
        <f t="shared" ref="F33:P33" si="11">F14*1440</f>
        <v>8.0166666666666675</v>
      </c>
      <c r="G33" s="84">
        <f t="shared" si="11"/>
        <v>3.166666666666667</v>
      </c>
      <c r="H33" s="84">
        <f t="shared" si="11"/>
        <v>0</v>
      </c>
      <c r="I33" s="84">
        <f t="shared" si="11"/>
        <v>4.583333333333333</v>
      </c>
      <c r="J33" s="84">
        <f t="shared" si="11"/>
        <v>5.3</v>
      </c>
      <c r="K33" s="84">
        <f t="shared" si="11"/>
        <v>3.6166666666666667</v>
      </c>
      <c r="L33" s="84">
        <f t="shared" si="11"/>
        <v>5.5333333333333332</v>
      </c>
      <c r="M33" s="84">
        <f t="shared" si="11"/>
        <v>4.7</v>
      </c>
      <c r="N33" s="84">
        <f t="shared" si="11"/>
        <v>4.0499999999999989</v>
      </c>
      <c r="O33" s="84">
        <f t="shared" si="11"/>
        <v>8.0666666666666664</v>
      </c>
      <c r="P33" s="84">
        <f t="shared" si="11"/>
        <v>2.1166666666666667</v>
      </c>
      <c r="Q33" s="40">
        <f t="shared" si="1"/>
        <v>49.15</v>
      </c>
      <c r="R33" s="88"/>
      <c r="T33" s="98"/>
      <c r="U33" s="98" t="s">
        <v>108</v>
      </c>
      <c r="V33" s="98" t="s">
        <v>109</v>
      </c>
      <c r="W33" s="98" t="s">
        <v>110</v>
      </c>
      <c r="X33" s="98" t="s">
        <v>111</v>
      </c>
      <c r="Y33" s="98" t="s">
        <v>112</v>
      </c>
    </row>
    <row r="34" spans="1:28" x14ac:dyDescent="0.35">
      <c r="A34">
        <v>12</v>
      </c>
      <c r="B34" s="12">
        <v>43397</v>
      </c>
      <c r="C34" s="14">
        <v>0</v>
      </c>
      <c r="D34" s="14">
        <v>1</v>
      </c>
      <c r="E34" s="14">
        <v>1</v>
      </c>
      <c r="F34" s="84">
        <f t="shared" ref="F34:P34" si="12">F15*1440</f>
        <v>7</v>
      </c>
      <c r="G34" s="84">
        <f t="shared" si="12"/>
        <v>0</v>
      </c>
      <c r="H34" s="84">
        <f t="shared" si="12"/>
        <v>0.8</v>
      </c>
      <c r="I34" s="84">
        <f t="shared" si="12"/>
        <v>5.7833333333333323</v>
      </c>
      <c r="J34" s="84">
        <f t="shared" si="12"/>
        <v>7.333333333333333</v>
      </c>
      <c r="K34" s="84">
        <f t="shared" si="12"/>
        <v>3.2</v>
      </c>
      <c r="L34" s="84">
        <f t="shared" si="12"/>
        <v>4.166666666666667</v>
      </c>
      <c r="M34" s="84">
        <f t="shared" si="12"/>
        <v>3.9500000000000006</v>
      </c>
      <c r="N34" s="84">
        <f t="shared" si="12"/>
        <v>7.4666666666666668</v>
      </c>
      <c r="O34" s="84">
        <f t="shared" si="12"/>
        <v>7</v>
      </c>
      <c r="P34" s="84">
        <f t="shared" si="12"/>
        <v>3</v>
      </c>
      <c r="Q34" s="40">
        <f t="shared" si="1"/>
        <v>49.7</v>
      </c>
      <c r="R34" s="88"/>
      <c r="T34" s="96" t="s">
        <v>105</v>
      </c>
      <c r="U34" s="96">
        <v>11</v>
      </c>
      <c r="V34" s="96">
        <v>510.2088562091505</v>
      </c>
      <c r="W34" s="96">
        <v>46.382623291740956</v>
      </c>
      <c r="X34" s="96">
        <v>4.1233191206646913E+30</v>
      </c>
      <c r="Y34" s="96">
        <v>1.1690241676735697E-76</v>
      </c>
    </row>
    <row r="35" spans="1:28" x14ac:dyDescent="0.35">
      <c r="A35">
        <v>13</v>
      </c>
      <c r="B35" s="12">
        <v>43400</v>
      </c>
      <c r="C35" s="14">
        <v>1</v>
      </c>
      <c r="D35" s="14">
        <v>1</v>
      </c>
      <c r="E35" s="14">
        <v>0</v>
      </c>
      <c r="F35" s="84">
        <f t="shared" ref="F35:P35" si="13">F16*1440</f>
        <v>6.5000000000000009</v>
      </c>
      <c r="G35" s="84">
        <f t="shared" si="13"/>
        <v>5</v>
      </c>
      <c r="H35" s="84">
        <f t="shared" si="13"/>
        <v>0</v>
      </c>
      <c r="I35" s="84">
        <f t="shared" si="13"/>
        <v>6.083333333333333</v>
      </c>
      <c r="J35" s="84">
        <f t="shared" si="13"/>
        <v>4.333333333333333</v>
      </c>
      <c r="K35" s="84">
        <f t="shared" si="13"/>
        <v>3.3</v>
      </c>
      <c r="L35" s="84">
        <f t="shared" si="13"/>
        <v>4</v>
      </c>
      <c r="M35" s="84">
        <f t="shared" si="13"/>
        <v>4.2</v>
      </c>
      <c r="N35" s="84">
        <f t="shared" si="13"/>
        <v>4.55</v>
      </c>
      <c r="O35" s="84">
        <f t="shared" si="13"/>
        <v>9</v>
      </c>
      <c r="P35" s="84">
        <f t="shared" si="13"/>
        <v>3.5</v>
      </c>
      <c r="Q35" s="40">
        <f t="shared" si="1"/>
        <v>50.466666666666661</v>
      </c>
      <c r="R35" s="88"/>
      <c r="T35" s="96" t="s">
        <v>106</v>
      </c>
      <c r="U35" s="96">
        <v>5</v>
      </c>
      <c r="V35" s="96">
        <v>5.624428031690152E-29</v>
      </c>
      <c r="W35" s="96">
        <v>1.1248856063380304E-29</v>
      </c>
      <c r="X35" s="96"/>
      <c r="Y35" s="96"/>
    </row>
    <row r="36" spans="1:28" ht="15" thickBot="1" x14ac:dyDescent="0.4">
      <c r="A36">
        <v>14</v>
      </c>
      <c r="B36" s="12">
        <v>43402</v>
      </c>
      <c r="C36" s="14">
        <v>0</v>
      </c>
      <c r="D36" s="14">
        <v>0</v>
      </c>
      <c r="E36" s="14">
        <v>1</v>
      </c>
      <c r="F36" s="84">
        <f t="shared" ref="F36:P36" si="14">F17*1440</f>
        <v>6.083333333333333</v>
      </c>
      <c r="G36" s="84">
        <f t="shared" si="14"/>
        <v>0</v>
      </c>
      <c r="H36" s="84">
        <f t="shared" si="14"/>
        <v>0.65</v>
      </c>
      <c r="I36" s="84">
        <f t="shared" si="14"/>
        <v>5.4666666666666668</v>
      </c>
      <c r="J36" s="84">
        <f t="shared" si="14"/>
        <v>7</v>
      </c>
      <c r="K36" s="84">
        <f t="shared" si="14"/>
        <v>2.8166666666666664</v>
      </c>
      <c r="L36" s="84">
        <f t="shared" si="14"/>
        <v>6</v>
      </c>
      <c r="M36" s="84">
        <f t="shared" si="14"/>
        <v>5</v>
      </c>
      <c r="N36" s="84">
        <f t="shared" si="14"/>
        <v>5</v>
      </c>
      <c r="O36" s="84">
        <f t="shared" si="14"/>
        <v>8.8000000000000007</v>
      </c>
      <c r="P36" s="84">
        <f t="shared" si="14"/>
        <v>2</v>
      </c>
      <c r="Q36" s="40">
        <f t="shared" si="1"/>
        <v>48.816666666666663</v>
      </c>
      <c r="R36" s="88"/>
      <c r="T36" s="97" t="s">
        <v>70</v>
      </c>
      <c r="U36" s="97">
        <v>16</v>
      </c>
      <c r="V36" s="97">
        <v>510.2088562091505</v>
      </c>
      <c r="W36" s="97"/>
      <c r="X36" s="97"/>
      <c r="Y36" s="97"/>
    </row>
    <row r="37" spans="1:28" ht="15" thickBot="1" x14ac:dyDescent="0.4">
      <c r="A37">
        <v>15</v>
      </c>
      <c r="B37" s="12">
        <v>43404</v>
      </c>
      <c r="C37" s="14">
        <v>0</v>
      </c>
      <c r="D37" s="14">
        <v>0</v>
      </c>
      <c r="E37" s="14">
        <v>0</v>
      </c>
      <c r="F37" s="84">
        <f t="shared" ref="F37:P37" si="15">F18*1440</f>
        <v>6.2333333333333334</v>
      </c>
      <c r="G37" s="84">
        <f t="shared" si="15"/>
        <v>4</v>
      </c>
      <c r="H37" s="84">
        <f t="shared" si="15"/>
        <v>0</v>
      </c>
      <c r="I37" s="84">
        <f t="shared" si="15"/>
        <v>5.9333333333333336</v>
      </c>
      <c r="J37" s="84">
        <f t="shared" si="15"/>
        <v>3</v>
      </c>
      <c r="K37" s="84">
        <f t="shared" si="15"/>
        <v>4.6166666666666671</v>
      </c>
      <c r="L37" s="84">
        <f t="shared" si="15"/>
        <v>4.1333333333333337</v>
      </c>
      <c r="M37" s="84">
        <f t="shared" si="15"/>
        <v>4.333333333333333</v>
      </c>
      <c r="N37" s="84">
        <f t="shared" si="15"/>
        <v>4.2166666666666677</v>
      </c>
      <c r="O37" s="84">
        <f t="shared" si="15"/>
        <v>7.833333333333333</v>
      </c>
      <c r="P37" s="84">
        <f t="shared" si="15"/>
        <v>1.75</v>
      </c>
      <c r="Q37" s="40">
        <f t="shared" si="1"/>
        <v>46.050000000000004</v>
      </c>
      <c r="R37" s="88"/>
    </row>
    <row r="38" spans="1:28" x14ac:dyDescent="0.35">
      <c r="A38">
        <v>16</v>
      </c>
      <c r="B38" s="12">
        <v>43409</v>
      </c>
      <c r="C38" s="14">
        <v>0</v>
      </c>
      <c r="D38" s="14">
        <v>0</v>
      </c>
      <c r="E38" s="14">
        <v>1</v>
      </c>
      <c r="F38" s="84">
        <f t="shared" ref="F38:P38" si="16">F19*1440</f>
        <v>7.3666666666666671</v>
      </c>
      <c r="G38" s="84">
        <f t="shared" si="16"/>
        <v>0</v>
      </c>
      <c r="H38" s="84">
        <f t="shared" si="16"/>
        <v>0.7</v>
      </c>
      <c r="I38" s="84">
        <f t="shared" si="16"/>
        <v>4.416666666666667</v>
      </c>
      <c r="J38" s="84">
        <f t="shared" si="16"/>
        <v>6</v>
      </c>
      <c r="K38" s="84">
        <f t="shared" si="16"/>
        <v>4.1833333333333336</v>
      </c>
      <c r="L38" s="84">
        <f t="shared" si="16"/>
        <v>7.8833333333333337</v>
      </c>
      <c r="M38" s="84">
        <f t="shared" si="16"/>
        <v>5.0333333333333332</v>
      </c>
      <c r="N38" s="84">
        <f t="shared" si="16"/>
        <v>6.6666666666666679</v>
      </c>
      <c r="O38" s="84">
        <f t="shared" si="16"/>
        <v>8.3666666666666671</v>
      </c>
      <c r="P38" s="84">
        <f t="shared" si="16"/>
        <v>2.1333333333333333</v>
      </c>
      <c r="Q38" s="40">
        <f t="shared" si="1"/>
        <v>52.75</v>
      </c>
      <c r="R38" s="88"/>
      <c r="T38" s="98"/>
      <c r="U38" s="98" t="s">
        <v>113</v>
      </c>
      <c r="V38" s="98" t="s">
        <v>23</v>
      </c>
      <c r="W38" s="98" t="s">
        <v>114</v>
      </c>
      <c r="X38" s="98" t="s">
        <v>115</v>
      </c>
      <c r="Y38" s="98" t="s">
        <v>116</v>
      </c>
      <c r="Z38" s="98" t="s">
        <v>117</v>
      </c>
      <c r="AA38" s="98" t="s">
        <v>118</v>
      </c>
      <c r="AB38" s="98" t="s">
        <v>119</v>
      </c>
    </row>
    <row r="39" spans="1:28" x14ac:dyDescent="0.35">
      <c r="A39">
        <v>17</v>
      </c>
      <c r="B39" s="12">
        <v>43410</v>
      </c>
      <c r="C39" s="14">
        <v>0</v>
      </c>
      <c r="D39" s="14">
        <v>1</v>
      </c>
      <c r="E39" s="14">
        <v>0</v>
      </c>
      <c r="F39" s="84">
        <f t="shared" ref="F39:P39" si="17">F20*1440</f>
        <v>6.883333333333332</v>
      </c>
      <c r="G39" s="84">
        <f t="shared" si="17"/>
        <v>3</v>
      </c>
      <c r="H39" s="84">
        <f t="shared" si="17"/>
        <v>0</v>
      </c>
      <c r="I39" s="84">
        <f t="shared" si="17"/>
        <v>4.083333333333333</v>
      </c>
      <c r="J39" s="84">
        <f t="shared" si="17"/>
        <v>6.083333333333333</v>
      </c>
      <c r="K39" s="84">
        <f t="shared" si="17"/>
        <v>3.9666666666666663</v>
      </c>
      <c r="L39" s="84">
        <f t="shared" si="17"/>
        <v>5.0999999999999996</v>
      </c>
      <c r="M39" s="84">
        <f t="shared" si="17"/>
        <v>4</v>
      </c>
      <c r="N39" s="84">
        <f t="shared" si="17"/>
        <v>4</v>
      </c>
      <c r="O39" s="84">
        <f t="shared" si="17"/>
        <v>7.916666666666667</v>
      </c>
      <c r="P39" s="84">
        <f t="shared" si="17"/>
        <v>4</v>
      </c>
      <c r="Q39" s="40">
        <f t="shared" si="1"/>
        <v>49.033333333333324</v>
      </c>
      <c r="R39" s="88"/>
      <c r="T39" s="96" t="s">
        <v>107</v>
      </c>
      <c r="U39" s="96">
        <v>2.4868995751603507E-14</v>
      </c>
      <c r="V39" s="96">
        <v>1.7634527902091335E-14</v>
      </c>
      <c r="W39" s="96">
        <v>1.4102444868203254</v>
      </c>
      <c r="X39" s="96">
        <v>0.21753804305509677</v>
      </c>
      <c r="Y39" s="96">
        <v>-2.0462001353534251E-14</v>
      </c>
      <c r="Z39" s="96">
        <v>7.0199992856741258E-14</v>
      </c>
      <c r="AA39" s="96">
        <v>-2.0462001353534251E-14</v>
      </c>
      <c r="AB39" s="96">
        <v>7.0199992856741258E-14</v>
      </c>
    </row>
    <row r="40" spans="1:28" x14ac:dyDescent="0.35">
      <c r="B40" s="83"/>
      <c r="C40" s="19" t="s">
        <v>93</v>
      </c>
      <c r="D40" s="19" t="s">
        <v>123</v>
      </c>
      <c r="E40" s="19" t="s">
        <v>84</v>
      </c>
      <c r="F40" s="19" t="s">
        <v>85</v>
      </c>
      <c r="G40" s="19" t="s">
        <v>86</v>
      </c>
      <c r="H40" s="19" t="s">
        <v>87</v>
      </c>
      <c r="I40" s="19" t="s">
        <v>88</v>
      </c>
      <c r="J40" s="19" t="s">
        <v>89</v>
      </c>
      <c r="K40" s="19" t="s">
        <v>90</v>
      </c>
      <c r="L40" s="19" t="s">
        <v>91</v>
      </c>
      <c r="M40" s="19" t="s">
        <v>92</v>
      </c>
      <c r="N40" s="19" t="s">
        <v>94</v>
      </c>
      <c r="O40" s="19" t="s">
        <v>95</v>
      </c>
      <c r="P40" s="19" t="s">
        <v>124</v>
      </c>
      <c r="Q40" s="39" t="s">
        <v>97</v>
      </c>
      <c r="T40" s="96" t="s">
        <v>1</v>
      </c>
      <c r="U40" s="96">
        <v>0.99999999999999978</v>
      </c>
      <c r="V40" s="96">
        <v>1.0827790373548553E-15</v>
      </c>
      <c r="W40" s="96">
        <v>923549464388340.75</v>
      </c>
      <c r="X40" s="96">
        <v>2.824899864874227E-74</v>
      </c>
      <c r="Y40" s="96">
        <v>0.999999999999997</v>
      </c>
      <c r="Z40" s="96">
        <v>1.0000000000000027</v>
      </c>
      <c r="AA40" s="96">
        <v>0.999999999999997</v>
      </c>
      <c r="AB40" s="96">
        <v>1.0000000000000027</v>
      </c>
    </row>
    <row r="41" spans="1:28" x14ac:dyDescent="0.35">
      <c r="R41" s="88"/>
      <c r="T41" s="96" t="s">
        <v>15</v>
      </c>
      <c r="U41" s="96">
        <v>1.0000000000000053</v>
      </c>
      <c r="V41" s="96">
        <v>2.3188572730939603E-15</v>
      </c>
      <c r="W41" s="96">
        <v>431246895444213.56</v>
      </c>
      <c r="X41" s="96">
        <v>1.2725473583823026E-72</v>
      </c>
      <c r="Y41" s="96">
        <v>0.99999999999999933</v>
      </c>
      <c r="Z41" s="96">
        <v>1.0000000000000113</v>
      </c>
      <c r="AA41" s="96">
        <v>0.99999999999999933</v>
      </c>
      <c r="AB41" s="96">
        <v>1.0000000000000113</v>
      </c>
    </row>
    <row r="42" spans="1:28" ht="16" customHeight="1" x14ac:dyDescent="0.35">
      <c r="B42" s="83" t="s">
        <v>0</v>
      </c>
      <c r="C42" s="19" t="s">
        <v>1</v>
      </c>
      <c r="D42" s="19" t="s">
        <v>15</v>
      </c>
      <c r="E42" s="19" t="s">
        <v>14</v>
      </c>
      <c r="F42" s="19" t="s">
        <v>2</v>
      </c>
      <c r="G42" s="19" t="s">
        <v>3</v>
      </c>
      <c r="H42" s="83" t="s">
        <v>4</v>
      </c>
      <c r="I42" s="83" t="s">
        <v>5</v>
      </c>
      <c r="J42" s="83" t="s">
        <v>6</v>
      </c>
      <c r="K42" s="83" t="s">
        <v>7</v>
      </c>
      <c r="L42" s="83" t="s">
        <v>8</v>
      </c>
      <c r="M42" s="83" t="s">
        <v>9</v>
      </c>
      <c r="N42" s="19" t="s">
        <v>11</v>
      </c>
      <c r="O42" s="39" t="s">
        <v>96</v>
      </c>
      <c r="Q42" s="36"/>
      <c r="R42" s="86"/>
      <c r="T42" s="96" t="s">
        <v>14</v>
      </c>
      <c r="U42" s="96">
        <v>1.0000000000000144</v>
      </c>
      <c r="V42" s="96">
        <v>7.7768374182741798E-15</v>
      </c>
      <c r="W42" s="96">
        <v>128586975169391.22</v>
      </c>
      <c r="X42" s="96">
        <v>5.3990700274382221E-70</v>
      </c>
      <c r="Y42" s="96">
        <v>0.99999999999999445</v>
      </c>
      <c r="Z42" s="96">
        <v>1.0000000000000344</v>
      </c>
      <c r="AA42" s="96">
        <v>0.99999999999999445</v>
      </c>
      <c r="AB42" s="96">
        <v>1.0000000000000344</v>
      </c>
    </row>
    <row r="43" spans="1:28" x14ac:dyDescent="0.35">
      <c r="Q43" s="36"/>
      <c r="R43" s="86"/>
      <c r="T43" s="96" t="s">
        <v>2</v>
      </c>
      <c r="U43" s="96">
        <v>0.99999999999999978</v>
      </c>
      <c r="V43" s="96">
        <v>9.8790802830793445E-16</v>
      </c>
      <c r="W43" s="96">
        <v>1012239977149265.8</v>
      </c>
      <c r="X43" s="96">
        <v>1.7860204842923152E-74</v>
      </c>
      <c r="Y43" s="96">
        <v>0.99999999999999722</v>
      </c>
      <c r="Z43" s="96">
        <v>1.0000000000000022</v>
      </c>
      <c r="AA43" s="96">
        <v>0.99999999999999722</v>
      </c>
      <c r="AB43" s="96">
        <v>1.0000000000000022</v>
      </c>
    </row>
    <row r="44" spans="1:28" x14ac:dyDescent="0.35">
      <c r="Q44" s="36"/>
      <c r="R44" s="86"/>
      <c r="T44" s="96" t="s">
        <v>3</v>
      </c>
      <c r="U44" s="96">
        <v>1.0000000000000047</v>
      </c>
      <c r="V44" s="96">
        <v>3.1597685623400134E-15</v>
      </c>
      <c r="W44" s="96">
        <v>316478875041227.63</v>
      </c>
      <c r="X44" s="96">
        <v>5.9783347730913769E-72</v>
      </c>
      <c r="Y44" s="96">
        <v>0.99999999999999656</v>
      </c>
      <c r="Z44" s="96">
        <v>1.0000000000000129</v>
      </c>
      <c r="AA44" s="96">
        <v>0.99999999999999656</v>
      </c>
      <c r="AB44" s="96">
        <v>1.0000000000000129</v>
      </c>
    </row>
    <row r="45" spans="1:28" x14ac:dyDescent="0.35">
      <c r="T45" s="96" t="s">
        <v>4</v>
      </c>
      <c r="U45" s="96">
        <v>1.0000000000000024</v>
      </c>
      <c r="V45" s="96">
        <v>2.3365474132420189E-15</v>
      </c>
      <c r="W45" s="96">
        <v>427981899418200.56</v>
      </c>
      <c r="X45" s="96">
        <v>1.3218337991291878E-72</v>
      </c>
      <c r="Y45" s="96">
        <v>0.99999999999999645</v>
      </c>
      <c r="Z45" s="96">
        <v>1.0000000000000084</v>
      </c>
      <c r="AA45" s="96">
        <v>0.99999999999999645</v>
      </c>
      <c r="AB45" s="96">
        <v>1.0000000000000084</v>
      </c>
    </row>
    <row r="46" spans="1:28" x14ac:dyDescent="0.35">
      <c r="T46" s="96" t="s">
        <v>5</v>
      </c>
      <c r="U46" s="96">
        <v>1.0000000000000022</v>
      </c>
      <c r="V46" s="96">
        <v>1.7837324735401074E-15</v>
      </c>
      <c r="W46" s="96">
        <v>560622186809964.5</v>
      </c>
      <c r="X46" s="96">
        <v>3.4273026454525052E-73</v>
      </c>
      <c r="Y46" s="96">
        <v>0.99999999999999767</v>
      </c>
      <c r="Z46" s="96">
        <v>1.0000000000000069</v>
      </c>
      <c r="AA46" s="96">
        <v>0.99999999999999767</v>
      </c>
      <c r="AB46" s="96">
        <v>1.0000000000000069</v>
      </c>
    </row>
    <row r="47" spans="1:28" x14ac:dyDescent="0.35">
      <c r="T47" s="96" t="s">
        <v>6</v>
      </c>
      <c r="U47" s="96">
        <v>0.99999999999998201</v>
      </c>
      <c r="V47" s="96">
        <v>9.9040963223022543E-15</v>
      </c>
      <c r="W47" s="96">
        <v>100968323354061.17</v>
      </c>
      <c r="X47" s="96">
        <v>1.8087483122564267E-69</v>
      </c>
      <c r="Y47" s="96">
        <v>0.99999999999995659</v>
      </c>
      <c r="Z47" s="96">
        <v>1.0000000000000075</v>
      </c>
      <c r="AA47" s="96">
        <v>0.99999999999995659</v>
      </c>
      <c r="AB47" s="96">
        <v>1.0000000000000075</v>
      </c>
    </row>
    <row r="48" spans="1:28" x14ac:dyDescent="0.35">
      <c r="T48" s="96" t="s">
        <v>7</v>
      </c>
      <c r="U48" s="96">
        <v>1</v>
      </c>
      <c r="V48" s="96">
        <v>7.7764618231441635E-16</v>
      </c>
      <c r="W48" s="96">
        <v>1285931857884029.3</v>
      </c>
      <c r="X48" s="96">
        <v>5.3977663686173809E-75</v>
      </c>
      <c r="Y48" s="96">
        <v>0.999999999999998</v>
      </c>
      <c r="Z48" s="96">
        <v>1.000000000000002</v>
      </c>
      <c r="AA48" s="96">
        <v>0.999999999999998</v>
      </c>
      <c r="AB48" s="96">
        <v>1.000000000000002</v>
      </c>
    </row>
    <row r="49" spans="20:28" x14ac:dyDescent="0.35">
      <c r="T49" s="96" t="s">
        <v>8</v>
      </c>
      <c r="U49" s="96">
        <v>1.000000000000004</v>
      </c>
      <c r="V49" s="96">
        <v>3.0266069746168548E-15</v>
      </c>
      <c r="W49" s="96">
        <v>330402991992905.31</v>
      </c>
      <c r="X49" s="96">
        <v>4.8204102855816308E-72</v>
      </c>
      <c r="Y49" s="96">
        <v>0.99999999999999623</v>
      </c>
      <c r="Z49" s="96">
        <v>1.0000000000000118</v>
      </c>
      <c r="AA49" s="96">
        <v>0.99999999999999623</v>
      </c>
      <c r="AB49" s="96">
        <v>1.0000000000000118</v>
      </c>
    </row>
    <row r="50" spans="20:28" ht="15" thickBot="1" x14ac:dyDescent="0.4">
      <c r="T50" s="97" t="s">
        <v>9</v>
      </c>
      <c r="U50" s="97">
        <v>0.99999999999998801</v>
      </c>
      <c r="V50" s="97">
        <v>4.7627217612153119E-15</v>
      </c>
      <c r="W50" s="97">
        <v>209963976510947.03</v>
      </c>
      <c r="X50" s="97">
        <v>4.6513595881639348E-71</v>
      </c>
      <c r="Y50" s="97">
        <v>0.9999999999999758</v>
      </c>
      <c r="Z50" s="97">
        <v>1.0000000000000002</v>
      </c>
      <c r="AA50" s="97">
        <v>0.9999999999999758</v>
      </c>
      <c r="AB50" s="97">
        <v>1.0000000000000002</v>
      </c>
    </row>
    <row r="54" spans="20:28" x14ac:dyDescent="0.35">
      <c r="T54" s="94" t="s">
        <v>120</v>
      </c>
    </row>
    <row r="55" spans="20:28" ht="15" thickBot="1" x14ac:dyDescent="0.4"/>
    <row r="56" spans="20:28" x14ac:dyDescent="0.35">
      <c r="T56" s="98" t="s">
        <v>121</v>
      </c>
      <c r="U56" s="98" t="s">
        <v>126</v>
      </c>
      <c r="V56" s="98" t="s">
        <v>122</v>
      </c>
    </row>
    <row r="57" spans="20:28" x14ac:dyDescent="0.35">
      <c r="T57" s="96">
        <v>1</v>
      </c>
      <c r="U57" s="96">
        <v>49.9</v>
      </c>
      <c r="V57" s="96">
        <v>0</v>
      </c>
    </row>
    <row r="58" spans="20:28" x14ac:dyDescent="0.35">
      <c r="T58" s="96">
        <v>2</v>
      </c>
      <c r="U58" s="96">
        <v>57.733333333333348</v>
      </c>
      <c r="V58" s="96">
        <v>-2.1316282072803006E-14</v>
      </c>
    </row>
    <row r="59" spans="20:28" x14ac:dyDescent="0.35">
      <c r="T59" s="96">
        <v>3</v>
      </c>
      <c r="U59" s="96">
        <v>55.216666666666676</v>
      </c>
      <c r="V59" s="96">
        <v>-7.1054273576010019E-15</v>
      </c>
    </row>
    <row r="60" spans="20:28" x14ac:dyDescent="0.35">
      <c r="T60" s="96">
        <v>4</v>
      </c>
      <c r="U60" s="96">
        <v>44.266666666666659</v>
      </c>
      <c r="V60" s="96">
        <v>0</v>
      </c>
    </row>
    <row r="61" spans="20:28" x14ac:dyDescent="0.35">
      <c r="T61" s="96">
        <v>5</v>
      </c>
      <c r="U61" s="96">
        <v>67.200000000000017</v>
      </c>
      <c r="V61" s="96">
        <v>-1.4210854715202004E-14</v>
      </c>
    </row>
    <row r="62" spans="20:28" x14ac:dyDescent="0.35">
      <c r="T62" s="96">
        <v>6</v>
      </c>
      <c r="U62" s="96">
        <v>49.6</v>
      </c>
      <c r="V62" s="96">
        <v>-7.1054273576010019E-15</v>
      </c>
    </row>
    <row r="63" spans="20:28" x14ac:dyDescent="0.35">
      <c r="T63" s="96">
        <v>7</v>
      </c>
      <c r="U63" s="96">
        <v>60.100000000000009</v>
      </c>
      <c r="V63" s="96">
        <v>-7.1054273576010019E-15</v>
      </c>
    </row>
    <row r="64" spans="20:28" x14ac:dyDescent="0.35">
      <c r="T64" s="96">
        <v>8</v>
      </c>
      <c r="U64" s="96">
        <v>52.20000000000001</v>
      </c>
      <c r="V64" s="96">
        <v>-7.1054273576010019E-15</v>
      </c>
    </row>
    <row r="65" spans="20:22" x14ac:dyDescent="0.35">
      <c r="T65" s="96">
        <v>9</v>
      </c>
      <c r="U65" s="96">
        <v>56.500000000000014</v>
      </c>
      <c r="V65" s="96">
        <v>-1.4210854715202004E-14</v>
      </c>
    </row>
    <row r="66" spans="20:22" x14ac:dyDescent="0.35">
      <c r="T66" s="96">
        <v>10</v>
      </c>
      <c r="U66" s="96">
        <v>48.81666666666667</v>
      </c>
      <c r="V66" s="96">
        <v>0</v>
      </c>
    </row>
    <row r="67" spans="20:22" x14ac:dyDescent="0.35">
      <c r="T67" s="96">
        <v>11</v>
      </c>
      <c r="U67" s="96">
        <v>49.15</v>
      </c>
      <c r="V67" s="96">
        <v>0</v>
      </c>
    </row>
    <row r="68" spans="20:22" x14ac:dyDescent="0.35">
      <c r="T68" s="96">
        <v>12</v>
      </c>
      <c r="U68" s="96">
        <v>49.7</v>
      </c>
      <c r="V68" s="96">
        <v>0</v>
      </c>
    </row>
    <row r="69" spans="20:22" x14ac:dyDescent="0.35">
      <c r="T69" s="96">
        <v>13</v>
      </c>
      <c r="U69" s="96">
        <v>50.466666666666669</v>
      </c>
      <c r="V69" s="96">
        <v>-7.1054273576010019E-15</v>
      </c>
    </row>
    <row r="70" spans="20:22" x14ac:dyDescent="0.35">
      <c r="T70" s="96">
        <v>14</v>
      </c>
      <c r="U70" s="96">
        <v>48.81666666666667</v>
      </c>
      <c r="V70" s="96">
        <v>-7.1054273576010019E-15</v>
      </c>
    </row>
    <row r="71" spans="20:22" x14ac:dyDescent="0.35">
      <c r="T71" s="96">
        <v>15</v>
      </c>
      <c r="U71" s="96">
        <v>46.050000000000011</v>
      </c>
      <c r="V71" s="96">
        <v>-7.1054273576010019E-15</v>
      </c>
    </row>
    <row r="72" spans="20:22" x14ac:dyDescent="0.35">
      <c r="T72" s="96">
        <v>16</v>
      </c>
      <c r="U72" s="96">
        <v>52.750000000000007</v>
      </c>
      <c r="V72" s="96">
        <v>-7.1054273576010019E-15</v>
      </c>
    </row>
    <row r="73" spans="20:22" ht="15" thickBot="1" x14ac:dyDescent="0.4">
      <c r="T73" s="97">
        <v>17</v>
      </c>
      <c r="U73" s="97">
        <v>49.033333333333331</v>
      </c>
      <c r="V73" s="97">
        <v>-7.1054273576010019E-15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32E7-4DCA-4E8F-BD73-DD90C299D595}">
  <dimension ref="A1:AC53"/>
  <sheetViews>
    <sheetView topLeftCell="N6" zoomScale="75" zoomScaleNormal="75" workbookViewId="0">
      <selection activeCell="Z31" sqref="Z31:Z32"/>
    </sheetView>
  </sheetViews>
  <sheetFormatPr defaultRowHeight="14.5" x14ac:dyDescent="0.35"/>
  <cols>
    <col min="2" max="2" width="11.453125" customWidth="1"/>
    <col min="3" max="3" width="13.36328125" hidden="1" customWidth="1"/>
    <col min="4" max="4" width="14.08984375" hidden="1" customWidth="1"/>
    <col min="5" max="5" width="13.453125" hidden="1" customWidth="1"/>
    <col min="6" max="6" width="14.54296875" customWidth="1"/>
    <col min="7" max="7" width="17.81640625" customWidth="1"/>
    <col min="8" max="8" width="13.1796875" bestFit="1" customWidth="1"/>
    <col min="9" max="9" width="15.90625" bestFit="1" customWidth="1"/>
    <col min="10" max="10" width="14" customWidth="1"/>
    <col min="11" max="11" width="11.7265625" customWidth="1"/>
    <col min="12" max="12" width="12.26953125" customWidth="1"/>
    <col min="13" max="13" width="13.26953125" customWidth="1"/>
    <col min="14" max="14" width="12.08984375" customWidth="1"/>
    <col min="15" max="15" width="11.7265625" customWidth="1"/>
    <col min="16" max="16" width="12.26953125" bestFit="1" customWidth="1"/>
    <col min="17" max="17" width="9.7265625" customWidth="1"/>
    <col min="18" max="18" width="17.90625" bestFit="1" customWidth="1"/>
    <col min="19" max="19" width="13.1796875" bestFit="1" customWidth="1"/>
    <col min="21" max="21" width="18.54296875" bestFit="1" customWidth="1"/>
    <col min="22" max="22" width="19.36328125" bestFit="1" customWidth="1"/>
    <col min="23" max="23" width="14.26953125" bestFit="1" customWidth="1"/>
    <col min="24" max="24" width="15.81640625" customWidth="1"/>
    <col min="25" max="25" width="13.1796875" bestFit="1" customWidth="1"/>
    <col min="26" max="26" width="13.7265625" bestFit="1" customWidth="1"/>
    <col min="27" max="27" width="13.1796875" bestFit="1" customWidth="1"/>
    <col min="28" max="28" width="13.7265625" bestFit="1" customWidth="1"/>
    <col min="29" max="29" width="13.1796875" bestFit="1" customWidth="1"/>
  </cols>
  <sheetData>
    <row r="1" spans="1:26" x14ac:dyDescent="0.35">
      <c r="A1" t="s">
        <v>83</v>
      </c>
    </row>
    <row r="2" spans="1:26" x14ac:dyDescent="0.35">
      <c r="A2" s="90"/>
      <c r="B2" s="90"/>
      <c r="C2" s="19" t="s">
        <v>93</v>
      </c>
      <c r="D2" s="19" t="s">
        <v>123</v>
      </c>
      <c r="E2" s="19" t="s">
        <v>84</v>
      </c>
      <c r="F2" s="19" t="s">
        <v>85</v>
      </c>
      <c r="G2" s="19" t="s">
        <v>86</v>
      </c>
      <c r="H2" s="19" t="s">
        <v>87</v>
      </c>
      <c r="I2" s="19" t="s">
        <v>88</v>
      </c>
      <c r="J2" s="19" t="s">
        <v>89</v>
      </c>
      <c r="K2" s="19" t="s">
        <v>90</v>
      </c>
      <c r="L2" s="19" t="s">
        <v>91</v>
      </c>
      <c r="M2" s="19" t="s">
        <v>92</v>
      </c>
      <c r="N2" s="19" t="s">
        <v>94</v>
      </c>
      <c r="O2" s="19" t="s">
        <v>95</v>
      </c>
      <c r="P2" s="19" t="s">
        <v>124</v>
      </c>
      <c r="Q2" s="19"/>
      <c r="R2" s="39"/>
    </row>
    <row r="3" spans="1:26" ht="24.5" customHeight="1" x14ac:dyDescent="0.35">
      <c r="A3" s="90"/>
      <c r="B3" s="90" t="s">
        <v>0</v>
      </c>
      <c r="C3" s="19" t="s">
        <v>12</v>
      </c>
      <c r="D3" s="19" t="s">
        <v>13</v>
      </c>
      <c r="E3" s="19" t="s">
        <v>71</v>
      </c>
      <c r="F3" s="19" t="s">
        <v>1</v>
      </c>
      <c r="G3" s="19" t="s">
        <v>15</v>
      </c>
      <c r="H3" s="19" t="s">
        <v>14</v>
      </c>
      <c r="I3" s="19" t="s">
        <v>2</v>
      </c>
      <c r="J3" s="19" t="s">
        <v>3</v>
      </c>
      <c r="K3" s="90" t="s">
        <v>4</v>
      </c>
      <c r="L3" s="90" t="s">
        <v>5</v>
      </c>
      <c r="M3" s="90" t="s">
        <v>6</v>
      </c>
      <c r="N3" s="90" t="s">
        <v>7</v>
      </c>
      <c r="O3" s="90" t="s">
        <v>8</v>
      </c>
      <c r="P3" s="90" t="s">
        <v>9</v>
      </c>
      <c r="Q3" s="19" t="s">
        <v>11</v>
      </c>
      <c r="R3" s="39" t="s">
        <v>45</v>
      </c>
    </row>
    <row r="4" spans="1:26" x14ac:dyDescent="0.35">
      <c r="A4" s="11">
        <v>1</v>
      </c>
      <c r="B4" s="12">
        <v>43380</v>
      </c>
      <c r="C4" s="14">
        <v>1</v>
      </c>
      <c r="D4" s="14">
        <v>0</v>
      </c>
      <c r="E4" s="14">
        <v>1</v>
      </c>
      <c r="F4" s="5">
        <v>6.2731481481481484E-3</v>
      </c>
      <c r="G4" s="5">
        <v>0</v>
      </c>
      <c r="H4" s="5">
        <v>3.4722222222222224E-4</v>
      </c>
      <c r="I4" s="5">
        <v>4.1666666666666666E-3</v>
      </c>
      <c r="J4" s="5">
        <v>3.472222222222222E-3</v>
      </c>
      <c r="K4" s="5">
        <v>1.5624999999999999E-3</v>
      </c>
      <c r="L4" s="5">
        <v>4.3055555555555555E-3</v>
      </c>
      <c r="M4" s="5">
        <v>3.1712962962962958E-3</v>
      </c>
      <c r="N4" s="5">
        <v>2.7777777777777779E-3</v>
      </c>
      <c r="O4" s="5">
        <v>7.1874999999999994E-3</v>
      </c>
      <c r="P4" s="5">
        <v>1.3888888888888889E-3</v>
      </c>
      <c r="Q4" s="15">
        <f t="shared" ref="Q4:Q20" si="0">SUM(F4:P4)</f>
        <v>3.4652777777777775E-2</v>
      </c>
      <c r="R4" s="40">
        <f t="shared" ref="R4:R20" si="1">Q4*1440</f>
        <v>49.9</v>
      </c>
    </row>
    <row r="5" spans="1:26" x14ac:dyDescent="0.35">
      <c r="A5" s="11">
        <v>2</v>
      </c>
      <c r="B5" s="12">
        <v>43382</v>
      </c>
      <c r="C5" s="14">
        <v>0</v>
      </c>
      <c r="D5" s="14">
        <v>0</v>
      </c>
      <c r="E5" s="14">
        <v>0</v>
      </c>
      <c r="F5" s="5">
        <v>6.9444444444444441E-3</v>
      </c>
      <c r="G5" s="5">
        <v>3.472222222222222E-3</v>
      </c>
      <c r="H5" s="5">
        <v>0</v>
      </c>
      <c r="I5" s="5">
        <v>5.5787037037037038E-3</v>
      </c>
      <c r="J5" s="5">
        <v>2.7777777777777779E-3</v>
      </c>
      <c r="K5" s="5">
        <v>2.0833333333333333E-3</v>
      </c>
      <c r="L5" s="5">
        <v>2.7777777777777779E-3</v>
      </c>
      <c r="M5" s="5">
        <v>3.37962962962963E-3</v>
      </c>
      <c r="N5" s="5">
        <v>4.4212962962962956E-3</v>
      </c>
      <c r="O5" s="5">
        <v>7.1527777777777787E-3</v>
      </c>
      <c r="P5" s="5">
        <v>1.5046296296296294E-3</v>
      </c>
      <c r="Q5" s="15">
        <f t="shared" si="0"/>
        <v>4.0092592592592589E-2</v>
      </c>
      <c r="R5" s="40">
        <f t="shared" si="1"/>
        <v>57.733333333333327</v>
      </c>
      <c r="U5" t="s">
        <v>98</v>
      </c>
    </row>
    <row r="6" spans="1:26" ht="15" thickBot="1" x14ac:dyDescent="0.4">
      <c r="A6" s="11">
        <v>3</v>
      </c>
      <c r="B6" s="12">
        <v>43383</v>
      </c>
      <c r="C6" s="14">
        <v>0</v>
      </c>
      <c r="D6" s="14">
        <v>1</v>
      </c>
      <c r="E6" s="14">
        <v>0</v>
      </c>
      <c r="F6" s="5">
        <v>5.0115740740740737E-3</v>
      </c>
      <c r="G6" s="5">
        <v>4.363425925925926E-3</v>
      </c>
      <c r="H6" s="5">
        <v>0</v>
      </c>
      <c r="I6" s="5">
        <v>5.37037037037037E-3</v>
      </c>
      <c r="J6" s="5">
        <v>2.7777777777777779E-3</v>
      </c>
      <c r="K6" s="5">
        <v>1.3310185185185185E-3</v>
      </c>
      <c r="L6" s="5">
        <v>4.0740740740740746E-3</v>
      </c>
      <c r="M6" s="5">
        <v>3.6111111111111114E-3</v>
      </c>
      <c r="N6" s="5">
        <v>2.0833333333333333E-3</v>
      </c>
      <c r="O6" s="5">
        <v>7.6388888888888886E-3</v>
      </c>
      <c r="P6" s="5">
        <v>2.0833333333333333E-3</v>
      </c>
      <c r="Q6" s="15">
        <f t="shared" si="0"/>
        <v>3.8344907407407404E-2</v>
      </c>
      <c r="R6" s="40">
        <f t="shared" si="1"/>
        <v>55.216666666666661</v>
      </c>
    </row>
    <row r="7" spans="1:26" x14ac:dyDescent="0.35">
      <c r="A7" s="11">
        <v>4</v>
      </c>
      <c r="B7" s="12">
        <v>43386</v>
      </c>
      <c r="C7" s="14">
        <v>1</v>
      </c>
      <c r="D7" s="14">
        <v>1</v>
      </c>
      <c r="E7" s="14">
        <v>1</v>
      </c>
      <c r="F7" s="20">
        <v>5.0925925925925921E-3</v>
      </c>
      <c r="G7" s="5">
        <v>0</v>
      </c>
      <c r="H7" s="5">
        <v>4.7453703703703704E-4</v>
      </c>
      <c r="I7" s="5">
        <v>4.4907407407407405E-3</v>
      </c>
      <c r="J7" s="5">
        <v>2.0486111111111113E-3</v>
      </c>
      <c r="K7" s="5">
        <v>1.5046296296296294E-3</v>
      </c>
      <c r="L7" s="5">
        <v>4.0277777777777777E-3</v>
      </c>
      <c r="M7" s="5">
        <v>2.3611111111111111E-3</v>
      </c>
      <c r="N7" s="5">
        <v>3.1712962962962958E-3</v>
      </c>
      <c r="O7" s="5">
        <v>5.7638888888888887E-3</v>
      </c>
      <c r="P7" s="5">
        <v>1.8055555555555557E-3</v>
      </c>
      <c r="Q7" s="15">
        <f t="shared" si="0"/>
        <v>3.0740740740740746E-2</v>
      </c>
      <c r="R7" s="40">
        <f t="shared" si="1"/>
        <v>44.266666666666673</v>
      </c>
      <c r="U7" s="38" t="s">
        <v>99</v>
      </c>
      <c r="V7" s="38"/>
    </row>
    <row r="8" spans="1:26" x14ac:dyDescent="0.35">
      <c r="A8" s="11">
        <v>5</v>
      </c>
      <c r="B8" s="12">
        <v>43387</v>
      </c>
      <c r="C8" s="14">
        <v>1</v>
      </c>
      <c r="D8" s="14">
        <v>1</v>
      </c>
      <c r="E8" s="14">
        <v>0</v>
      </c>
      <c r="F8" s="5">
        <v>7.743055555555556E-3</v>
      </c>
      <c r="G8" s="5">
        <v>3.9236111111111112E-3</v>
      </c>
      <c r="H8" s="5">
        <v>0</v>
      </c>
      <c r="I8" s="5">
        <v>2.9976851851851848E-3</v>
      </c>
      <c r="J8" s="5">
        <v>5.138888888888889E-3</v>
      </c>
      <c r="K8" s="5">
        <v>2.2453703703703702E-3</v>
      </c>
      <c r="L8" s="5">
        <v>4.2939814814814811E-3</v>
      </c>
      <c r="M8" s="5">
        <v>5.5671296296296302E-3</v>
      </c>
      <c r="N8" s="5">
        <v>4.2361111111111106E-3</v>
      </c>
      <c r="O8" s="5">
        <v>9.7222222222222224E-3</v>
      </c>
      <c r="P8" s="5">
        <v>7.9861111111111105E-4</v>
      </c>
      <c r="Q8" s="15">
        <f t="shared" si="0"/>
        <v>4.6666666666666669E-2</v>
      </c>
      <c r="R8" s="40">
        <f t="shared" si="1"/>
        <v>67.2</v>
      </c>
      <c r="U8" s="36" t="s">
        <v>100</v>
      </c>
      <c r="V8" s="36">
        <v>0.97892775789318742</v>
      </c>
    </row>
    <row r="9" spans="1:26" x14ac:dyDescent="0.35">
      <c r="A9" s="11">
        <v>6</v>
      </c>
      <c r="B9" s="12">
        <v>43389</v>
      </c>
      <c r="C9" s="14">
        <v>0</v>
      </c>
      <c r="D9" s="14">
        <v>0</v>
      </c>
      <c r="E9" s="14">
        <v>0</v>
      </c>
      <c r="F9" s="5">
        <v>4.4328703703703709E-3</v>
      </c>
      <c r="G9" s="5">
        <v>1.3888888888888889E-3</v>
      </c>
      <c r="H9" s="5">
        <v>0</v>
      </c>
      <c r="I9" s="5">
        <v>6.2499999999999995E-3</v>
      </c>
      <c r="J9" s="5">
        <v>3.472222222222222E-3</v>
      </c>
      <c r="K9" s="5">
        <v>1.9444444444444442E-3</v>
      </c>
      <c r="L9" s="5">
        <v>3.6226851851851854E-3</v>
      </c>
      <c r="M9" s="5">
        <v>2.7777777777777779E-3</v>
      </c>
      <c r="N9" s="5">
        <v>2.7777777777777779E-3</v>
      </c>
      <c r="O9" s="5">
        <v>5.5671296296296302E-3</v>
      </c>
      <c r="P9" s="5">
        <v>2.2106481481481478E-3</v>
      </c>
      <c r="Q9" s="15">
        <f t="shared" si="0"/>
        <v>3.4444444444444444E-2</v>
      </c>
      <c r="R9" s="40">
        <f t="shared" si="1"/>
        <v>49.6</v>
      </c>
      <c r="U9" s="36" t="s">
        <v>101</v>
      </c>
      <c r="V9" s="36">
        <v>0.95829955517378307</v>
      </c>
    </row>
    <row r="10" spans="1:26" x14ac:dyDescent="0.35">
      <c r="A10" s="11">
        <v>7</v>
      </c>
      <c r="B10" s="12">
        <v>43390</v>
      </c>
      <c r="C10" s="14">
        <v>0</v>
      </c>
      <c r="D10" s="14">
        <v>0</v>
      </c>
      <c r="E10" s="14">
        <v>0</v>
      </c>
      <c r="F10" s="5">
        <v>5.5555555555555558E-3</v>
      </c>
      <c r="G10" s="5">
        <v>1.8518518518518517E-3</v>
      </c>
      <c r="H10" s="5">
        <v>0</v>
      </c>
      <c r="I10" s="5">
        <v>4.1666666666666666E-3</v>
      </c>
      <c r="J10" s="5">
        <v>4.3055555555555555E-3</v>
      </c>
      <c r="K10" s="5">
        <v>2.5578703703703705E-3</v>
      </c>
      <c r="L10" s="5">
        <v>5.0347222222222225E-3</v>
      </c>
      <c r="M10" s="5">
        <v>3.5995370370370369E-3</v>
      </c>
      <c r="N10" s="5">
        <v>7.0254629629629634E-3</v>
      </c>
      <c r="O10" s="5">
        <v>6.2499999999999995E-3</v>
      </c>
      <c r="P10" s="5">
        <v>1.3888888888888889E-3</v>
      </c>
      <c r="Q10" s="15">
        <f t="shared" si="0"/>
        <v>4.1736111111111113E-2</v>
      </c>
      <c r="R10" s="40">
        <f t="shared" si="1"/>
        <v>60.1</v>
      </c>
      <c r="U10" s="92" t="s">
        <v>102</v>
      </c>
      <c r="V10" s="92">
        <v>0.93327928827805295</v>
      </c>
    </row>
    <row r="11" spans="1:26" x14ac:dyDescent="0.35">
      <c r="A11" s="11">
        <v>8</v>
      </c>
      <c r="B11" s="12">
        <v>43392</v>
      </c>
      <c r="C11" s="14">
        <v>0</v>
      </c>
      <c r="D11" s="14">
        <v>1</v>
      </c>
      <c r="E11" s="14">
        <v>0</v>
      </c>
      <c r="F11" s="5">
        <v>5.208333333333333E-3</v>
      </c>
      <c r="G11" s="5">
        <v>2.0833333333333333E-3</v>
      </c>
      <c r="H11" s="5">
        <v>0</v>
      </c>
      <c r="I11" s="5">
        <v>4.8726851851851856E-3</v>
      </c>
      <c r="J11" s="5">
        <v>4.1435185185185186E-3</v>
      </c>
      <c r="K11" s="5">
        <v>2.7777777777777779E-3</v>
      </c>
      <c r="L11" s="5">
        <v>4.1898148148148146E-3</v>
      </c>
      <c r="M11" s="5">
        <v>3.0439814814814821E-3</v>
      </c>
      <c r="N11" s="5">
        <v>4.31712962962963E-3</v>
      </c>
      <c r="O11" s="5">
        <v>4.1666666666666666E-3</v>
      </c>
      <c r="P11" s="5">
        <v>1.4467592592592594E-3</v>
      </c>
      <c r="Q11" s="15">
        <f t="shared" si="0"/>
        <v>3.6249999999999998E-2</v>
      </c>
      <c r="R11" s="40">
        <f t="shared" si="1"/>
        <v>52.199999999999996</v>
      </c>
      <c r="U11" s="36" t="s">
        <v>23</v>
      </c>
      <c r="V11" s="36">
        <v>1.4586273087460315</v>
      </c>
    </row>
    <row r="12" spans="1:26" ht="15" thickBot="1" x14ac:dyDescent="0.4">
      <c r="A12" s="11">
        <v>9</v>
      </c>
      <c r="B12" s="12">
        <v>43393</v>
      </c>
      <c r="C12" s="14">
        <v>1</v>
      </c>
      <c r="D12" s="14">
        <v>1</v>
      </c>
      <c r="E12" s="14">
        <v>0</v>
      </c>
      <c r="F12" s="5">
        <v>6.2499999999999995E-3</v>
      </c>
      <c r="G12" s="5">
        <v>2.7777777777777779E-3</v>
      </c>
      <c r="H12" s="5">
        <v>0</v>
      </c>
      <c r="I12" s="5">
        <v>5.0000000000000001E-3</v>
      </c>
      <c r="J12" s="5">
        <v>3.472222222222222E-3</v>
      </c>
      <c r="K12" s="5">
        <v>2.0833333333333333E-3</v>
      </c>
      <c r="L12" s="5">
        <v>3.7152777777777774E-3</v>
      </c>
      <c r="M12" s="5">
        <v>2.8703703703703708E-3</v>
      </c>
      <c r="N12" s="5">
        <v>6.4236111111111117E-3</v>
      </c>
      <c r="O12" s="5">
        <v>5.0000000000000001E-3</v>
      </c>
      <c r="P12" s="5">
        <v>1.6435185185185183E-3</v>
      </c>
      <c r="Q12" s="15">
        <f t="shared" si="0"/>
        <v>3.9236111111111104E-2</v>
      </c>
      <c r="R12" s="40">
        <f t="shared" si="1"/>
        <v>56.499999999999986</v>
      </c>
      <c r="U12" s="37" t="s">
        <v>103</v>
      </c>
      <c r="V12" s="37">
        <v>17</v>
      </c>
    </row>
    <row r="13" spans="1:26" x14ac:dyDescent="0.35">
      <c r="A13" s="11">
        <v>10</v>
      </c>
      <c r="B13" s="12">
        <v>43394</v>
      </c>
      <c r="C13" s="14">
        <v>1</v>
      </c>
      <c r="D13" s="14">
        <v>1</v>
      </c>
      <c r="E13" s="14">
        <v>0</v>
      </c>
      <c r="F13" s="5">
        <v>4.8032407407407407E-3</v>
      </c>
      <c r="G13" s="5">
        <v>2.7777777777777779E-3</v>
      </c>
      <c r="H13" s="5">
        <v>0</v>
      </c>
      <c r="I13" s="5">
        <v>5.115740740740741E-3</v>
      </c>
      <c r="J13" s="5">
        <v>2.7777777777777779E-3</v>
      </c>
      <c r="K13" s="5">
        <v>6.9444444444444447E-4</v>
      </c>
      <c r="L13" s="5">
        <v>4.3749999999999995E-3</v>
      </c>
      <c r="M13" s="5">
        <v>2.9398148148148148E-3</v>
      </c>
      <c r="N13" s="5">
        <v>3.472222222222222E-3</v>
      </c>
      <c r="O13" s="5">
        <v>5.5555555555555558E-3</v>
      </c>
      <c r="P13" s="5">
        <v>1.3888888888888889E-3</v>
      </c>
      <c r="Q13" s="15">
        <f t="shared" si="0"/>
        <v>3.3900462962962966E-2</v>
      </c>
      <c r="R13" s="40">
        <f t="shared" si="1"/>
        <v>48.81666666666667</v>
      </c>
    </row>
    <row r="14" spans="1:26" ht="15" thickBot="1" x14ac:dyDescent="0.4">
      <c r="A14" s="11">
        <v>11</v>
      </c>
      <c r="B14" s="12">
        <v>43396</v>
      </c>
      <c r="C14" s="14">
        <v>0</v>
      </c>
      <c r="D14" s="14">
        <v>0</v>
      </c>
      <c r="E14" s="14">
        <v>0</v>
      </c>
      <c r="F14" s="5">
        <v>5.5671296296296302E-3</v>
      </c>
      <c r="G14" s="5">
        <v>2.1990740740740742E-3</v>
      </c>
      <c r="H14" s="5">
        <v>0</v>
      </c>
      <c r="I14" s="5">
        <v>3.1828703703703702E-3</v>
      </c>
      <c r="J14" s="5">
        <v>3.6805555555555554E-3</v>
      </c>
      <c r="K14" s="5">
        <v>2.5115740740740741E-3</v>
      </c>
      <c r="L14" s="5">
        <v>3.8425925925925923E-3</v>
      </c>
      <c r="M14" s="5">
        <v>3.2638888888888891E-3</v>
      </c>
      <c r="N14" s="5">
        <v>2.8124999999999995E-3</v>
      </c>
      <c r="O14" s="5">
        <v>5.6018518518518518E-3</v>
      </c>
      <c r="P14" s="5">
        <v>1.4699074074074074E-3</v>
      </c>
      <c r="Q14" s="15">
        <f t="shared" si="0"/>
        <v>3.4131944444444444E-2</v>
      </c>
      <c r="R14" s="40">
        <f t="shared" si="1"/>
        <v>49.15</v>
      </c>
      <c r="U14" t="s">
        <v>104</v>
      </c>
    </row>
    <row r="15" spans="1:26" x14ac:dyDescent="0.35">
      <c r="A15" s="11">
        <v>12</v>
      </c>
      <c r="B15" s="12">
        <v>43397</v>
      </c>
      <c r="C15" s="14">
        <v>0</v>
      </c>
      <c r="D15" s="14">
        <v>1</v>
      </c>
      <c r="E15" s="14">
        <v>1</v>
      </c>
      <c r="F15" s="5">
        <v>4.8611111111111112E-3</v>
      </c>
      <c r="G15" s="5">
        <v>0</v>
      </c>
      <c r="H15" s="5">
        <v>5.5555555555555556E-4</v>
      </c>
      <c r="I15" s="5">
        <v>4.0162037037037033E-3</v>
      </c>
      <c r="J15" s="5">
        <v>5.0925925925925921E-3</v>
      </c>
      <c r="K15" s="5">
        <v>2.2222222222222222E-3</v>
      </c>
      <c r="L15" s="5">
        <v>2.8935185185185188E-3</v>
      </c>
      <c r="M15" s="5">
        <v>2.7430555555555559E-3</v>
      </c>
      <c r="N15" s="5">
        <v>5.185185185185185E-3</v>
      </c>
      <c r="O15" s="5">
        <v>4.8611111111111112E-3</v>
      </c>
      <c r="P15" s="5">
        <v>2.0833333333333333E-3</v>
      </c>
      <c r="Q15" s="15">
        <f t="shared" si="0"/>
        <v>3.4513888888888886E-2</v>
      </c>
      <c r="R15" s="40">
        <f t="shared" si="1"/>
        <v>49.699999999999996</v>
      </c>
      <c r="U15" s="85"/>
      <c r="V15" s="85" t="s">
        <v>108</v>
      </c>
      <c r="W15" s="85" t="s">
        <v>109</v>
      </c>
      <c r="X15" s="85" t="s">
        <v>110</v>
      </c>
      <c r="Y15" s="85" t="s">
        <v>111</v>
      </c>
      <c r="Z15" s="85" t="s">
        <v>112</v>
      </c>
    </row>
    <row r="16" spans="1:26" x14ac:dyDescent="0.35">
      <c r="A16" s="11">
        <v>13</v>
      </c>
      <c r="B16" s="12">
        <v>43400</v>
      </c>
      <c r="C16" s="14">
        <v>1</v>
      </c>
      <c r="D16" s="14">
        <v>1</v>
      </c>
      <c r="E16" s="14">
        <v>0</v>
      </c>
      <c r="F16" s="5">
        <v>4.5138888888888893E-3</v>
      </c>
      <c r="G16" s="5">
        <v>3.472222222222222E-3</v>
      </c>
      <c r="H16" s="5">
        <v>0</v>
      </c>
      <c r="I16" s="5">
        <v>4.2245370370370371E-3</v>
      </c>
      <c r="J16" s="5">
        <v>3.0092592592592588E-3</v>
      </c>
      <c r="K16" s="5">
        <v>2.2916666666666667E-3</v>
      </c>
      <c r="L16" s="5">
        <v>2.7777777777777779E-3</v>
      </c>
      <c r="M16" s="5">
        <v>2.9166666666666668E-3</v>
      </c>
      <c r="N16" s="5">
        <v>3.1597222222222222E-3</v>
      </c>
      <c r="O16" s="5">
        <v>6.2499999999999995E-3</v>
      </c>
      <c r="P16" s="5">
        <v>2.4305555555555556E-3</v>
      </c>
      <c r="Q16" s="15">
        <f t="shared" si="0"/>
        <v>3.5046296296296298E-2</v>
      </c>
      <c r="R16" s="40">
        <f t="shared" si="1"/>
        <v>50.466666666666669</v>
      </c>
      <c r="U16" s="36" t="s">
        <v>105</v>
      </c>
      <c r="V16" s="36">
        <v>6</v>
      </c>
      <c r="W16" s="36">
        <v>488.93291995095359</v>
      </c>
      <c r="X16" s="36">
        <v>81.488819991825594</v>
      </c>
      <c r="Y16" s="36">
        <v>38.300932566683485</v>
      </c>
      <c r="Z16" s="106">
        <v>2.4672780923068532E-6</v>
      </c>
    </row>
    <row r="17" spans="1:29" x14ac:dyDescent="0.35">
      <c r="A17" s="11">
        <v>14</v>
      </c>
      <c r="B17" s="12">
        <v>43402</v>
      </c>
      <c r="C17" s="14">
        <v>0</v>
      </c>
      <c r="D17" s="14">
        <v>0</v>
      </c>
      <c r="E17" s="14">
        <v>1</v>
      </c>
      <c r="F17" s="5">
        <v>4.2245370370370371E-3</v>
      </c>
      <c r="G17" s="5">
        <v>0</v>
      </c>
      <c r="H17" s="5">
        <v>4.5138888888888892E-4</v>
      </c>
      <c r="I17" s="5">
        <v>3.7962962962962963E-3</v>
      </c>
      <c r="J17" s="5">
        <v>4.8611111111111112E-3</v>
      </c>
      <c r="K17" s="5">
        <v>1.9560185185185184E-3</v>
      </c>
      <c r="L17" s="5">
        <v>4.1666666666666666E-3</v>
      </c>
      <c r="M17" s="5">
        <v>3.472222222222222E-3</v>
      </c>
      <c r="N17" s="5">
        <v>3.472222222222222E-3</v>
      </c>
      <c r="O17" s="5">
        <v>6.1111111111111114E-3</v>
      </c>
      <c r="P17" s="5">
        <v>1.3888888888888889E-3</v>
      </c>
      <c r="Q17" s="15">
        <f t="shared" si="0"/>
        <v>3.3900462962962966E-2</v>
      </c>
      <c r="R17" s="40">
        <f t="shared" si="1"/>
        <v>48.81666666666667</v>
      </c>
      <c r="U17" s="36" t="s">
        <v>106</v>
      </c>
      <c r="V17" s="36">
        <v>10</v>
      </c>
      <c r="W17" s="36">
        <v>21.275936258196907</v>
      </c>
      <c r="X17" s="36">
        <v>2.1275936258196908</v>
      </c>
      <c r="Y17" s="36"/>
      <c r="Z17" s="36"/>
    </row>
    <row r="18" spans="1:29" ht="15" thickBot="1" x14ac:dyDescent="0.4">
      <c r="A18" s="11">
        <v>15</v>
      </c>
      <c r="B18" s="12">
        <v>43404</v>
      </c>
      <c r="C18" s="14">
        <v>0</v>
      </c>
      <c r="D18" s="14">
        <v>0</v>
      </c>
      <c r="E18" s="14">
        <v>0</v>
      </c>
      <c r="F18" s="5">
        <v>4.3287037037037035E-3</v>
      </c>
      <c r="G18" s="5">
        <v>2.7777777777777779E-3</v>
      </c>
      <c r="H18" s="5">
        <v>0</v>
      </c>
      <c r="I18" s="5">
        <v>4.1203703703703706E-3</v>
      </c>
      <c r="J18" s="5">
        <v>2.0833333333333333E-3</v>
      </c>
      <c r="K18" s="5">
        <v>3.2060185185185191E-3</v>
      </c>
      <c r="L18" s="5">
        <v>2.8703703703703708E-3</v>
      </c>
      <c r="M18" s="5">
        <v>3.0092592592592588E-3</v>
      </c>
      <c r="N18" s="5">
        <v>2.9282407407407412E-3</v>
      </c>
      <c r="O18" s="5">
        <v>5.4398148148148149E-3</v>
      </c>
      <c r="P18" s="5">
        <v>1.2152777777777778E-3</v>
      </c>
      <c r="Q18" s="15">
        <f t="shared" si="0"/>
        <v>3.197916666666667E-2</v>
      </c>
      <c r="R18" s="40">
        <f t="shared" si="1"/>
        <v>46.050000000000004</v>
      </c>
      <c r="U18" s="37" t="s">
        <v>70</v>
      </c>
      <c r="V18" s="37">
        <v>16</v>
      </c>
      <c r="W18" s="37">
        <v>510.2088562091505</v>
      </c>
      <c r="X18" s="37"/>
      <c r="Y18" s="37"/>
      <c r="Z18" s="37"/>
    </row>
    <row r="19" spans="1:29" ht="15" thickBot="1" x14ac:dyDescent="0.4">
      <c r="A19" s="11">
        <v>16</v>
      </c>
      <c r="B19" s="12">
        <v>43409</v>
      </c>
      <c r="C19" s="14">
        <v>0</v>
      </c>
      <c r="D19" s="14">
        <v>0</v>
      </c>
      <c r="E19" s="14">
        <v>1</v>
      </c>
      <c r="F19" s="5">
        <v>5.115740740740741E-3</v>
      </c>
      <c r="G19" s="5">
        <v>0</v>
      </c>
      <c r="H19" s="5">
        <v>4.8611111111111104E-4</v>
      </c>
      <c r="I19" s="5">
        <v>3.0671296296296297E-3</v>
      </c>
      <c r="J19" s="5">
        <v>4.1666666666666666E-3</v>
      </c>
      <c r="K19" s="5">
        <v>2.9050925925925928E-3</v>
      </c>
      <c r="L19" s="5">
        <v>5.4745370370370373E-3</v>
      </c>
      <c r="M19" s="5">
        <v>3.4953703703703705E-3</v>
      </c>
      <c r="N19" s="5">
        <v>4.6296296296296302E-3</v>
      </c>
      <c r="O19" s="5">
        <v>5.8101851851851856E-3</v>
      </c>
      <c r="P19" s="5">
        <v>1.4814814814814814E-3</v>
      </c>
      <c r="Q19" s="15">
        <f t="shared" si="0"/>
        <v>3.6631944444444446E-2</v>
      </c>
      <c r="R19" s="40">
        <f t="shared" si="1"/>
        <v>52.75</v>
      </c>
    </row>
    <row r="20" spans="1:29" x14ac:dyDescent="0.35">
      <c r="A20" s="11">
        <v>17</v>
      </c>
      <c r="B20" s="12">
        <v>43410</v>
      </c>
      <c r="C20" s="14">
        <v>0</v>
      </c>
      <c r="D20" s="14">
        <v>1</v>
      </c>
      <c r="E20" s="14">
        <v>0</v>
      </c>
      <c r="F20" s="5">
        <v>4.7800925925925919E-3</v>
      </c>
      <c r="G20" s="5">
        <v>2.0833333333333333E-3</v>
      </c>
      <c r="H20" s="5">
        <v>0</v>
      </c>
      <c r="I20" s="5">
        <v>2.8356481481481479E-3</v>
      </c>
      <c r="J20" s="5">
        <v>4.2245370370370371E-3</v>
      </c>
      <c r="K20" s="5">
        <v>2.7546296296296294E-3</v>
      </c>
      <c r="L20" s="5">
        <v>3.5416666666666665E-3</v>
      </c>
      <c r="M20" s="5">
        <v>2.7777777777777779E-3</v>
      </c>
      <c r="N20" s="5">
        <v>2.7777777777777779E-3</v>
      </c>
      <c r="O20" s="5">
        <v>5.4976851851851853E-3</v>
      </c>
      <c r="P20" s="5">
        <v>2.7777777777777779E-3</v>
      </c>
      <c r="Q20" s="15">
        <f t="shared" si="0"/>
        <v>3.4050925925925922E-2</v>
      </c>
      <c r="R20" s="40">
        <f t="shared" si="1"/>
        <v>49.033333333333324</v>
      </c>
      <c r="U20" s="85"/>
      <c r="V20" s="85" t="s">
        <v>113</v>
      </c>
      <c r="W20" s="85" t="s">
        <v>23</v>
      </c>
      <c r="X20" s="85" t="s">
        <v>114</v>
      </c>
      <c r="Y20" s="85" t="s">
        <v>115</v>
      </c>
      <c r="Z20" s="85" t="s">
        <v>116</v>
      </c>
      <c r="AA20" s="85" t="s">
        <v>117</v>
      </c>
      <c r="AB20" s="85" t="s">
        <v>118</v>
      </c>
      <c r="AC20" s="85" t="s">
        <v>119</v>
      </c>
    </row>
    <row r="21" spans="1:29" x14ac:dyDescent="0.35">
      <c r="U21" s="36" t="s">
        <v>107</v>
      </c>
      <c r="V21" s="36">
        <v>16.486689237755918</v>
      </c>
      <c r="W21" s="36">
        <v>3.6163946442573898</v>
      </c>
      <c r="X21" s="36">
        <v>4.558874475697988</v>
      </c>
      <c r="Y21" s="36">
        <v>1.0439497004582422E-3</v>
      </c>
      <c r="Z21" s="36">
        <v>8.428859826770946</v>
      </c>
      <c r="AA21" s="36">
        <v>24.54451864874089</v>
      </c>
      <c r="AB21" s="36">
        <v>8.428859826770946</v>
      </c>
      <c r="AC21" s="36">
        <v>24.54451864874089</v>
      </c>
    </row>
    <row r="22" spans="1:29" ht="14" customHeight="1" x14ac:dyDescent="0.35">
      <c r="B22" s="90"/>
      <c r="C22" s="19" t="s">
        <v>93</v>
      </c>
      <c r="D22" s="19" t="s">
        <v>123</v>
      </c>
      <c r="E22" s="19" t="s">
        <v>84</v>
      </c>
      <c r="F22" s="19" t="s">
        <v>1</v>
      </c>
      <c r="G22" s="19" t="s">
        <v>15</v>
      </c>
      <c r="H22" s="19" t="s">
        <v>2</v>
      </c>
      <c r="I22" s="19" t="s">
        <v>3</v>
      </c>
      <c r="J22" s="90" t="s">
        <v>6</v>
      </c>
      <c r="K22" s="90" t="s">
        <v>7</v>
      </c>
      <c r="L22" s="39" t="s">
        <v>96</v>
      </c>
      <c r="O22" s="19"/>
      <c r="P22" s="19"/>
      <c r="Q22" s="19"/>
      <c r="T22" s="109" t="s">
        <v>85</v>
      </c>
      <c r="U22" s="36" t="s">
        <v>1</v>
      </c>
      <c r="V22" s="36">
        <v>0.96525860655008755</v>
      </c>
      <c r="W22" s="36">
        <v>0.38364973769560801</v>
      </c>
      <c r="X22" s="36">
        <v>2.5159892258702246</v>
      </c>
      <c r="Y22" s="92">
        <v>3.059694156823356E-2</v>
      </c>
      <c r="Z22" s="36">
        <v>0.11043372043616029</v>
      </c>
      <c r="AA22" s="36">
        <v>1.8200834926640148</v>
      </c>
      <c r="AB22" s="36">
        <v>0.11043372043616029</v>
      </c>
      <c r="AC22" s="36">
        <v>1.8200834926640148</v>
      </c>
    </row>
    <row r="23" spans="1:29" x14ac:dyDescent="0.35">
      <c r="A23">
        <v>1</v>
      </c>
      <c r="B23" s="12">
        <v>43380</v>
      </c>
      <c r="C23" s="14">
        <v>1</v>
      </c>
      <c r="D23" s="14">
        <v>0</v>
      </c>
      <c r="E23" s="14">
        <v>1</v>
      </c>
      <c r="F23" s="84">
        <f t="shared" ref="F23:G38" si="2">F4*1440</f>
        <v>9.0333333333333332</v>
      </c>
      <c r="G23" s="84">
        <f t="shared" si="2"/>
        <v>0</v>
      </c>
      <c r="H23" s="84">
        <f t="shared" ref="H23:I39" si="3">I4*1440</f>
        <v>6</v>
      </c>
      <c r="I23" s="84">
        <f t="shared" si="3"/>
        <v>5</v>
      </c>
      <c r="J23" s="84">
        <f t="shared" ref="J23:J39" si="4">M4*1440</f>
        <v>4.5666666666666655</v>
      </c>
      <c r="K23" s="84">
        <f t="shared" ref="K23:K39" si="5">N4*1440</f>
        <v>4</v>
      </c>
      <c r="L23" s="104">
        <v>49.9</v>
      </c>
      <c r="O23" s="84"/>
      <c r="P23" s="84"/>
      <c r="Q23" s="15"/>
      <c r="T23" s="110" t="s">
        <v>86</v>
      </c>
      <c r="U23" s="36" t="s">
        <v>15</v>
      </c>
      <c r="V23" s="36">
        <v>0.7187476655412951</v>
      </c>
      <c r="W23" s="36">
        <v>0.22834920700197081</v>
      </c>
      <c r="X23" s="36">
        <v>3.1475811761198358</v>
      </c>
      <c r="Y23" s="92">
        <v>1.0375542866725599E-2</v>
      </c>
      <c r="Z23" s="36">
        <v>0.20995392559994774</v>
      </c>
      <c r="AA23" s="36">
        <v>1.2275414054826426</v>
      </c>
      <c r="AB23" s="36">
        <v>0.20995392559994774</v>
      </c>
      <c r="AC23" s="36">
        <v>1.2275414054826426</v>
      </c>
    </row>
    <row r="24" spans="1:29" x14ac:dyDescent="0.35">
      <c r="A24">
        <v>2</v>
      </c>
      <c r="B24" s="12">
        <v>43382</v>
      </c>
      <c r="C24" s="14">
        <v>0</v>
      </c>
      <c r="D24" s="14">
        <v>0</v>
      </c>
      <c r="E24" s="14">
        <v>0</v>
      </c>
      <c r="F24" s="84">
        <f t="shared" si="2"/>
        <v>10</v>
      </c>
      <c r="G24" s="84">
        <f t="shared" si="2"/>
        <v>5</v>
      </c>
      <c r="H24" s="84">
        <f t="shared" si="3"/>
        <v>8.0333333333333332</v>
      </c>
      <c r="I24" s="84">
        <f t="shared" si="3"/>
        <v>4</v>
      </c>
      <c r="J24" s="84">
        <f t="shared" si="4"/>
        <v>4.8666666666666671</v>
      </c>
      <c r="K24" s="84">
        <f t="shared" si="5"/>
        <v>6.3666666666666654</v>
      </c>
      <c r="L24" s="104">
        <v>57.733333333333327</v>
      </c>
      <c r="O24" s="84"/>
      <c r="P24" s="84"/>
      <c r="Q24" s="15"/>
      <c r="T24" s="110" t="s">
        <v>88</v>
      </c>
      <c r="U24" s="36" t="s">
        <v>2</v>
      </c>
      <c r="V24" s="36">
        <v>0.69254009642724923</v>
      </c>
      <c r="W24" s="36">
        <v>0.32100598390003743</v>
      </c>
      <c r="X24" s="36">
        <v>2.1574055661308451</v>
      </c>
      <c r="Y24" s="108">
        <v>5.6355803221254143E-2</v>
      </c>
      <c r="Z24" s="36">
        <v>-2.2705808020504592E-2</v>
      </c>
      <c r="AA24" s="36">
        <v>1.4077860008750029</v>
      </c>
      <c r="AB24" s="36">
        <v>-2.2705808020504592E-2</v>
      </c>
      <c r="AC24" s="36">
        <v>1.4077860008750029</v>
      </c>
    </row>
    <row r="25" spans="1:29" x14ac:dyDescent="0.35">
      <c r="A25">
        <v>3</v>
      </c>
      <c r="B25" s="12">
        <v>43383</v>
      </c>
      <c r="C25" s="14">
        <v>0</v>
      </c>
      <c r="D25" s="14">
        <v>1</v>
      </c>
      <c r="E25" s="14">
        <v>0</v>
      </c>
      <c r="F25" s="84">
        <f t="shared" si="2"/>
        <v>7.2166666666666659</v>
      </c>
      <c r="G25" s="84">
        <f t="shared" si="2"/>
        <v>6.2833333333333332</v>
      </c>
      <c r="H25" s="84">
        <f t="shared" si="3"/>
        <v>7.7333333333333325</v>
      </c>
      <c r="I25" s="84">
        <f t="shared" si="3"/>
        <v>4</v>
      </c>
      <c r="J25" s="84">
        <f t="shared" si="4"/>
        <v>5.2</v>
      </c>
      <c r="K25" s="84">
        <f t="shared" si="5"/>
        <v>3</v>
      </c>
      <c r="L25" s="104">
        <v>55.216666666666669</v>
      </c>
      <c r="O25" s="84"/>
      <c r="P25" s="84"/>
      <c r="Q25" s="15"/>
      <c r="T25" s="110" t="s">
        <v>89</v>
      </c>
      <c r="U25" s="36" t="s">
        <v>3</v>
      </c>
      <c r="V25" s="36">
        <v>0.74299038715386334</v>
      </c>
      <c r="W25" s="36">
        <v>0.41587386387168279</v>
      </c>
      <c r="X25" s="36">
        <v>1.7865762956027258</v>
      </c>
      <c r="Y25" s="36">
        <v>0.10430622246338397</v>
      </c>
      <c r="Z25" s="36">
        <v>-0.18363432646428413</v>
      </c>
      <c r="AA25" s="36">
        <v>1.6696151007720108</v>
      </c>
      <c r="AB25" s="36">
        <v>-0.18363432646428413</v>
      </c>
      <c r="AC25" s="36">
        <v>1.6696151007720108</v>
      </c>
    </row>
    <row r="26" spans="1:29" x14ac:dyDescent="0.35">
      <c r="A26">
        <v>4</v>
      </c>
      <c r="B26" s="12">
        <v>43386</v>
      </c>
      <c r="C26" s="14">
        <v>1</v>
      </c>
      <c r="D26" s="14">
        <v>1</v>
      </c>
      <c r="E26" s="14">
        <v>1</v>
      </c>
      <c r="F26" s="84">
        <f t="shared" si="2"/>
        <v>7.333333333333333</v>
      </c>
      <c r="G26" s="84">
        <f t="shared" si="2"/>
        <v>0</v>
      </c>
      <c r="H26" s="84">
        <f t="shared" si="3"/>
        <v>6.4666666666666659</v>
      </c>
      <c r="I26" s="84">
        <f t="shared" si="3"/>
        <v>2.95</v>
      </c>
      <c r="J26" s="84">
        <f t="shared" si="4"/>
        <v>3.4</v>
      </c>
      <c r="K26" s="84">
        <f t="shared" si="5"/>
        <v>4.5666666666666655</v>
      </c>
      <c r="L26" s="104">
        <v>44.266666666666659</v>
      </c>
      <c r="O26" s="84"/>
      <c r="P26" s="84"/>
      <c r="Q26" s="15"/>
      <c r="T26" s="110" t="s">
        <v>92</v>
      </c>
      <c r="U26" s="36" t="s">
        <v>6</v>
      </c>
      <c r="V26" s="36">
        <v>2.7748194725718482</v>
      </c>
      <c r="W26" s="36">
        <v>0.67550634652111763</v>
      </c>
      <c r="X26" s="36">
        <v>4.1077622539925347</v>
      </c>
      <c r="Y26" s="92">
        <v>2.1181162640387763E-3</v>
      </c>
      <c r="Z26" s="36">
        <v>1.2696975371248427</v>
      </c>
      <c r="AA26" s="36">
        <v>4.2799414080188534</v>
      </c>
      <c r="AB26" s="36">
        <v>1.2696975371248427</v>
      </c>
      <c r="AC26" s="36">
        <v>4.2799414080188534</v>
      </c>
    </row>
    <row r="27" spans="1:29" ht="15" thickBot="1" x14ac:dyDescent="0.4">
      <c r="A27">
        <v>5</v>
      </c>
      <c r="B27" s="12">
        <v>43387</v>
      </c>
      <c r="C27" s="14">
        <v>1</v>
      </c>
      <c r="D27" s="14">
        <v>1</v>
      </c>
      <c r="E27" s="14">
        <v>0</v>
      </c>
      <c r="F27" s="84">
        <f t="shared" si="2"/>
        <v>11.15</v>
      </c>
      <c r="G27" s="84">
        <f t="shared" si="2"/>
        <v>5.65</v>
      </c>
      <c r="H27" s="84">
        <f t="shared" si="3"/>
        <v>4.3166666666666664</v>
      </c>
      <c r="I27" s="84">
        <f t="shared" si="3"/>
        <v>7.4</v>
      </c>
      <c r="J27" s="84">
        <f t="shared" si="4"/>
        <v>8.0166666666666675</v>
      </c>
      <c r="K27" s="84">
        <f t="shared" si="5"/>
        <v>6.1</v>
      </c>
      <c r="L27" s="104">
        <v>67.2</v>
      </c>
      <c r="O27" s="84"/>
      <c r="P27" s="84"/>
      <c r="Q27" s="15"/>
      <c r="T27" s="110" t="s">
        <v>94</v>
      </c>
      <c r="U27" s="37" t="s">
        <v>7</v>
      </c>
      <c r="V27" s="37">
        <v>0.93261105872919681</v>
      </c>
      <c r="W27" s="37">
        <v>0.23020026404183119</v>
      </c>
      <c r="X27" s="37">
        <v>4.0513031668796264</v>
      </c>
      <c r="Y27" s="91">
        <v>2.3187176051493912E-3</v>
      </c>
      <c r="Z27" s="37">
        <v>0.41969290668009385</v>
      </c>
      <c r="AA27" s="37">
        <v>1.4455292107782998</v>
      </c>
      <c r="AB27" s="37">
        <v>0.41969290668009385</v>
      </c>
      <c r="AC27" s="37">
        <v>1.4455292107782998</v>
      </c>
    </row>
    <row r="28" spans="1:29" x14ac:dyDescent="0.35">
      <c r="A28">
        <v>6</v>
      </c>
      <c r="B28" s="12">
        <v>43389</v>
      </c>
      <c r="C28" s="14">
        <v>0</v>
      </c>
      <c r="D28" s="14">
        <v>0</v>
      </c>
      <c r="E28" s="14">
        <v>0</v>
      </c>
      <c r="F28" s="84">
        <f t="shared" si="2"/>
        <v>6.3833333333333337</v>
      </c>
      <c r="G28" s="84">
        <f t="shared" si="2"/>
        <v>2</v>
      </c>
      <c r="H28" s="84">
        <f t="shared" si="3"/>
        <v>9</v>
      </c>
      <c r="I28" s="84">
        <f t="shared" si="3"/>
        <v>5</v>
      </c>
      <c r="J28" s="84">
        <f t="shared" si="4"/>
        <v>4</v>
      </c>
      <c r="K28" s="84">
        <f t="shared" si="5"/>
        <v>4</v>
      </c>
      <c r="L28" s="104">
        <v>49.599999999999994</v>
      </c>
      <c r="O28" s="84"/>
      <c r="P28" s="84"/>
      <c r="Q28" s="15"/>
      <c r="T28" s="110"/>
    </row>
    <row r="29" spans="1:29" x14ac:dyDescent="0.35">
      <c r="A29">
        <v>7</v>
      </c>
      <c r="B29" s="12">
        <v>43390</v>
      </c>
      <c r="C29" s="14">
        <v>0</v>
      </c>
      <c r="D29" s="14">
        <v>0</v>
      </c>
      <c r="E29" s="14">
        <v>0</v>
      </c>
      <c r="F29" s="84">
        <f t="shared" si="2"/>
        <v>8</v>
      </c>
      <c r="G29" s="84">
        <f t="shared" si="2"/>
        <v>2.6666666666666665</v>
      </c>
      <c r="H29" s="84">
        <f t="shared" si="3"/>
        <v>6</v>
      </c>
      <c r="I29" s="84">
        <f t="shared" si="3"/>
        <v>6.2</v>
      </c>
      <c r="J29" s="84">
        <f t="shared" si="4"/>
        <v>5.1833333333333336</v>
      </c>
      <c r="K29" s="84">
        <f t="shared" si="5"/>
        <v>10.116666666666667</v>
      </c>
      <c r="L29" s="104">
        <v>60.1</v>
      </c>
      <c r="O29" s="84"/>
      <c r="P29" s="84"/>
      <c r="Q29" s="15"/>
    </row>
    <row r="30" spans="1:29" x14ac:dyDescent="0.35">
      <c r="A30">
        <v>8</v>
      </c>
      <c r="B30" s="12">
        <v>43392</v>
      </c>
      <c r="C30" s="14">
        <v>0</v>
      </c>
      <c r="D30" s="14">
        <v>1</v>
      </c>
      <c r="E30" s="14">
        <v>0</v>
      </c>
      <c r="F30" s="84">
        <f t="shared" si="2"/>
        <v>7.5</v>
      </c>
      <c r="G30" s="84">
        <f t="shared" si="2"/>
        <v>3</v>
      </c>
      <c r="H30" s="84">
        <f t="shared" si="3"/>
        <v>7.0166666666666675</v>
      </c>
      <c r="I30" s="84">
        <f t="shared" si="3"/>
        <v>5.9666666666666668</v>
      </c>
      <c r="J30" s="84">
        <f t="shared" si="4"/>
        <v>4.3833333333333346</v>
      </c>
      <c r="K30" s="84">
        <f t="shared" si="5"/>
        <v>6.2166666666666668</v>
      </c>
      <c r="L30" s="104">
        <v>52.2</v>
      </c>
      <c r="O30" s="84"/>
      <c r="P30" s="84"/>
      <c r="Q30" s="15"/>
    </row>
    <row r="31" spans="1:29" x14ac:dyDescent="0.35">
      <c r="A31">
        <v>9</v>
      </c>
      <c r="B31" s="12">
        <v>43393</v>
      </c>
      <c r="C31" s="14">
        <v>1</v>
      </c>
      <c r="D31" s="14">
        <v>1</v>
      </c>
      <c r="E31" s="14">
        <v>0</v>
      </c>
      <c r="F31" s="84">
        <f t="shared" si="2"/>
        <v>9</v>
      </c>
      <c r="G31" s="84">
        <f t="shared" si="2"/>
        <v>4</v>
      </c>
      <c r="H31" s="84">
        <f t="shared" si="3"/>
        <v>7.2</v>
      </c>
      <c r="I31" s="84">
        <f t="shared" si="3"/>
        <v>5</v>
      </c>
      <c r="J31" s="84">
        <f t="shared" si="4"/>
        <v>4.1333333333333337</v>
      </c>
      <c r="K31" s="84">
        <f t="shared" si="5"/>
        <v>9.25</v>
      </c>
      <c r="L31" s="104">
        <v>56.5</v>
      </c>
      <c r="O31" s="84"/>
      <c r="P31" s="84"/>
      <c r="Q31" s="15"/>
      <c r="U31" t="s">
        <v>120</v>
      </c>
    </row>
    <row r="32" spans="1:29" ht="15" thickBot="1" x14ac:dyDescent="0.4">
      <c r="A32">
        <v>10</v>
      </c>
      <c r="B32" s="12">
        <v>43394</v>
      </c>
      <c r="C32" s="14">
        <v>1</v>
      </c>
      <c r="D32" s="14">
        <v>1</v>
      </c>
      <c r="E32" s="14">
        <v>0</v>
      </c>
      <c r="F32" s="84">
        <f t="shared" si="2"/>
        <v>6.916666666666667</v>
      </c>
      <c r="G32" s="84">
        <f t="shared" si="2"/>
        <v>4</v>
      </c>
      <c r="H32" s="84">
        <f t="shared" si="3"/>
        <v>7.3666666666666671</v>
      </c>
      <c r="I32" s="84">
        <f t="shared" si="3"/>
        <v>4</v>
      </c>
      <c r="J32" s="84">
        <f t="shared" si="4"/>
        <v>4.2333333333333334</v>
      </c>
      <c r="K32" s="84">
        <f t="shared" si="5"/>
        <v>5</v>
      </c>
      <c r="L32" s="104">
        <v>48.81666666666667</v>
      </c>
      <c r="O32" s="84"/>
      <c r="P32" s="84"/>
      <c r="Q32" s="15"/>
    </row>
    <row r="33" spans="1:23" x14ac:dyDescent="0.35">
      <c r="A33">
        <v>11</v>
      </c>
      <c r="B33" s="12">
        <v>43396</v>
      </c>
      <c r="C33" s="14">
        <v>0</v>
      </c>
      <c r="D33" s="14">
        <v>0</v>
      </c>
      <c r="E33" s="14">
        <v>0</v>
      </c>
      <c r="F33" s="84">
        <f t="shared" si="2"/>
        <v>8.0166666666666675</v>
      </c>
      <c r="G33" s="84">
        <f t="shared" si="2"/>
        <v>3.166666666666667</v>
      </c>
      <c r="H33" s="84">
        <f t="shared" si="3"/>
        <v>4.583333333333333</v>
      </c>
      <c r="I33" s="84">
        <f t="shared" si="3"/>
        <v>5.3</v>
      </c>
      <c r="J33" s="84">
        <f t="shared" si="4"/>
        <v>4.7</v>
      </c>
      <c r="K33" s="84">
        <f t="shared" si="5"/>
        <v>4.0499999999999989</v>
      </c>
      <c r="L33" s="104">
        <v>49.15</v>
      </c>
      <c r="O33" s="84"/>
      <c r="P33" s="84"/>
      <c r="Q33" s="15"/>
      <c r="U33" s="85" t="s">
        <v>121</v>
      </c>
      <c r="V33" s="85" t="s">
        <v>126</v>
      </c>
      <c r="W33" s="85" t="s">
        <v>122</v>
      </c>
    </row>
    <row r="34" spans="1:23" x14ac:dyDescent="0.35">
      <c r="A34">
        <v>12</v>
      </c>
      <c r="B34" s="12">
        <v>43397</v>
      </c>
      <c r="C34" s="14">
        <v>0</v>
      </c>
      <c r="D34" s="14">
        <v>1</v>
      </c>
      <c r="E34" s="14">
        <v>1</v>
      </c>
      <c r="F34" s="84">
        <f t="shared" si="2"/>
        <v>7</v>
      </c>
      <c r="G34" s="84">
        <f t="shared" si="2"/>
        <v>0</v>
      </c>
      <c r="H34" s="84">
        <f t="shared" si="3"/>
        <v>5.7833333333333323</v>
      </c>
      <c r="I34" s="84">
        <f t="shared" si="3"/>
        <v>7.333333333333333</v>
      </c>
      <c r="J34" s="84">
        <f t="shared" si="4"/>
        <v>3.9500000000000006</v>
      </c>
      <c r="K34" s="84">
        <f t="shared" si="5"/>
        <v>7.4666666666666668</v>
      </c>
      <c r="L34" s="104">
        <v>49.7</v>
      </c>
      <c r="O34" s="84"/>
      <c r="P34" s="84"/>
      <c r="Q34" s="15"/>
      <c r="U34" s="36">
        <v>1</v>
      </c>
      <c r="V34" s="36">
        <v>49.478504324252739</v>
      </c>
      <c r="W34" s="36">
        <v>0.42149567574725921</v>
      </c>
    </row>
    <row r="35" spans="1:23" x14ac:dyDescent="0.35">
      <c r="A35">
        <v>13</v>
      </c>
      <c r="B35" s="12">
        <v>43400</v>
      </c>
      <c r="C35" s="14">
        <v>1</v>
      </c>
      <c r="D35" s="14">
        <v>1</v>
      </c>
      <c r="E35" s="14">
        <v>0</v>
      </c>
      <c r="F35" s="84">
        <f t="shared" si="2"/>
        <v>6.5000000000000009</v>
      </c>
      <c r="G35" s="84">
        <f t="shared" si="2"/>
        <v>5</v>
      </c>
      <c r="H35" s="84">
        <f t="shared" si="3"/>
        <v>6.083333333333333</v>
      </c>
      <c r="I35" s="84">
        <f t="shared" si="3"/>
        <v>4.333333333333333</v>
      </c>
      <c r="J35" s="84">
        <f t="shared" si="4"/>
        <v>4.2</v>
      </c>
      <c r="K35" s="84">
        <f t="shared" si="5"/>
        <v>4.55</v>
      </c>
      <c r="L35" s="104">
        <v>50.466666666666661</v>
      </c>
      <c r="O35" s="84"/>
      <c r="P35" s="84"/>
      <c r="Q35" s="15"/>
      <c r="U35" s="36">
        <v>2</v>
      </c>
      <c r="V35" s="36">
        <v>57.710125794636511</v>
      </c>
      <c r="W35" s="36">
        <v>2.3207538696816243E-2</v>
      </c>
    </row>
    <row r="36" spans="1:23" x14ac:dyDescent="0.35">
      <c r="A36">
        <v>14</v>
      </c>
      <c r="B36" s="12">
        <v>43402</v>
      </c>
      <c r="C36" s="14">
        <v>0</v>
      </c>
      <c r="D36" s="14">
        <v>0</v>
      </c>
      <c r="E36" s="14">
        <v>1</v>
      </c>
      <c r="F36" s="84">
        <f t="shared" si="2"/>
        <v>6.083333333333333</v>
      </c>
      <c r="G36" s="84">
        <f t="shared" si="2"/>
        <v>0</v>
      </c>
      <c r="H36" s="84">
        <f t="shared" si="3"/>
        <v>5.4666666666666668</v>
      </c>
      <c r="I36" s="84">
        <f t="shared" si="3"/>
        <v>7</v>
      </c>
      <c r="J36" s="84">
        <f t="shared" si="4"/>
        <v>5</v>
      </c>
      <c r="K36" s="84">
        <f t="shared" si="5"/>
        <v>5</v>
      </c>
      <c r="L36" s="104">
        <v>48.816666666666663</v>
      </c>
      <c r="O36" s="84"/>
      <c r="P36" s="84"/>
      <c r="Q36" s="15"/>
      <c r="U36" s="36">
        <v>3</v>
      </c>
      <c r="V36" s="36">
        <v>53.523269408057565</v>
      </c>
      <c r="W36" s="36">
        <v>1.6933972586091031</v>
      </c>
    </row>
    <row r="37" spans="1:23" x14ac:dyDescent="0.35">
      <c r="A37">
        <v>15</v>
      </c>
      <c r="B37" s="12">
        <v>43404</v>
      </c>
      <c r="C37" s="14">
        <v>0</v>
      </c>
      <c r="D37" s="14">
        <v>0</v>
      </c>
      <c r="E37" s="14">
        <v>0</v>
      </c>
      <c r="F37" s="84">
        <f t="shared" si="2"/>
        <v>6.2333333333333334</v>
      </c>
      <c r="G37" s="84">
        <f t="shared" si="2"/>
        <v>4</v>
      </c>
      <c r="H37" s="84">
        <f t="shared" si="3"/>
        <v>5.9333333333333336</v>
      </c>
      <c r="I37" s="84">
        <f t="shared" si="3"/>
        <v>3</v>
      </c>
      <c r="J37" s="84">
        <f t="shared" si="4"/>
        <v>4.333333333333333</v>
      </c>
      <c r="K37" s="84">
        <f t="shared" si="5"/>
        <v>4.2166666666666677</v>
      </c>
      <c r="L37" s="104">
        <v>46.050000000000004</v>
      </c>
      <c r="O37" s="84"/>
      <c r="P37" s="84"/>
      <c r="Q37" s="15"/>
      <c r="U37" s="36">
        <v>4</v>
      </c>
      <c r="V37" s="36">
        <v>43.928809993064284</v>
      </c>
      <c r="W37" s="36">
        <v>0.33785667360237426</v>
      </c>
    </row>
    <row r="38" spans="1:23" x14ac:dyDescent="0.35">
      <c r="A38">
        <v>16</v>
      </c>
      <c r="B38" s="12">
        <v>43409</v>
      </c>
      <c r="C38" s="14">
        <v>0</v>
      </c>
      <c r="D38" s="14">
        <v>0</v>
      </c>
      <c r="E38" s="14">
        <v>1</v>
      </c>
      <c r="F38" s="84">
        <f t="shared" si="2"/>
        <v>7.3666666666666671</v>
      </c>
      <c r="G38" s="84">
        <f t="shared" si="2"/>
        <v>0</v>
      </c>
      <c r="H38" s="84">
        <f t="shared" si="3"/>
        <v>4.416666666666667</v>
      </c>
      <c r="I38" s="84">
        <f t="shared" si="3"/>
        <v>6</v>
      </c>
      <c r="J38" s="84">
        <f t="shared" si="4"/>
        <v>5.0333333333333332</v>
      </c>
      <c r="K38" s="84">
        <f t="shared" si="5"/>
        <v>6.6666666666666679</v>
      </c>
      <c r="L38" s="104">
        <v>52.75</v>
      </c>
      <c r="O38" s="84"/>
      <c r="P38" s="84"/>
      <c r="Q38" s="15"/>
      <c r="U38" s="36">
        <v>5</v>
      </c>
      <c r="V38" s="36">
        <v>67.731570855646339</v>
      </c>
      <c r="W38" s="36">
        <v>-0.53157085564633633</v>
      </c>
    </row>
    <row r="39" spans="1:23" x14ac:dyDescent="0.35">
      <c r="A39">
        <v>17</v>
      </c>
      <c r="B39" s="12">
        <v>43410</v>
      </c>
      <c r="C39" s="14">
        <v>0</v>
      </c>
      <c r="D39" s="14">
        <v>1</v>
      </c>
      <c r="E39" s="14">
        <v>0</v>
      </c>
      <c r="F39" s="84">
        <f t="shared" ref="F39:G39" si="6">F20*1440</f>
        <v>6.883333333333332</v>
      </c>
      <c r="G39" s="84">
        <f t="shared" si="6"/>
        <v>3</v>
      </c>
      <c r="H39" s="84">
        <f t="shared" si="3"/>
        <v>4.083333333333333</v>
      </c>
      <c r="I39" s="84">
        <f t="shared" si="3"/>
        <v>6.083333333333333</v>
      </c>
      <c r="J39" s="84">
        <f t="shared" si="4"/>
        <v>4</v>
      </c>
      <c r="K39" s="84">
        <f t="shared" si="5"/>
        <v>4</v>
      </c>
      <c r="L39" s="104">
        <v>49.033333333333324</v>
      </c>
      <c r="O39" s="84"/>
      <c r="P39" s="84"/>
      <c r="Q39" s="15"/>
      <c r="U39" s="36">
        <v>6</v>
      </c>
      <c r="V39" s="36">
        <v>48.86328693613531</v>
      </c>
      <c r="W39" s="36">
        <v>0.73671306386468416</v>
      </c>
    </row>
    <row r="40" spans="1:23" x14ac:dyDescent="0.35">
      <c r="S40" s="88"/>
      <c r="U40" s="36">
        <v>7</v>
      </c>
      <c r="V40" s="36">
        <v>58.704928987491975</v>
      </c>
      <c r="W40" s="36">
        <v>1.3950710125080263</v>
      </c>
    </row>
    <row r="41" spans="1:23" ht="16" customHeight="1" x14ac:dyDescent="0.35">
      <c r="B41" s="90" t="s">
        <v>0</v>
      </c>
      <c r="C41" s="19" t="s">
        <v>1</v>
      </c>
      <c r="D41" s="19" t="s">
        <v>15</v>
      </c>
      <c r="E41" s="19" t="s">
        <v>14</v>
      </c>
      <c r="F41" s="19" t="s">
        <v>2</v>
      </c>
      <c r="G41" s="19" t="s">
        <v>3</v>
      </c>
      <c r="H41" s="90" t="s">
        <v>4</v>
      </c>
      <c r="I41" s="90" t="s">
        <v>5</v>
      </c>
      <c r="J41" s="90" t="s">
        <v>6</v>
      </c>
      <c r="K41" s="90" t="s">
        <v>7</v>
      </c>
      <c r="L41" s="90" t="s">
        <v>8</v>
      </c>
      <c r="M41" s="90" t="s">
        <v>9</v>
      </c>
      <c r="N41" s="19" t="s">
        <v>11</v>
      </c>
      <c r="O41" s="39" t="s">
        <v>96</v>
      </c>
      <c r="R41" s="36"/>
      <c r="S41" s="86"/>
      <c r="U41" s="36">
        <v>8</v>
      </c>
      <c r="V41" s="36">
        <v>53.135561539994484</v>
      </c>
      <c r="W41" s="36">
        <v>-0.935561539994481</v>
      </c>
    </row>
    <row r="42" spans="1:23" x14ac:dyDescent="0.35">
      <c r="R42" s="36"/>
      <c r="S42" s="86"/>
      <c r="U42" s="36">
        <v>9</v>
      </c>
      <c r="V42" s="36">
        <v>56.846154102126114</v>
      </c>
      <c r="W42" s="36">
        <v>-0.34615410212611408</v>
      </c>
    </row>
    <row r="43" spans="1:23" x14ac:dyDescent="0.35">
      <c r="R43" s="36"/>
      <c r="S43" s="86"/>
      <c r="U43" s="36">
        <v>10</v>
      </c>
      <c r="V43" s="36">
        <v>50.521516581722203</v>
      </c>
      <c r="W43" s="36">
        <v>-1.704849915055533</v>
      </c>
    </row>
    <row r="44" spans="1:23" x14ac:dyDescent="0.35">
      <c r="U44" s="36">
        <v>11</v>
      </c>
      <c r="V44" s="36">
        <v>50.431597477294524</v>
      </c>
      <c r="W44" s="36">
        <v>-1.2815974772945253</v>
      </c>
    </row>
    <row r="45" spans="1:23" x14ac:dyDescent="0.35">
      <c r="U45" s="36">
        <v>12</v>
      </c>
      <c r="V45" s="36">
        <v>50.62131870224259</v>
      </c>
      <c r="W45" s="36">
        <v>-0.92131870224258705</v>
      </c>
    </row>
    <row r="46" spans="1:23" x14ac:dyDescent="0.35">
      <c r="U46" s="36">
        <v>13</v>
      </c>
      <c r="V46" s="36">
        <v>49.684807874323411</v>
      </c>
      <c r="W46" s="36">
        <v>0.78185879234325029</v>
      </c>
    </row>
    <row r="47" spans="1:23" x14ac:dyDescent="0.35">
      <c r="U47" s="36">
        <v>14</v>
      </c>
      <c r="V47" s="36">
        <v>49.882650321320185</v>
      </c>
      <c r="W47" s="36">
        <v>-1.0659836546535217</v>
      </c>
    </row>
    <row r="48" spans="1:23" x14ac:dyDescent="0.35">
      <c r="U48" s="36">
        <v>15</v>
      </c>
      <c r="V48" s="36">
        <v>47.673228626466042</v>
      </c>
      <c r="W48" s="36">
        <v>-1.6232286264660374</v>
      </c>
    </row>
    <row r="49" spans="21:23" x14ac:dyDescent="0.35">
      <c r="U49" s="36">
        <v>16</v>
      </c>
      <c r="V49" s="36">
        <v>51.298087124958045</v>
      </c>
      <c r="W49" s="36">
        <v>1.4519128750419554</v>
      </c>
    </row>
    <row r="50" spans="21:23" ht="15" thickBot="1" x14ac:dyDescent="0.4">
      <c r="U50" s="37">
        <v>17</v>
      </c>
      <c r="V50" s="37">
        <v>47.464581350267693</v>
      </c>
      <c r="W50" s="37">
        <v>1.5687519830656314</v>
      </c>
    </row>
    <row r="51" spans="21:23" x14ac:dyDescent="0.35">
      <c r="U51" s="36">
        <v>15</v>
      </c>
      <c r="V51" s="36">
        <v>47.026383061123191</v>
      </c>
      <c r="W51" s="36">
        <v>-0.97638306112318674</v>
      </c>
    </row>
    <row r="52" spans="21:23" x14ac:dyDescent="0.35">
      <c r="U52" s="36">
        <v>16</v>
      </c>
      <c r="V52" s="36">
        <v>52.565575830098702</v>
      </c>
      <c r="W52" s="36">
        <v>0.18442416990129828</v>
      </c>
    </row>
    <row r="53" spans="21:23" ht="15" thickBot="1" x14ac:dyDescent="0.4">
      <c r="U53" s="37">
        <v>17</v>
      </c>
      <c r="V53" s="37">
        <v>47.648155990976946</v>
      </c>
      <c r="W53" s="37">
        <v>1.3851773423563785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Calendar</vt:lpstr>
      <vt:lpstr>SQL</vt:lpstr>
      <vt:lpstr>Chi-Squared Ridden</vt:lpstr>
      <vt:lpstr>Chi-Squared</vt:lpstr>
      <vt:lpstr>MultipleLinearRegression</vt:lpstr>
      <vt:lpstr>LinearRegression</vt:lpstr>
      <vt:lpstr>LinearRegression Again</vt:lpstr>
      <vt:lpstr>Reduced Variables</vt:lpstr>
      <vt:lpstr>CI and SampleSize</vt:lpstr>
      <vt:lpstr>Down to 4</vt:lpstr>
      <vt:lpstr>Control Chart</vt:lpstr>
      <vt:lpstr>All Data Control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cp:lastPrinted>2018-11-14T21:36:54Z</cp:lastPrinted>
  <dcterms:created xsi:type="dcterms:W3CDTF">2018-11-14T20:39:12Z</dcterms:created>
  <dcterms:modified xsi:type="dcterms:W3CDTF">2018-12-14T03:05:59Z</dcterms:modified>
</cp:coreProperties>
</file>