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/Desktop/UNAM/INFORMATICA/9/5/"/>
    </mc:Choice>
  </mc:AlternateContent>
  <xr:revisionPtr revIDLastSave="0" documentId="13_ncr:1_{71180969-A68F-ED41-9238-CD9A40E57D91}" xr6:coauthVersionLast="45" xr6:coauthVersionMax="45" xr10:uidLastSave="{00000000-0000-0000-0000-000000000000}"/>
  <bookViews>
    <workbookView xWindow="380" yWindow="460" windowWidth="28040" windowHeight="16100" xr2:uid="{96A73D9D-BC73-6042-BDB7-BE5B63796179}"/>
  </bookViews>
  <sheets>
    <sheet name="Act_5_OK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5" l="1"/>
  <c r="AS28" i="5"/>
  <c r="AR28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" i="5"/>
  <c r="AS26" i="5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" i="5"/>
  <c r="AR26" i="5"/>
  <c r="AQ3" i="5"/>
  <c r="AQ4" i="5"/>
  <c r="AQ5" i="5"/>
  <c r="AQ28" i="5" s="1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" i="5"/>
  <c r="AQ26" i="5"/>
  <c r="AO28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" i="5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" i="5"/>
  <c r="W2" i="5"/>
  <c r="AF26" i="5"/>
  <c r="AE26" i="5"/>
  <c r="AD26" i="5"/>
  <c r="AC26" i="5"/>
  <c r="AB26" i="5"/>
  <c r="AA26" i="5"/>
  <c r="Z26" i="5"/>
  <c r="Y26" i="5"/>
  <c r="W25" i="5"/>
  <c r="W24" i="5"/>
  <c r="H27" i="5" s="1"/>
  <c r="W23" i="5"/>
  <c r="W22" i="5"/>
  <c r="W21" i="5"/>
  <c r="W20" i="5"/>
  <c r="W19" i="5"/>
  <c r="W18" i="5"/>
  <c r="X18" i="5" s="1"/>
  <c r="W17" i="5"/>
  <c r="W16" i="5"/>
  <c r="W15" i="5"/>
  <c r="X15" i="5" s="1"/>
  <c r="AA15" i="5" s="1"/>
  <c r="W14" i="5"/>
  <c r="W13" i="5"/>
  <c r="W12" i="5"/>
  <c r="W11" i="5"/>
  <c r="W10" i="5"/>
  <c r="M27" i="5" s="1"/>
  <c r="W9" i="5"/>
  <c r="W8" i="5"/>
  <c r="W7" i="5"/>
  <c r="N27" i="5" s="1"/>
  <c r="W6" i="5"/>
  <c r="W5" i="5"/>
  <c r="W4" i="5"/>
  <c r="W3" i="5"/>
  <c r="T25" i="5"/>
  <c r="U25" i="5" s="1"/>
  <c r="V25" i="5" s="1"/>
  <c r="T24" i="5"/>
  <c r="X24" i="5" s="1"/>
  <c r="AC24" i="5" s="1"/>
  <c r="T23" i="5"/>
  <c r="T22" i="5"/>
  <c r="X22" i="5" s="1"/>
  <c r="Y22" i="5" s="1"/>
  <c r="T21" i="5"/>
  <c r="U21" i="5" s="1"/>
  <c r="V21" i="5" s="1"/>
  <c r="R20" i="5"/>
  <c r="Q20" i="5"/>
  <c r="O20" i="5"/>
  <c r="L20" i="5"/>
  <c r="K20" i="5"/>
  <c r="T20" i="5" s="1"/>
  <c r="U20" i="5" s="1"/>
  <c r="V20" i="5" s="1"/>
  <c r="H20" i="5"/>
  <c r="D20" i="5"/>
  <c r="T19" i="5"/>
  <c r="T18" i="5"/>
  <c r="U18" i="5" s="1"/>
  <c r="V18" i="5" s="1"/>
  <c r="T17" i="5"/>
  <c r="T16" i="5"/>
  <c r="T15" i="5"/>
  <c r="U15" i="5" s="1"/>
  <c r="V15" i="5" s="1"/>
  <c r="T14" i="5"/>
  <c r="U14" i="5" s="1"/>
  <c r="V14" i="5" s="1"/>
  <c r="T13" i="5"/>
  <c r="X13" i="5" s="1"/>
  <c r="AF13" i="5" s="1"/>
  <c r="T12" i="5"/>
  <c r="X12" i="5" s="1"/>
  <c r="T11" i="5"/>
  <c r="U11" i="5" s="1"/>
  <c r="V11" i="5" s="1"/>
  <c r="T10" i="5"/>
  <c r="X10" i="5" s="1"/>
  <c r="AF10" i="5" s="1"/>
  <c r="T9" i="5"/>
  <c r="T8" i="5"/>
  <c r="T7" i="5"/>
  <c r="U7" i="5" s="1"/>
  <c r="V7" i="5" s="1"/>
  <c r="T6" i="5"/>
  <c r="X6" i="5" s="1"/>
  <c r="Y6" i="5" s="1"/>
  <c r="T5" i="5"/>
  <c r="U5" i="5" s="1"/>
  <c r="V5" i="5" s="1"/>
  <c r="T4" i="5"/>
  <c r="T3" i="5"/>
  <c r="U3" i="5" s="1"/>
  <c r="V3" i="5" s="1"/>
  <c r="L2" i="5"/>
  <c r="K2" i="5"/>
  <c r="J2" i="5"/>
  <c r="I2" i="5"/>
  <c r="C27" i="5" l="1"/>
  <c r="P27" i="5"/>
  <c r="Y13" i="5"/>
  <c r="X16" i="5"/>
  <c r="AC16" i="5" s="1"/>
  <c r="D27" i="5"/>
  <c r="X14" i="5"/>
  <c r="Y14" i="5" s="1"/>
  <c r="AF18" i="5"/>
  <c r="AE18" i="5"/>
  <c r="AD18" i="5"/>
  <c r="AC18" i="5"/>
  <c r="AB18" i="5"/>
  <c r="AA18" i="5"/>
  <c r="Z18" i="5"/>
  <c r="Y18" i="5"/>
  <c r="AH18" i="5" s="1"/>
  <c r="Z22" i="5"/>
  <c r="Z6" i="5"/>
  <c r="AA22" i="5"/>
  <c r="AA6" i="5"/>
  <c r="AB15" i="5"/>
  <c r="AC15" i="5"/>
  <c r="AD24" i="5"/>
  <c r="AE24" i="5"/>
  <c r="AE16" i="5"/>
  <c r="AF24" i="5"/>
  <c r="AF16" i="5"/>
  <c r="Y12" i="5"/>
  <c r="Z13" i="5"/>
  <c r="AA13" i="5"/>
  <c r="AB22" i="5"/>
  <c r="AB6" i="5"/>
  <c r="AC22" i="5"/>
  <c r="AC6" i="5"/>
  <c r="AD15" i="5"/>
  <c r="AE15" i="5"/>
  <c r="AF15" i="5"/>
  <c r="X5" i="5"/>
  <c r="Z12" i="5"/>
  <c r="AA12" i="5"/>
  <c r="AB13" i="5"/>
  <c r="AC13" i="5"/>
  <c r="AD22" i="5"/>
  <c r="AD14" i="5"/>
  <c r="AD6" i="5"/>
  <c r="AE22" i="5"/>
  <c r="AE6" i="5"/>
  <c r="AF22" i="5"/>
  <c r="AF14" i="5"/>
  <c r="AF6" i="5"/>
  <c r="AB12" i="5"/>
  <c r="AC12" i="5"/>
  <c r="AD13" i="5"/>
  <c r="AE13" i="5"/>
  <c r="X17" i="5"/>
  <c r="E27" i="5"/>
  <c r="J27" i="5"/>
  <c r="Z10" i="5"/>
  <c r="AA10" i="5"/>
  <c r="AD12" i="5"/>
  <c r="AE12" i="5"/>
  <c r="AF12" i="5"/>
  <c r="T2" i="5"/>
  <c r="X2" i="5" s="1"/>
  <c r="Y10" i="5"/>
  <c r="U6" i="5"/>
  <c r="V6" i="5" s="1"/>
  <c r="F27" i="5"/>
  <c r="X19" i="5"/>
  <c r="G27" i="5"/>
  <c r="Y24" i="5"/>
  <c r="Y16" i="5"/>
  <c r="AB10" i="5"/>
  <c r="AC10" i="5"/>
  <c r="Y15" i="5"/>
  <c r="Z24" i="5"/>
  <c r="Z16" i="5"/>
  <c r="AA24" i="5"/>
  <c r="AD10" i="5"/>
  <c r="AH26" i="5"/>
  <c r="AE10" i="5"/>
  <c r="X9" i="5"/>
  <c r="X23" i="5"/>
  <c r="Z15" i="5"/>
  <c r="AB24" i="5"/>
  <c r="X8" i="5"/>
  <c r="R27" i="5"/>
  <c r="X4" i="5"/>
  <c r="Q27" i="5"/>
  <c r="O27" i="5"/>
  <c r="X3" i="5"/>
  <c r="U10" i="5"/>
  <c r="V10" i="5" s="1"/>
  <c r="U19" i="5"/>
  <c r="V19" i="5" s="1"/>
  <c r="U17" i="5"/>
  <c r="V17" i="5" s="1"/>
  <c r="U13" i="5"/>
  <c r="V13" i="5" s="1"/>
  <c r="U9" i="5"/>
  <c r="V9" i="5" s="1"/>
  <c r="X25" i="5"/>
  <c r="K27" i="5"/>
  <c r="X11" i="5"/>
  <c r="L27" i="5"/>
  <c r="X7" i="5"/>
  <c r="X21" i="5"/>
  <c r="U2" i="5"/>
  <c r="V2" i="5" s="1"/>
  <c r="T27" i="5"/>
  <c r="U4" i="5"/>
  <c r="V4" i="5" s="1"/>
  <c r="U8" i="5"/>
  <c r="V8" i="5" s="1"/>
  <c r="U12" i="5"/>
  <c r="V12" i="5" s="1"/>
  <c r="U16" i="5"/>
  <c r="V16" i="5" s="1"/>
  <c r="I27" i="5"/>
  <c r="U24" i="5"/>
  <c r="V24" i="5" s="1"/>
  <c r="X20" i="5"/>
  <c r="U23" i="5"/>
  <c r="V23" i="5" s="1"/>
  <c r="U22" i="5"/>
  <c r="V22" i="5" s="1"/>
  <c r="Y2" i="5" l="1"/>
  <c r="AH2" i="5" s="1"/>
  <c r="AH12" i="5"/>
  <c r="AC14" i="5"/>
  <c r="AH6" i="5"/>
  <c r="AA14" i="5"/>
  <c r="AH10" i="5"/>
  <c r="AH13" i="5"/>
  <c r="AB16" i="5"/>
  <c r="AA16" i="5"/>
  <c r="AH24" i="5"/>
  <c r="AH22" i="5"/>
  <c r="AB14" i="5"/>
  <c r="AE14" i="5"/>
  <c r="AH14" i="5" s="1"/>
  <c r="AD16" i="5"/>
  <c r="Z14" i="5"/>
  <c r="AF3" i="5"/>
  <c r="AE3" i="5"/>
  <c r="AD3" i="5"/>
  <c r="Z3" i="5"/>
  <c r="AC3" i="5"/>
  <c r="AB3" i="5"/>
  <c r="AA3" i="5"/>
  <c r="Y3" i="5"/>
  <c r="AF25" i="5"/>
  <c r="AE25" i="5"/>
  <c r="AD25" i="5"/>
  <c r="AC25" i="5"/>
  <c r="AB25" i="5"/>
  <c r="AA25" i="5"/>
  <c r="Z25" i="5"/>
  <c r="Y25" i="5"/>
  <c r="AF19" i="5"/>
  <c r="AE19" i="5"/>
  <c r="AD19" i="5"/>
  <c r="AC19" i="5"/>
  <c r="AB19" i="5"/>
  <c r="AA19" i="5"/>
  <c r="Z19" i="5"/>
  <c r="Y19" i="5"/>
  <c r="AF5" i="5"/>
  <c r="AE5" i="5"/>
  <c r="AD5" i="5"/>
  <c r="AC5" i="5"/>
  <c r="AB5" i="5"/>
  <c r="AA5" i="5"/>
  <c r="Z5" i="5"/>
  <c r="Y5" i="5"/>
  <c r="AF11" i="5"/>
  <c r="AE11" i="5"/>
  <c r="AD11" i="5"/>
  <c r="AC11" i="5"/>
  <c r="AB11" i="5"/>
  <c r="AA11" i="5"/>
  <c r="Z11" i="5"/>
  <c r="Y11" i="5"/>
  <c r="AB2" i="5"/>
  <c r="Z2" i="5"/>
  <c r="AF20" i="5"/>
  <c r="AE20" i="5"/>
  <c r="AD20" i="5"/>
  <c r="AC20" i="5"/>
  <c r="AB20" i="5"/>
  <c r="AA20" i="5"/>
  <c r="Z20" i="5"/>
  <c r="Y20" i="5"/>
  <c r="AF4" i="5"/>
  <c r="AE4" i="5"/>
  <c r="AD4" i="5"/>
  <c r="AC4" i="5"/>
  <c r="AB4" i="5"/>
  <c r="AA4" i="5"/>
  <c r="Z4" i="5"/>
  <c r="Y4" i="5"/>
  <c r="AA23" i="5"/>
  <c r="Z23" i="5"/>
  <c r="Y23" i="5"/>
  <c r="AF23" i="5"/>
  <c r="AE23" i="5"/>
  <c r="AD23" i="5"/>
  <c r="AC23" i="5"/>
  <c r="AB23" i="5"/>
  <c r="AF9" i="5"/>
  <c r="AE9" i="5"/>
  <c r="AD9" i="5"/>
  <c r="AC9" i="5"/>
  <c r="AB9" i="5"/>
  <c r="AA9" i="5"/>
  <c r="Z9" i="5"/>
  <c r="Y9" i="5"/>
  <c r="AH15" i="5"/>
  <c r="AH16" i="5"/>
  <c r="AF21" i="5"/>
  <c r="AE21" i="5"/>
  <c r="AD21" i="5"/>
  <c r="AC21" i="5"/>
  <c r="AB21" i="5"/>
  <c r="AA21" i="5"/>
  <c r="Z21" i="5"/>
  <c r="Y21" i="5"/>
  <c r="AC8" i="5"/>
  <c r="AB8" i="5"/>
  <c r="AA8" i="5"/>
  <c r="Z8" i="5"/>
  <c r="Y8" i="5"/>
  <c r="AF8" i="5"/>
  <c r="AE8" i="5"/>
  <c r="AD8" i="5"/>
  <c r="AA7" i="5"/>
  <c r="Z7" i="5"/>
  <c r="Y7" i="5"/>
  <c r="AF7" i="5"/>
  <c r="AE7" i="5"/>
  <c r="AD7" i="5"/>
  <c r="AC7" i="5"/>
  <c r="AB7" i="5"/>
  <c r="AF17" i="5"/>
  <c r="AE17" i="5"/>
  <c r="AD17" i="5"/>
  <c r="AC17" i="5"/>
  <c r="AB17" i="5"/>
  <c r="AA17" i="5"/>
  <c r="Z17" i="5"/>
  <c r="Y17" i="5"/>
  <c r="AE2" i="5"/>
  <c r="AD2" i="5"/>
  <c r="AF2" i="5"/>
  <c r="X28" i="5"/>
  <c r="AC2" i="5"/>
  <c r="AA2" i="5"/>
  <c r="AH11" i="5" l="1"/>
  <c r="AH5" i="5"/>
  <c r="AH3" i="5"/>
  <c r="AH20" i="5"/>
  <c r="AH4" i="5"/>
  <c r="AH7" i="5"/>
  <c r="AH21" i="5"/>
  <c r="AH17" i="5"/>
  <c r="AH19" i="5"/>
  <c r="AH23" i="5"/>
  <c r="AH8" i="5"/>
  <c r="AH25" i="5"/>
  <c r="AH9" i="5"/>
</calcChain>
</file>

<file path=xl/sharedStrings.xml><?xml version="1.0" encoding="utf-8"?>
<sst xmlns="http://schemas.openxmlformats.org/spreadsheetml/2006/main" count="70" uniqueCount="67">
  <si>
    <t>SM</t>
  </si>
  <si>
    <t>BE1</t>
  </si>
  <si>
    <t>BE2</t>
  </si>
  <si>
    <t>BE3</t>
  </si>
  <si>
    <t>BE4</t>
  </si>
  <si>
    <t>FE1</t>
  </si>
  <si>
    <t>FE2</t>
  </si>
  <si>
    <t>FE3</t>
  </si>
  <si>
    <t>DBA1</t>
  </si>
  <si>
    <t>DBA2</t>
  </si>
  <si>
    <t>DBA3</t>
  </si>
  <si>
    <t>UX</t>
  </si>
  <si>
    <t>UX2</t>
  </si>
  <si>
    <t>UX3</t>
  </si>
  <si>
    <t>Test</t>
  </si>
  <si>
    <t>Test2</t>
  </si>
  <si>
    <t>Test3</t>
  </si>
  <si>
    <t>DG</t>
  </si>
  <si>
    <t>PMO</t>
  </si>
  <si>
    <t>Doc</t>
  </si>
  <si>
    <t>Doc2</t>
  </si>
  <si>
    <t>Analista</t>
  </si>
  <si>
    <t>Abogado</t>
  </si>
  <si>
    <t>Preventa</t>
  </si>
  <si>
    <t>Diseño</t>
  </si>
  <si>
    <t>Toma de Requerimientos</t>
  </si>
  <si>
    <t>Aceptacion del piloto</t>
  </si>
  <si>
    <t>Ajuste requerimientos</t>
  </si>
  <si>
    <t>Aceptación y contrato</t>
  </si>
  <si>
    <t>Revisión de fuentes</t>
  </si>
  <si>
    <t>Diseño de vistas de usuario</t>
  </si>
  <si>
    <t>Diseño de Backend</t>
  </si>
  <si>
    <t>Diseño de Frontend</t>
  </si>
  <si>
    <t>Población de datos</t>
  </si>
  <si>
    <t>Diseño de intregración</t>
  </si>
  <si>
    <t>Programacion del Core</t>
  </si>
  <si>
    <t>Pruebas integrales</t>
  </si>
  <si>
    <t>Producción</t>
  </si>
  <si>
    <t>Piloto</t>
  </si>
  <si>
    <t>Liberación a preproducción</t>
  </si>
  <si>
    <t>Dias de trabajo</t>
  </si>
  <si>
    <t>Impuesto de nómina CDMX (3%)</t>
  </si>
  <si>
    <t>IMSS (12%)</t>
  </si>
  <si>
    <t>ISR (35%)</t>
  </si>
  <si>
    <t>Retiro (3.5%)</t>
  </si>
  <si>
    <t>Aguinaldo y vacaciones</t>
  </si>
  <si>
    <t>Empresario</t>
  </si>
  <si>
    <t>INFONAVIT (5%)</t>
  </si>
  <si>
    <t>INFONAVIT (1%)</t>
  </si>
  <si>
    <t>IVA (16%)</t>
  </si>
  <si>
    <t>COSTO CON IVA</t>
  </si>
  <si>
    <t>Meses trabajados</t>
  </si>
  <si>
    <t>COMIDA</t>
  </si>
  <si>
    <t>Equipo de Computo</t>
  </si>
  <si>
    <t>Seguro Gastos Medicos Mayores</t>
  </si>
  <si>
    <t>Horas Trabajadas</t>
  </si>
  <si>
    <t>COSTO MENSUAL</t>
  </si>
  <si>
    <t>COSTO TOTAL(MXN)</t>
  </si>
  <si>
    <t>TOTAL</t>
  </si>
  <si>
    <t>Pago X dia (MXN)</t>
  </si>
  <si>
    <t>COSTO REAL (MXN)</t>
  </si>
  <si>
    <t>COSTO (USD)</t>
  </si>
  <si>
    <t>COSTO (MXN)</t>
  </si>
  <si>
    <t>Monto NETO (MXN)</t>
  </si>
  <si>
    <t>COSTO por Persona (Impuestos y prestaciones) (MXN)</t>
  </si>
  <si>
    <t>Ganancia por persona (MXN)</t>
  </si>
  <si>
    <t>Retenciones del Gobierno (MXN)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</si>
</sst>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3" fillId="0" borderId="0" xfId="0" applyNumberFormat="1" applyFont="1" applyAlignment="1">
      <alignment horizontal="center" vertical="center" textRotation="90" wrapText="1" shrinkToFi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7" fillId="2" borderId="1" xfId="0" applyNumberFormat="1" applyFont="1" applyFill="1" applyBorder="1" applyAlignment="1">
      <alignment horizontal="center"/>
    </xf>
    <xf numFmtId="2" fontId="8" fillId="2" borderId="2" xfId="0" applyNumberFormat="1" applyFont="1" applyFill="1" applyBorder="1"/>
    <xf numFmtId="1" fontId="9" fillId="0" borderId="0" xfId="0" applyNumberFormat="1" applyFont="1"/>
    <xf numFmtId="1" fontId="11" fillId="0" borderId="0" xfId="0" applyNumberFormat="1" applyFont="1" applyBorder="1"/>
    <xf numFmtId="0" fontId="10" fillId="0" borderId="0" xfId="0" applyNumberFormat="1" applyFont="1" applyBorder="1"/>
    <xf numFmtId="2" fontId="9" fillId="0" borderId="0" xfId="0" applyNumberFormat="1" applyFont="1" applyBorder="1"/>
    <xf numFmtId="49" fontId="9" fillId="0" borderId="0" xfId="0" applyNumberFormat="1" applyFont="1" applyBorder="1"/>
    <xf numFmtId="2" fontId="10" fillId="0" borderId="0" xfId="0" applyNumberFormat="1" applyFont="1" applyBorder="1"/>
    <xf numFmtId="2" fontId="2" fillId="0" borderId="2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textRotation="90" wrapText="1" shrinkToFit="1"/>
    </xf>
    <xf numFmtId="49" fontId="0" fillId="0" borderId="3" xfId="0" applyNumberFormat="1" applyBorder="1"/>
    <xf numFmtId="1" fontId="0" fillId="0" borderId="3" xfId="0" applyNumberFormat="1" applyBorder="1"/>
    <xf numFmtId="2" fontId="0" fillId="0" borderId="3" xfId="0" applyNumberFormat="1" applyBorder="1"/>
    <xf numFmtId="2" fontId="2" fillId="0" borderId="3" xfId="0" applyNumberFormat="1" applyFont="1" applyBorder="1"/>
    <xf numFmtId="49" fontId="3" fillId="0" borderId="3" xfId="0" applyNumberFormat="1" applyFont="1" applyBorder="1" applyAlignment="1">
      <alignment horizontal="center" vertical="center" wrapText="1" shrinkToFit="1"/>
    </xf>
    <xf numFmtId="49" fontId="3" fillId="0" borderId="0" xfId="0" applyNumberFormat="1" applyFont="1" applyAlignment="1">
      <alignment horizontal="center" vertical="center" wrapText="1" shrinkToFit="1"/>
    </xf>
    <xf numFmtId="49" fontId="6" fillId="0" borderId="3" xfId="0" applyNumberFormat="1" applyFont="1" applyBorder="1" applyAlignment="1">
      <alignment horizontal="center" vertical="center" wrapText="1" shrinkToFit="1"/>
    </xf>
    <xf numFmtId="1" fontId="3" fillId="0" borderId="3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C05C-0BE4-334D-A285-0DB634978500}">
  <dimension ref="B1:AS28"/>
  <sheetViews>
    <sheetView tabSelected="1" zoomScale="97" zoomScaleNormal="97" workbookViewId="0">
      <selection activeCell="AS2" sqref="AS2"/>
    </sheetView>
  </sheetViews>
  <sheetFormatPr baseColWidth="10" defaultRowHeight="16" x14ac:dyDescent="0.2"/>
  <cols>
    <col min="1" max="1" width="6" style="2" customWidth="1"/>
    <col min="2" max="2" width="14" style="2" customWidth="1"/>
    <col min="3" max="17" width="9.33203125" style="3" hidden="1" customWidth="1"/>
    <col min="18" max="18" width="1.83203125" style="3" hidden="1" customWidth="1"/>
    <col min="19" max="19" width="1.6640625" style="3" customWidth="1"/>
    <col min="20" max="20" width="7.1640625" style="2" customWidth="1"/>
    <col min="21" max="21" width="8.5" style="2" customWidth="1"/>
    <col min="22" max="22" width="9.1640625" style="2" customWidth="1"/>
    <col min="23" max="23" width="10.83203125" style="7"/>
    <col min="24" max="24" width="13.33203125" style="10" customWidth="1"/>
    <col min="25" max="32" width="10.83203125" style="2"/>
    <col min="33" max="33" width="1" style="2" customWidth="1"/>
    <col min="34" max="39" width="10.83203125" style="2"/>
    <col min="40" max="40" width="12.83203125" style="10" customWidth="1"/>
    <col min="41" max="41" width="21.5" style="2" bestFit="1" customWidth="1"/>
    <col min="42" max="42" width="2.33203125" style="2" customWidth="1"/>
    <col min="43" max="43" width="21.5" style="2" bestFit="1" customWidth="1"/>
    <col min="44" max="45" width="18" style="2" bestFit="1" customWidth="1"/>
    <col min="46" max="16384" width="10.83203125" style="2"/>
  </cols>
  <sheetData>
    <row r="1" spans="2:45" s="1" customFormat="1" ht="80" customHeight="1" x14ac:dyDescent="0.2">
      <c r="B1" s="22"/>
      <c r="C1" s="1" t="s">
        <v>25</v>
      </c>
      <c r="D1" s="1" t="s">
        <v>24</v>
      </c>
      <c r="E1" s="1" t="s">
        <v>38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39</v>
      </c>
      <c r="R1" s="1" t="s">
        <v>37</v>
      </c>
      <c r="T1" s="27" t="s">
        <v>40</v>
      </c>
      <c r="U1" s="27" t="s">
        <v>55</v>
      </c>
      <c r="V1" s="27" t="s">
        <v>51</v>
      </c>
      <c r="W1" s="30" t="s">
        <v>59</v>
      </c>
      <c r="X1" s="29" t="s">
        <v>63</v>
      </c>
      <c r="Y1" s="27" t="s">
        <v>41</v>
      </c>
      <c r="Z1" s="27" t="s">
        <v>42</v>
      </c>
      <c r="AA1" s="27" t="s">
        <v>44</v>
      </c>
      <c r="AB1" s="27" t="s">
        <v>43</v>
      </c>
      <c r="AC1" s="27" t="s">
        <v>47</v>
      </c>
      <c r="AD1" s="27" t="s">
        <v>48</v>
      </c>
      <c r="AE1" s="27" t="s">
        <v>45</v>
      </c>
      <c r="AF1" s="27" t="s">
        <v>46</v>
      </c>
      <c r="AG1" s="27"/>
      <c r="AH1" s="29" t="s">
        <v>60</v>
      </c>
      <c r="AI1" s="27" t="s">
        <v>49</v>
      </c>
      <c r="AJ1" s="29" t="s">
        <v>50</v>
      </c>
      <c r="AK1" s="27" t="s">
        <v>52</v>
      </c>
      <c r="AL1" s="27" t="s">
        <v>53</v>
      </c>
      <c r="AM1" s="27" t="s">
        <v>54</v>
      </c>
      <c r="AN1" s="29" t="s">
        <v>56</v>
      </c>
      <c r="AO1" s="27" t="s">
        <v>57</v>
      </c>
      <c r="AP1" s="28"/>
      <c r="AQ1" s="27" t="s">
        <v>64</v>
      </c>
      <c r="AR1" s="27" t="s">
        <v>65</v>
      </c>
      <c r="AS1" s="27" t="s">
        <v>66</v>
      </c>
    </row>
    <row r="2" spans="2:45" x14ac:dyDescent="0.2">
      <c r="B2" s="23" t="s">
        <v>0</v>
      </c>
      <c r="C2" s="3">
        <v>2</v>
      </c>
      <c r="D2" s="3">
        <v>8</v>
      </c>
      <c r="E2" s="3">
        <v>11</v>
      </c>
      <c r="F2" s="3">
        <v>3</v>
      </c>
      <c r="G2" s="3">
        <v>4</v>
      </c>
      <c r="H2" s="3">
        <v>4</v>
      </c>
      <c r="I2" s="9">
        <f>3*(0.1)</f>
        <v>0.30000000000000004</v>
      </c>
      <c r="J2" s="6">
        <f>10*(0.5)</f>
        <v>5</v>
      </c>
      <c r="K2" s="6">
        <f>11*(0.5)</f>
        <v>5.5</v>
      </c>
      <c r="L2" s="6">
        <f>33*(0.5)</f>
        <v>16.5</v>
      </c>
      <c r="N2" s="3">
        <v>9</v>
      </c>
      <c r="O2" s="3">
        <v>11</v>
      </c>
      <c r="P2" s="3">
        <v>4</v>
      </c>
      <c r="Q2" s="3">
        <v>3</v>
      </c>
      <c r="R2" s="3">
        <v>10</v>
      </c>
      <c r="T2" s="24">
        <f t="shared" ref="T2:T25" si="0">SUM(C2:R2)</f>
        <v>96.3</v>
      </c>
      <c r="U2" s="25">
        <f>T2*(8)</f>
        <v>770.4</v>
      </c>
      <c r="V2" s="25">
        <f>U2/(176)</f>
        <v>4.377272727272727</v>
      </c>
      <c r="W2" s="24">
        <f>480*25</f>
        <v>12000</v>
      </c>
      <c r="X2" s="26">
        <f>(W2)*T2</f>
        <v>1155600</v>
      </c>
      <c r="Y2" s="25">
        <f>X2*(0.03)</f>
        <v>34668</v>
      </c>
      <c r="Z2" s="25">
        <f>X2*(0.12)</f>
        <v>138672</v>
      </c>
      <c r="AA2" s="25">
        <f>X2*(0.035)</f>
        <v>40446.000000000007</v>
      </c>
      <c r="AB2" s="25">
        <f>X2*(0.35)</f>
        <v>404460</v>
      </c>
      <c r="AC2" s="25">
        <f>X2*(0.05)</f>
        <v>57780</v>
      </c>
      <c r="AD2" s="25">
        <f>X2*(0.01)</f>
        <v>11556</v>
      </c>
      <c r="AE2" s="25">
        <f>X2*(0.1)</f>
        <v>115560</v>
      </c>
      <c r="AF2" s="25">
        <f>X2*(0.1)</f>
        <v>115560</v>
      </c>
      <c r="AG2" s="23"/>
      <c r="AH2" s="25">
        <f>SUM(X2:AF2)</f>
        <v>2074302</v>
      </c>
      <c r="AI2" s="25">
        <f>AH2*(0.16)</f>
        <v>331888.32</v>
      </c>
      <c r="AJ2" s="25">
        <f>AH2+AI2</f>
        <v>2406190.3199999998</v>
      </c>
      <c r="AK2" s="25">
        <f>V2*(1500)</f>
        <v>6565.9090909090901</v>
      </c>
      <c r="AL2" s="25">
        <f>V2*(7500)</f>
        <v>32829.545454545456</v>
      </c>
      <c r="AM2" s="25">
        <f>V2*(2261)</f>
        <v>9897.0136363636357</v>
      </c>
      <c r="AN2" s="26">
        <f>AH2+AI2+AJ2+AK2+AL2+AM2</f>
        <v>4861673.1081818184</v>
      </c>
      <c r="AO2" s="26">
        <f>AN2*(V2)</f>
        <v>21280869.105359502</v>
      </c>
      <c r="AQ2" s="26">
        <f>AO2</f>
        <v>21280869.105359502</v>
      </c>
      <c r="AR2" s="25">
        <f>AF2</f>
        <v>115560</v>
      </c>
      <c r="AS2" s="25">
        <f>Y2+AI2</f>
        <v>366556.32</v>
      </c>
    </row>
    <row r="3" spans="2:45" x14ac:dyDescent="0.2">
      <c r="B3" s="23" t="s">
        <v>1</v>
      </c>
      <c r="D3" s="3">
        <v>8</v>
      </c>
      <c r="E3" s="3">
        <v>11</v>
      </c>
      <c r="F3" s="3">
        <v>3</v>
      </c>
      <c r="G3" s="3">
        <v>4</v>
      </c>
      <c r="K3" s="5">
        <v>11</v>
      </c>
      <c r="O3" s="3">
        <v>11</v>
      </c>
      <c r="Q3" s="3">
        <v>3</v>
      </c>
      <c r="R3" s="3">
        <v>10</v>
      </c>
      <c r="T3" s="24">
        <f t="shared" si="0"/>
        <v>61</v>
      </c>
      <c r="U3" s="25">
        <f t="shared" ref="U3:U25" si="1">T3*(8)</f>
        <v>488</v>
      </c>
      <c r="V3" s="25">
        <f t="shared" ref="V3:V25" si="2">U3/(176)</f>
        <v>2.7727272727272729</v>
      </c>
      <c r="W3" s="24">
        <f>456*25</f>
        <v>11400</v>
      </c>
      <c r="X3" s="26">
        <f t="shared" ref="X3:X25" si="3">(W3)*T3</f>
        <v>695400</v>
      </c>
      <c r="Y3" s="25">
        <f t="shared" ref="Y3:Y26" si="4">X3*(0.03)</f>
        <v>20862</v>
      </c>
      <c r="Z3" s="25">
        <f t="shared" ref="Z3:Z26" si="5">X3*(0.12)</f>
        <v>83448</v>
      </c>
      <c r="AA3" s="25">
        <f t="shared" ref="AA3:AA26" si="6">X3*(0.035)</f>
        <v>24339.000000000004</v>
      </c>
      <c r="AB3" s="25">
        <f t="shared" ref="AB3:AB26" si="7">X3*(0.35)</f>
        <v>243389.99999999997</v>
      </c>
      <c r="AC3" s="25">
        <f t="shared" ref="AC3:AC26" si="8">X3*(0.05)</f>
        <v>34770</v>
      </c>
      <c r="AD3" s="25">
        <f t="shared" ref="AD3:AD26" si="9">X3*(0.01)</f>
        <v>6954</v>
      </c>
      <c r="AE3" s="25">
        <f t="shared" ref="AE3:AE26" si="10">X3*(0.1)</f>
        <v>69540</v>
      </c>
      <c r="AF3" s="25">
        <f t="shared" ref="AF3:AF26" si="11">X3*(0.1)</f>
        <v>69540</v>
      </c>
      <c r="AG3" s="23"/>
      <c r="AH3" s="25">
        <f t="shared" ref="AH3:AH26" si="12">SUM(X3:AF3)</f>
        <v>1248243</v>
      </c>
      <c r="AI3" s="25">
        <f t="shared" ref="AI3:AI26" si="13">AH3*(0.16)</f>
        <v>199718.88</v>
      </c>
      <c r="AJ3" s="25">
        <f t="shared" ref="AJ3:AJ26" si="14">AH3+AI3</f>
        <v>1447961.88</v>
      </c>
      <c r="AK3" s="25">
        <f t="shared" ref="AK3:AK26" si="15">V3*(1500)</f>
        <v>4159.090909090909</v>
      </c>
      <c r="AL3" s="25">
        <f t="shared" ref="AL3:AL26" si="16">V3*(7500)</f>
        <v>20795.454545454548</v>
      </c>
      <c r="AM3" s="25">
        <f t="shared" ref="AM3:AM26" si="17">V3*(2261)</f>
        <v>6269.136363636364</v>
      </c>
      <c r="AN3" s="26">
        <f t="shared" ref="AN3:AN26" si="18">AH3+AI3+AJ3+AK3+AL3+AM3</f>
        <v>2927147.4418181814</v>
      </c>
      <c r="AO3" s="26">
        <f t="shared" ref="AO3:AQ26" si="19">AN3*(V3)</f>
        <v>8116181.5432231398</v>
      </c>
      <c r="AQ3" s="26">
        <f t="shared" ref="AQ3:AQ25" si="20">AO3</f>
        <v>8116181.5432231398</v>
      </c>
      <c r="AR3" s="25">
        <f t="shared" ref="AR3:AS25" si="21">AF3</f>
        <v>69540</v>
      </c>
      <c r="AS3" s="25">
        <f t="shared" ref="AS3:AS25" si="22">Y3+AI3</f>
        <v>220580.88</v>
      </c>
    </row>
    <row r="4" spans="2:45" x14ac:dyDescent="0.2">
      <c r="B4" s="23" t="s">
        <v>2</v>
      </c>
      <c r="E4" s="5">
        <v>11</v>
      </c>
      <c r="K4" s="5">
        <v>11</v>
      </c>
      <c r="O4" s="5">
        <v>11</v>
      </c>
      <c r="Q4" s="5">
        <v>3</v>
      </c>
      <c r="R4" s="5">
        <v>10</v>
      </c>
      <c r="T4" s="24">
        <f t="shared" si="0"/>
        <v>46</v>
      </c>
      <c r="U4" s="25">
        <f t="shared" si="1"/>
        <v>368</v>
      </c>
      <c r="V4" s="25">
        <f t="shared" si="2"/>
        <v>2.0909090909090908</v>
      </c>
      <c r="W4" s="24">
        <f>456*25</f>
        <v>11400</v>
      </c>
      <c r="X4" s="26">
        <f t="shared" si="3"/>
        <v>524400</v>
      </c>
      <c r="Y4" s="25">
        <f t="shared" si="4"/>
        <v>15732</v>
      </c>
      <c r="Z4" s="25">
        <f t="shared" si="5"/>
        <v>62928</v>
      </c>
      <c r="AA4" s="25">
        <f t="shared" si="6"/>
        <v>18354</v>
      </c>
      <c r="AB4" s="25">
        <f t="shared" si="7"/>
        <v>183540</v>
      </c>
      <c r="AC4" s="25">
        <f t="shared" si="8"/>
        <v>26220</v>
      </c>
      <c r="AD4" s="25">
        <f t="shared" si="9"/>
        <v>5244</v>
      </c>
      <c r="AE4" s="25">
        <f t="shared" si="10"/>
        <v>52440</v>
      </c>
      <c r="AF4" s="25">
        <f t="shared" si="11"/>
        <v>52440</v>
      </c>
      <c r="AG4" s="23"/>
      <c r="AH4" s="25">
        <f t="shared" si="12"/>
        <v>941298</v>
      </c>
      <c r="AI4" s="25">
        <f t="shared" si="13"/>
        <v>150607.67999999999</v>
      </c>
      <c r="AJ4" s="25">
        <f t="shared" si="14"/>
        <v>1091905.68</v>
      </c>
      <c r="AK4" s="25">
        <f t="shared" si="15"/>
        <v>3136.363636363636</v>
      </c>
      <c r="AL4" s="25">
        <f t="shared" si="16"/>
        <v>15681.818181818182</v>
      </c>
      <c r="AM4" s="25">
        <f t="shared" si="17"/>
        <v>4727.545454545454</v>
      </c>
      <c r="AN4" s="26">
        <f t="shared" si="18"/>
        <v>2207357.0872727274</v>
      </c>
      <c r="AO4" s="26">
        <f t="shared" si="19"/>
        <v>4615383.0006611571</v>
      </c>
      <c r="AQ4" s="26">
        <f t="shared" si="20"/>
        <v>4615383.0006611571</v>
      </c>
      <c r="AR4" s="25">
        <f t="shared" si="21"/>
        <v>52440</v>
      </c>
      <c r="AS4" s="25">
        <f t="shared" si="22"/>
        <v>166339.68</v>
      </c>
    </row>
    <row r="5" spans="2:45" x14ac:dyDescent="0.2">
      <c r="B5" s="23" t="s">
        <v>3</v>
      </c>
      <c r="K5" s="5">
        <v>11</v>
      </c>
      <c r="O5" s="5">
        <v>11</v>
      </c>
      <c r="Q5" s="5">
        <v>3</v>
      </c>
      <c r="R5" s="5">
        <v>10</v>
      </c>
      <c r="T5" s="24">
        <f t="shared" si="0"/>
        <v>35</v>
      </c>
      <c r="U5" s="25">
        <f t="shared" si="1"/>
        <v>280</v>
      </c>
      <c r="V5" s="25">
        <f t="shared" si="2"/>
        <v>1.5909090909090908</v>
      </c>
      <c r="W5" s="24">
        <f>456*25</f>
        <v>11400</v>
      </c>
      <c r="X5" s="26">
        <f t="shared" si="3"/>
        <v>399000</v>
      </c>
      <c r="Y5" s="25">
        <f t="shared" si="4"/>
        <v>11970</v>
      </c>
      <c r="Z5" s="25">
        <f t="shared" si="5"/>
        <v>47880</v>
      </c>
      <c r="AA5" s="25">
        <f t="shared" si="6"/>
        <v>13965.000000000002</v>
      </c>
      <c r="AB5" s="25">
        <f t="shared" si="7"/>
        <v>139650</v>
      </c>
      <c r="AC5" s="25">
        <f t="shared" si="8"/>
        <v>19950</v>
      </c>
      <c r="AD5" s="25">
        <f t="shared" si="9"/>
        <v>3990</v>
      </c>
      <c r="AE5" s="25">
        <f t="shared" si="10"/>
        <v>39900</v>
      </c>
      <c r="AF5" s="25">
        <f t="shared" si="11"/>
        <v>39900</v>
      </c>
      <c r="AG5" s="23"/>
      <c r="AH5" s="25">
        <f t="shared" si="12"/>
        <v>716205</v>
      </c>
      <c r="AI5" s="25">
        <f t="shared" si="13"/>
        <v>114592.8</v>
      </c>
      <c r="AJ5" s="25">
        <f t="shared" si="14"/>
        <v>830797.8</v>
      </c>
      <c r="AK5" s="25">
        <f t="shared" si="15"/>
        <v>2386.363636363636</v>
      </c>
      <c r="AL5" s="25">
        <f t="shared" si="16"/>
        <v>11931.818181818182</v>
      </c>
      <c r="AM5" s="25">
        <f t="shared" si="17"/>
        <v>3597.0454545454545</v>
      </c>
      <c r="AN5" s="26">
        <f t="shared" si="18"/>
        <v>1679510.8272727272</v>
      </c>
      <c r="AO5" s="26">
        <f t="shared" si="19"/>
        <v>2671949.0433884296</v>
      </c>
      <c r="AQ5" s="26">
        <f t="shared" si="20"/>
        <v>2671949.0433884296</v>
      </c>
      <c r="AR5" s="25">
        <f t="shared" si="21"/>
        <v>39900</v>
      </c>
      <c r="AS5" s="25">
        <f t="shared" si="22"/>
        <v>126562.8</v>
      </c>
    </row>
    <row r="6" spans="2:45" x14ac:dyDescent="0.2">
      <c r="B6" s="23" t="s">
        <v>4</v>
      </c>
      <c r="K6" s="5">
        <v>11</v>
      </c>
      <c r="N6" s="5">
        <v>9</v>
      </c>
      <c r="O6" s="5">
        <v>11</v>
      </c>
      <c r="T6" s="24">
        <f t="shared" si="0"/>
        <v>31</v>
      </c>
      <c r="U6" s="25">
        <f t="shared" si="1"/>
        <v>248</v>
      </c>
      <c r="V6" s="25">
        <f t="shared" si="2"/>
        <v>1.4090909090909092</v>
      </c>
      <c r="W6" s="24">
        <f>456*25</f>
        <v>11400</v>
      </c>
      <c r="X6" s="26">
        <f t="shared" si="3"/>
        <v>353400</v>
      </c>
      <c r="Y6" s="25">
        <f t="shared" si="4"/>
        <v>10602</v>
      </c>
      <c r="Z6" s="25">
        <f t="shared" si="5"/>
        <v>42408</v>
      </c>
      <c r="AA6" s="25">
        <f t="shared" si="6"/>
        <v>12369.000000000002</v>
      </c>
      <c r="AB6" s="25">
        <f t="shared" si="7"/>
        <v>123689.99999999999</v>
      </c>
      <c r="AC6" s="25">
        <f t="shared" si="8"/>
        <v>17670</v>
      </c>
      <c r="AD6" s="25">
        <f t="shared" si="9"/>
        <v>3534</v>
      </c>
      <c r="AE6" s="25">
        <f t="shared" si="10"/>
        <v>35340</v>
      </c>
      <c r="AF6" s="25">
        <f t="shared" si="11"/>
        <v>35340</v>
      </c>
      <c r="AG6" s="23"/>
      <c r="AH6" s="25">
        <f t="shared" si="12"/>
        <v>634353</v>
      </c>
      <c r="AI6" s="25">
        <f t="shared" si="13"/>
        <v>101496.48</v>
      </c>
      <c r="AJ6" s="25">
        <f t="shared" si="14"/>
        <v>735849.48</v>
      </c>
      <c r="AK6" s="25">
        <f t="shared" si="15"/>
        <v>2113.636363636364</v>
      </c>
      <c r="AL6" s="25">
        <f t="shared" si="16"/>
        <v>10568.181818181818</v>
      </c>
      <c r="AM6" s="25">
        <f t="shared" si="17"/>
        <v>3185.9545454545455</v>
      </c>
      <c r="AN6" s="26">
        <f t="shared" si="18"/>
        <v>1487566.7327272729</v>
      </c>
      <c r="AO6" s="26">
        <f t="shared" si="19"/>
        <v>2096116.7597520666</v>
      </c>
      <c r="AQ6" s="26">
        <f t="shared" si="20"/>
        <v>2096116.7597520666</v>
      </c>
      <c r="AR6" s="25">
        <f t="shared" si="21"/>
        <v>35340</v>
      </c>
      <c r="AS6" s="25">
        <f t="shared" si="22"/>
        <v>112098.48</v>
      </c>
    </row>
    <row r="7" spans="2:45" x14ac:dyDescent="0.2">
      <c r="B7" s="23" t="s">
        <v>5</v>
      </c>
      <c r="C7" s="5"/>
      <c r="D7" s="5">
        <v>8</v>
      </c>
      <c r="E7" s="5">
        <v>11</v>
      </c>
      <c r="F7" s="5"/>
      <c r="G7" s="5">
        <v>4</v>
      </c>
      <c r="H7" s="5"/>
      <c r="I7" s="5"/>
      <c r="J7" s="5"/>
      <c r="K7" s="5"/>
      <c r="L7" s="5"/>
      <c r="M7" s="5"/>
      <c r="N7" s="5">
        <v>9</v>
      </c>
      <c r="O7" s="5"/>
      <c r="P7" s="5">
        <v>4</v>
      </c>
      <c r="Q7" s="5"/>
      <c r="R7" s="5"/>
      <c r="T7" s="24">
        <f t="shared" si="0"/>
        <v>36</v>
      </c>
      <c r="U7" s="25">
        <f t="shared" si="1"/>
        <v>288</v>
      </c>
      <c r="V7" s="25">
        <f t="shared" si="2"/>
        <v>1.6363636363636365</v>
      </c>
      <c r="W7" s="24">
        <f>344*25</f>
        <v>8600</v>
      </c>
      <c r="X7" s="26">
        <f t="shared" si="3"/>
        <v>309600</v>
      </c>
      <c r="Y7" s="25">
        <f t="shared" si="4"/>
        <v>9288</v>
      </c>
      <c r="Z7" s="25">
        <f t="shared" si="5"/>
        <v>37152</v>
      </c>
      <c r="AA7" s="25">
        <f t="shared" si="6"/>
        <v>10836.000000000002</v>
      </c>
      <c r="AB7" s="25">
        <f t="shared" si="7"/>
        <v>108360</v>
      </c>
      <c r="AC7" s="25">
        <f t="shared" si="8"/>
        <v>15480</v>
      </c>
      <c r="AD7" s="25">
        <f t="shared" si="9"/>
        <v>3096</v>
      </c>
      <c r="AE7" s="25">
        <f t="shared" si="10"/>
        <v>30960</v>
      </c>
      <c r="AF7" s="25">
        <f t="shared" si="11"/>
        <v>30960</v>
      </c>
      <c r="AG7" s="23"/>
      <c r="AH7" s="25">
        <f t="shared" si="12"/>
        <v>555732</v>
      </c>
      <c r="AI7" s="25">
        <f t="shared" si="13"/>
        <v>88917.119999999995</v>
      </c>
      <c r="AJ7" s="25">
        <f t="shared" si="14"/>
        <v>644649.12</v>
      </c>
      <c r="AK7" s="25">
        <f t="shared" si="15"/>
        <v>2454.5454545454545</v>
      </c>
      <c r="AL7" s="25">
        <f t="shared" si="16"/>
        <v>12272.727272727274</v>
      </c>
      <c r="AM7" s="25">
        <f t="shared" si="17"/>
        <v>3699.818181818182</v>
      </c>
      <c r="AN7" s="26">
        <f t="shared" si="18"/>
        <v>1307725.3309090908</v>
      </c>
      <c r="AO7" s="26">
        <f t="shared" si="19"/>
        <v>2139914.1778512397</v>
      </c>
      <c r="AQ7" s="26">
        <f t="shared" si="20"/>
        <v>2139914.1778512397</v>
      </c>
      <c r="AR7" s="25">
        <f t="shared" si="21"/>
        <v>30960</v>
      </c>
      <c r="AS7" s="25">
        <f t="shared" si="22"/>
        <v>98205.119999999995</v>
      </c>
    </row>
    <row r="8" spans="2:45" x14ac:dyDescent="0.2">
      <c r="B8" s="23" t="s">
        <v>6</v>
      </c>
      <c r="C8" s="5"/>
      <c r="D8" s="5"/>
      <c r="E8" s="5">
        <v>11</v>
      </c>
      <c r="F8" s="5"/>
      <c r="G8" s="5"/>
      <c r="H8" s="5"/>
      <c r="I8" s="5"/>
      <c r="J8" s="5"/>
      <c r="K8" s="5"/>
      <c r="L8" s="5">
        <v>33</v>
      </c>
      <c r="M8" s="5"/>
      <c r="N8" s="5"/>
      <c r="O8" s="5"/>
      <c r="P8" s="5"/>
      <c r="Q8" s="5">
        <v>3</v>
      </c>
      <c r="R8" s="5">
        <v>10</v>
      </c>
      <c r="T8" s="24">
        <f t="shared" si="0"/>
        <v>57</v>
      </c>
      <c r="U8" s="25">
        <f t="shared" si="1"/>
        <v>456</v>
      </c>
      <c r="V8" s="25">
        <f t="shared" si="2"/>
        <v>2.5909090909090908</v>
      </c>
      <c r="W8" s="24">
        <f>344*25</f>
        <v>8600</v>
      </c>
      <c r="X8" s="26">
        <f t="shared" si="3"/>
        <v>490200</v>
      </c>
      <c r="Y8" s="25">
        <f t="shared" si="4"/>
        <v>14706</v>
      </c>
      <c r="Z8" s="25">
        <f t="shared" si="5"/>
        <v>58824</v>
      </c>
      <c r="AA8" s="25">
        <f t="shared" si="6"/>
        <v>17157</v>
      </c>
      <c r="AB8" s="25">
        <f t="shared" si="7"/>
        <v>171570</v>
      </c>
      <c r="AC8" s="25">
        <f t="shared" si="8"/>
        <v>24510</v>
      </c>
      <c r="AD8" s="25">
        <f t="shared" si="9"/>
        <v>4902</v>
      </c>
      <c r="AE8" s="25">
        <f t="shared" si="10"/>
        <v>49020</v>
      </c>
      <c r="AF8" s="25">
        <f t="shared" si="11"/>
        <v>49020</v>
      </c>
      <c r="AG8" s="23"/>
      <c r="AH8" s="25">
        <f t="shared" si="12"/>
        <v>879909</v>
      </c>
      <c r="AI8" s="25">
        <f t="shared" si="13"/>
        <v>140785.44</v>
      </c>
      <c r="AJ8" s="25">
        <f t="shared" si="14"/>
        <v>1020694.44</v>
      </c>
      <c r="AK8" s="25">
        <f t="shared" si="15"/>
        <v>3886.363636363636</v>
      </c>
      <c r="AL8" s="25">
        <f t="shared" si="16"/>
        <v>19431.81818181818</v>
      </c>
      <c r="AM8" s="25">
        <f t="shared" si="17"/>
        <v>5858.045454545454</v>
      </c>
      <c r="AN8" s="26">
        <f t="shared" si="18"/>
        <v>2070565.1072727269</v>
      </c>
      <c r="AO8" s="26">
        <f t="shared" si="19"/>
        <v>5364645.9597520651</v>
      </c>
      <c r="AQ8" s="26">
        <f t="shared" si="20"/>
        <v>5364645.9597520651</v>
      </c>
      <c r="AR8" s="25">
        <f t="shared" si="21"/>
        <v>49020</v>
      </c>
      <c r="AS8" s="25">
        <f t="shared" si="22"/>
        <v>155491.44</v>
      </c>
    </row>
    <row r="9" spans="2:45" x14ac:dyDescent="0.2">
      <c r="B9" s="23" t="s">
        <v>7</v>
      </c>
      <c r="C9" s="5"/>
      <c r="D9" s="5"/>
      <c r="E9" s="5"/>
      <c r="F9" s="5"/>
      <c r="G9" s="5"/>
      <c r="H9" s="5"/>
      <c r="I9" s="5"/>
      <c r="J9" s="5"/>
      <c r="K9" s="5"/>
      <c r="L9" s="5">
        <v>33</v>
      </c>
      <c r="M9" s="5"/>
      <c r="N9" s="5"/>
      <c r="O9" s="5"/>
      <c r="P9" s="5"/>
      <c r="Q9" s="5">
        <v>3</v>
      </c>
      <c r="R9" s="5">
        <v>10</v>
      </c>
      <c r="T9" s="24">
        <f t="shared" si="0"/>
        <v>46</v>
      </c>
      <c r="U9" s="25">
        <f t="shared" si="1"/>
        <v>368</v>
      </c>
      <c r="V9" s="25">
        <f t="shared" si="2"/>
        <v>2.0909090909090908</v>
      </c>
      <c r="W9" s="24">
        <f>344*25</f>
        <v>8600</v>
      </c>
      <c r="X9" s="26">
        <f t="shared" si="3"/>
        <v>395600</v>
      </c>
      <c r="Y9" s="25">
        <f t="shared" si="4"/>
        <v>11868</v>
      </c>
      <c r="Z9" s="25">
        <f t="shared" si="5"/>
        <v>47472</v>
      </c>
      <c r="AA9" s="25">
        <f t="shared" si="6"/>
        <v>13846.000000000002</v>
      </c>
      <c r="AB9" s="25">
        <f t="shared" si="7"/>
        <v>138460</v>
      </c>
      <c r="AC9" s="25">
        <f t="shared" si="8"/>
        <v>19780</v>
      </c>
      <c r="AD9" s="25">
        <f t="shared" si="9"/>
        <v>3956</v>
      </c>
      <c r="AE9" s="25">
        <f t="shared" si="10"/>
        <v>39560</v>
      </c>
      <c r="AF9" s="25">
        <f t="shared" si="11"/>
        <v>39560</v>
      </c>
      <c r="AG9" s="23"/>
      <c r="AH9" s="25">
        <f t="shared" si="12"/>
        <v>710102</v>
      </c>
      <c r="AI9" s="25">
        <f t="shared" si="13"/>
        <v>113616.32000000001</v>
      </c>
      <c r="AJ9" s="25">
        <f t="shared" si="14"/>
        <v>823718.32000000007</v>
      </c>
      <c r="AK9" s="25">
        <f t="shared" si="15"/>
        <v>3136.363636363636</v>
      </c>
      <c r="AL9" s="25">
        <f t="shared" si="16"/>
        <v>15681.818181818182</v>
      </c>
      <c r="AM9" s="25">
        <f t="shared" si="17"/>
        <v>4727.545454545454</v>
      </c>
      <c r="AN9" s="26">
        <f t="shared" si="18"/>
        <v>1670982.3672727272</v>
      </c>
      <c r="AO9" s="26">
        <f t="shared" si="19"/>
        <v>3493872.2224793388</v>
      </c>
      <c r="AQ9" s="26">
        <f t="shared" si="20"/>
        <v>3493872.2224793388</v>
      </c>
      <c r="AR9" s="25">
        <f t="shared" si="21"/>
        <v>39560</v>
      </c>
      <c r="AS9" s="25">
        <f t="shared" si="22"/>
        <v>125484.32</v>
      </c>
    </row>
    <row r="10" spans="2:45" x14ac:dyDescent="0.2">
      <c r="B10" s="23" t="s">
        <v>8</v>
      </c>
      <c r="C10" s="5"/>
      <c r="D10" s="5">
        <v>8</v>
      </c>
      <c r="E10" s="5">
        <v>11</v>
      </c>
      <c r="F10" s="5"/>
      <c r="G10" s="5">
        <v>4</v>
      </c>
      <c r="H10" s="5"/>
      <c r="I10" s="5">
        <v>3</v>
      </c>
      <c r="J10" s="5"/>
      <c r="K10" s="5">
        <v>11</v>
      </c>
      <c r="L10" s="5"/>
      <c r="M10" s="5">
        <v>8</v>
      </c>
      <c r="N10" s="5"/>
      <c r="O10" s="5">
        <v>11</v>
      </c>
      <c r="P10" s="5"/>
      <c r="Q10" s="5">
        <v>3</v>
      </c>
      <c r="R10" s="5">
        <v>10</v>
      </c>
      <c r="T10" s="24">
        <f t="shared" si="0"/>
        <v>69</v>
      </c>
      <c r="U10" s="25">
        <f t="shared" si="1"/>
        <v>552</v>
      </c>
      <c r="V10" s="25">
        <f t="shared" si="2"/>
        <v>3.1363636363636362</v>
      </c>
      <c r="W10" s="24">
        <f>600*25</f>
        <v>15000</v>
      </c>
      <c r="X10" s="26">
        <f t="shared" si="3"/>
        <v>1035000</v>
      </c>
      <c r="Y10" s="25">
        <f t="shared" si="4"/>
        <v>31050</v>
      </c>
      <c r="Z10" s="25">
        <f t="shared" si="5"/>
        <v>124200</v>
      </c>
      <c r="AA10" s="25">
        <f t="shared" si="6"/>
        <v>36225</v>
      </c>
      <c r="AB10" s="25">
        <f t="shared" si="7"/>
        <v>362250</v>
      </c>
      <c r="AC10" s="25">
        <f t="shared" si="8"/>
        <v>51750</v>
      </c>
      <c r="AD10" s="25">
        <f t="shared" si="9"/>
        <v>10350</v>
      </c>
      <c r="AE10" s="25">
        <f t="shared" si="10"/>
        <v>103500</v>
      </c>
      <c r="AF10" s="25">
        <f t="shared" si="11"/>
        <v>103500</v>
      </c>
      <c r="AG10" s="23"/>
      <c r="AH10" s="25">
        <f t="shared" si="12"/>
        <v>1857825</v>
      </c>
      <c r="AI10" s="25">
        <f t="shared" si="13"/>
        <v>297252</v>
      </c>
      <c r="AJ10" s="25">
        <f t="shared" si="14"/>
        <v>2155077</v>
      </c>
      <c r="AK10" s="25">
        <f t="shared" si="15"/>
        <v>4704.545454545454</v>
      </c>
      <c r="AL10" s="25">
        <f t="shared" si="16"/>
        <v>23522.727272727272</v>
      </c>
      <c r="AM10" s="25">
        <f t="shared" si="17"/>
        <v>7091.318181818182</v>
      </c>
      <c r="AN10" s="26">
        <f t="shared" si="18"/>
        <v>4345472.5909090918</v>
      </c>
      <c r="AO10" s="26">
        <f t="shared" si="19"/>
        <v>13628982.21694215</v>
      </c>
      <c r="AQ10" s="26">
        <f t="shared" si="20"/>
        <v>13628982.21694215</v>
      </c>
      <c r="AR10" s="25">
        <f t="shared" si="21"/>
        <v>103500</v>
      </c>
      <c r="AS10" s="25">
        <f t="shared" si="22"/>
        <v>328302</v>
      </c>
    </row>
    <row r="11" spans="2:45" x14ac:dyDescent="0.2">
      <c r="B11" s="23" t="s">
        <v>9</v>
      </c>
      <c r="C11" s="5"/>
      <c r="D11" s="5"/>
      <c r="E11" s="5">
        <v>11</v>
      </c>
      <c r="F11" s="5"/>
      <c r="G11" s="5"/>
      <c r="H11" s="5"/>
      <c r="I11" s="5"/>
      <c r="J11" s="5"/>
      <c r="K11" s="5"/>
      <c r="L11" s="5">
        <v>33</v>
      </c>
      <c r="M11" s="5"/>
      <c r="N11" s="5"/>
      <c r="O11" s="5"/>
      <c r="P11" s="5"/>
      <c r="Q11" s="5">
        <v>3</v>
      </c>
      <c r="R11" s="5">
        <v>10</v>
      </c>
      <c r="T11" s="24">
        <f t="shared" si="0"/>
        <v>57</v>
      </c>
      <c r="U11" s="25">
        <f t="shared" si="1"/>
        <v>456</v>
      </c>
      <c r="V11" s="25">
        <f t="shared" si="2"/>
        <v>2.5909090909090908</v>
      </c>
      <c r="W11" s="24">
        <f>600*25</f>
        <v>15000</v>
      </c>
      <c r="X11" s="26">
        <f t="shared" si="3"/>
        <v>855000</v>
      </c>
      <c r="Y11" s="25">
        <f t="shared" si="4"/>
        <v>25650</v>
      </c>
      <c r="Z11" s="25">
        <f t="shared" si="5"/>
        <v>102600</v>
      </c>
      <c r="AA11" s="25">
        <f t="shared" si="6"/>
        <v>29925.000000000004</v>
      </c>
      <c r="AB11" s="25">
        <f t="shared" si="7"/>
        <v>299250</v>
      </c>
      <c r="AC11" s="25">
        <f t="shared" si="8"/>
        <v>42750</v>
      </c>
      <c r="AD11" s="25">
        <f t="shared" si="9"/>
        <v>8550</v>
      </c>
      <c r="AE11" s="25">
        <f t="shared" si="10"/>
        <v>85500</v>
      </c>
      <c r="AF11" s="25">
        <f t="shared" si="11"/>
        <v>85500</v>
      </c>
      <c r="AG11" s="23"/>
      <c r="AH11" s="25">
        <f t="shared" si="12"/>
        <v>1534725</v>
      </c>
      <c r="AI11" s="25">
        <f t="shared" si="13"/>
        <v>245556</v>
      </c>
      <c r="AJ11" s="25">
        <f t="shared" si="14"/>
        <v>1780281</v>
      </c>
      <c r="AK11" s="25">
        <f t="shared" si="15"/>
        <v>3886.363636363636</v>
      </c>
      <c r="AL11" s="25">
        <f t="shared" si="16"/>
        <v>19431.81818181818</v>
      </c>
      <c r="AM11" s="25">
        <f t="shared" si="17"/>
        <v>5858.045454545454</v>
      </c>
      <c r="AN11" s="26">
        <f t="shared" si="18"/>
        <v>3589738.2272727275</v>
      </c>
      <c r="AO11" s="26">
        <f t="shared" si="19"/>
        <v>9300685.4070247933</v>
      </c>
      <c r="AQ11" s="26">
        <f t="shared" si="20"/>
        <v>9300685.4070247933</v>
      </c>
      <c r="AR11" s="25">
        <f t="shared" si="21"/>
        <v>85500</v>
      </c>
      <c r="AS11" s="25">
        <f t="shared" si="22"/>
        <v>271206</v>
      </c>
    </row>
    <row r="12" spans="2:45" x14ac:dyDescent="0.2">
      <c r="B12" s="23" t="s">
        <v>10</v>
      </c>
      <c r="C12" s="5"/>
      <c r="D12" s="5"/>
      <c r="E12" s="5">
        <v>11</v>
      </c>
      <c r="F12" s="5"/>
      <c r="G12" s="5"/>
      <c r="H12" s="5"/>
      <c r="I12" s="5"/>
      <c r="J12" s="5"/>
      <c r="K12" s="5"/>
      <c r="L12" s="5"/>
      <c r="M12" s="5">
        <v>8</v>
      </c>
      <c r="N12" s="5"/>
      <c r="O12" s="5"/>
      <c r="P12" s="5">
        <v>4</v>
      </c>
      <c r="Q12" s="5"/>
      <c r="R12" s="5"/>
      <c r="T12" s="24">
        <f t="shared" si="0"/>
        <v>23</v>
      </c>
      <c r="U12" s="25">
        <f t="shared" si="1"/>
        <v>184</v>
      </c>
      <c r="V12" s="25">
        <f t="shared" si="2"/>
        <v>1.0454545454545454</v>
      </c>
      <c r="W12" s="24">
        <f>600*25</f>
        <v>15000</v>
      </c>
      <c r="X12" s="26">
        <f t="shared" si="3"/>
        <v>345000</v>
      </c>
      <c r="Y12" s="25">
        <f t="shared" si="4"/>
        <v>10350</v>
      </c>
      <c r="Z12" s="25">
        <f t="shared" si="5"/>
        <v>41400</v>
      </c>
      <c r="AA12" s="25">
        <f t="shared" si="6"/>
        <v>12075.000000000002</v>
      </c>
      <c r="AB12" s="25">
        <f t="shared" si="7"/>
        <v>120749.99999999999</v>
      </c>
      <c r="AC12" s="25">
        <f t="shared" si="8"/>
        <v>17250</v>
      </c>
      <c r="AD12" s="25">
        <f t="shared" si="9"/>
        <v>3450</v>
      </c>
      <c r="AE12" s="25">
        <f t="shared" si="10"/>
        <v>34500</v>
      </c>
      <c r="AF12" s="25">
        <f t="shared" si="11"/>
        <v>34500</v>
      </c>
      <c r="AG12" s="23"/>
      <c r="AH12" s="25">
        <f t="shared" si="12"/>
        <v>619275</v>
      </c>
      <c r="AI12" s="25">
        <f t="shared" si="13"/>
        <v>99084</v>
      </c>
      <c r="AJ12" s="25">
        <f t="shared" si="14"/>
        <v>718359</v>
      </c>
      <c r="AK12" s="25">
        <f t="shared" si="15"/>
        <v>1568.181818181818</v>
      </c>
      <c r="AL12" s="25">
        <f t="shared" si="16"/>
        <v>7840.909090909091</v>
      </c>
      <c r="AM12" s="25">
        <f t="shared" si="17"/>
        <v>2363.772727272727</v>
      </c>
      <c r="AN12" s="26">
        <f t="shared" si="18"/>
        <v>1448490.8636363638</v>
      </c>
      <c r="AO12" s="26">
        <f t="shared" si="19"/>
        <v>1514331.3574380167</v>
      </c>
      <c r="AQ12" s="26">
        <f t="shared" si="20"/>
        <v>1514331.3574380167</v>
      </c>
      <c r="AR12" s="25">
        <f t="shared" si="21"/>
        <v>34500</v>
      </c>
      <c r="AS12" s="25">
        <f t="shared" si="22"/>
        <v>109434</v>
      </c>
    </row>
    <row r="13" spans="2:45" x14ac:dyDescent="0.2">
      <c r="B13" s="23" t="s">
        <v>11</v>
      </c>
      <c r="C13" s="5"/>
      <c r="D13" s="5">
        <v>8</v>
      </c>
      <c r="E13" s="5">
        <v>11</v>
      </c>
      <c r="F13" s="5">
        <v>3</v>
      </c>
      <c r="G13" s="5">
        <v>4</v>
      </c>
      <c r="H13" s="5"/>
      <c r="I13" s="5"/>
      <c r="J13" s="5"/>
      <c r="K13" s="5">
        <v>11</v>
      </c>
      <c r="L13" s="5"/>
      <c r="M13" s="5"/>
      <c r="N13" s="5"/>
      <c r="O13" s="5"/>
      <c r="P13" s="5"/>
      <c r="Q13" s="5">
        <v>3</v>
      </c>
      <c r="R13" s="5">
        <v>10</v>
      </c>
      <c r="T13" s="24">
        <f t="shared" si="0"/>
        <v>50</v>
      </c>
      <c r="U13" s="25">
        <f t="shared" si="1"/>
        <v>400</v>
      </c>
      <c r="V13" s="25">
        <f t="shared" si="2"/>
        <v>2.2727272727272729</v>
      </c>
      <c r="W13" s="24">
        <f>360*25</f>
        <v>9000</v>
      </c>
      <c r="X13" s="26">
        <f t="shared" si="3"/>
        <v>450000</v>
      </c>
      <c r="Y13" s="25">
        <f t="shared" si="4"/>
        <v>13500</v>
      </c>
      <c r="Z13" s="25">
        <f t="shared" si="5"/>
        <v>54000</v>
      </c>
      <c r="AA13" s="25">
        <f t="shared" si="6"/>
        <v>15750.000000000002</v>
      </c>
      <c r="AB13" s="25">
        <f t="shared" si="7"/>
        <v>157500</v>
      </c>
      <c r="AC13" s="25">
        <f t="shared" si="8"/>
        <v>22500</v>
      </c>
      <c r="AD13" s="25">
        <f t="shared" si="9"/>
        <v>4500</v>
      </c>
      <c r="AE13" s="25">
        <f t="shared" si="10"/>
        <v>45000</v>
      </c>
      <c r="AF13" s="25">
        <f t="shared" si="11"/>
        <v>45000</v>
      </c>
      <c r="AG13" s="23"/>
      <c r="AH13" s="25">
        <f t="shared" si="12"/>
        <v>807750</v>
      </c>
      <c r="AI13" s="25">
        <f t="shared" si="13"/>
        <v>129240</v>
      </c>
      <c r="AJ13" s="25">
        <f t="shared" si="14"/>
        <v>936990</v>
      </c>
      <c r="AK13" s="25">
        <f t="shared" si="15"/>
        <v>3409.0909090909095</v>
      </c>
      <c r="AL13" s="25">
        <f t="shared" si="16"/>
        <v>17045.454545454548</v>
      </c>
      <c r="AM13" s="25">
        <f t="shared" si="17"/>
        <v>5138.636363636364</v>
      </c>
      <c r="AN13" s="26">
        <f t="shared" si="18"/>
        <v>1899573.1818181819</v>
      </c>
      <c r="AO13" s="26">
        <f t="shared" si="19"/>
        <v>4317211.7768595051</v>
      </c>
      <c r="AQ13" s="26">
        <f t="shared" si="20"/>
        <v>4317211.7768595051</v>
      </c>
      <c r="AR13" s="25">
        <f t="shared" si="21"/>
        <v>45000</v>
      </c>
      <c r="AS13" s="25">
        <f t="shared" si="22"/>
        <v>142740</v>
      </c>
    </row>
    <row r="14" spans="2:45" x14ac:dyDescent="0.2">
      <c r="B14" s="23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>
        <v>33</v>
      </c>
      <c r="M14" s="5"/>
      <c r="N14" s="5"/>
      <c r="O14" s="5">
        <v>11</v>
      </c>
      <c r="P14" s="5"/>
      <c r="Q14" s="5">
        <v>3</v>
      </c>
      <c r="R14" s="5">
        <v>10</v>
      </c>
      <c r="T14" s="24">
        <f t="shared" si="0"/>
        <v>57</v>
      </c>
      <c r="U14" s="25">
        <f t="shared" si="1"/>
        <v>456</v>
      </c>
      <c r="V14" s="25">
        <f t="shared" si="2"/>
        <v>2.5909090909090908</v>
      </c>
      <c r="W14" s="24">
        <f>360*25</f>
        <v>9000</v>
      </c>
      <c r="X14" s="26">
        <f t="shared" si="3"/>
        <v>513000</v>
      </c>
      <c r="Y14" s="25">
        <f t="shared" si="4"/>
        <v>15390</v>
      </c>
      <c r="Z14" s="25">
        <f t="shared" si="5"/>
        <v>61560</v>
      </c>
      <c r="AA14" s="25">
        <f t="shared" si="6"/>
        <v>17955</v>
      </c>
      <c r="AB14" s="25">
        <f t="shared" si="7"/>
        <v>179550</v>
      </c>
      <c r="AC14" s="25">
        <f t="shared" si="8"/>
        <v>25650</v>
      </c>
      <c r="AD14" s="25">
        <f t="shared" si="9"/>
        <v>5130</v>
      </c>
      <c r="AE14" s="25">
        <f t="shared" si="10"/>
        <v>51300</v>
      </c>
      <c r="AF14" s="25">
        <f t="shared" si="11"/>
        <v>51300</v>
      </c>
      <c r="AG14" s="23"/>
      <c r="AH14" s="25">
        <f t="shared" si="12"/>
        <v>920835</v>
      </c>
      <c r="AI14" s="25">
        <f t="shared" si="13"/>
        <v>147333.6</v>
      </c>
      <c r="AJ14" s="25">
        <f t="shared" si="14"/>
        <v>1068168.6000000001</v>
      </c>
      <c r="AK14" s="25">
        <f t="shared" si="15"/>
        <v>3886.363636363636</v>
      </c>
      <c r="AL14" s="25">
        <f t="shared" si="16"/>
        <v>19431.81818181818</v>
      </c>
      <c r="AM14" s="25">
        <f t="shared" si="17"/>
        <v>5858.045454545454</v>
      </c>
      <c r="AN14" s="26">
        <f t="shared" si="18"/>
        <v>2165513.4272727277</v>
      </c>
      <c r="AO14" s="26">
        <f t="shared" si="19"/>
        <v>5610648.4252066128</v>
      </c>
      <c r="AQ14" s="26">
        <f t="shared" si="20"/>
        <v>5610648.4252066128</v>
      </c>
      <c r="AR14" s="25">
        <f t="shared" si="21"/>
        <v>51300</v>
      </c>
      <c r="AS14" s="25">
        <f t="shared" si="22"/>
        <v>162723.6</v>
      </c>
    </row>
    <row r="15" spans="2:45" x14ac:dyDescent="0.2">
      <c r="B15" s="23" t="s">
        <v>13</v>
      </c>
      <c r="C15" s="5"/>
      <c r="D15" s="5"/>
      <c r="E15" s="5"/>
      <c r="F15" s="5"/>
      <c r="G15" s="5"/>
      <c r="H15" s="5"/>
      <c r="I15" s="5"/>
      <c r="J15" s="5">
        <v>10</v>
      </c>
      <c r="K15" s="5"/>
      <c r="L15" s="5"/>
      <c r="M15" s="5"/>
      <c r="N15" s="5"/>
      <c r="O15" s="5"/>
      <c r="P15" s="5"/>
      <c r="Q15" s="5"/>
      <c r="R15" s="5"/>
      <c r="T15" s="24">
        <f t="shared" si="0"/>
        <v>10</v>
      </c>
      <c r="U15" s="25">
        <f t="shared" si="1"/>
        <v>80</v>
      </c>
      <c r="V15" s="25">
        <f t="shared" si="2"/>
        <v>0.45454545454545453</v>
      </c>
      <c r="W15" s="24">
        <f>360*25</f>
        <v>9000</v>
      </c>
      <c r="X15" s="26">
        <f t="shared" si="3"/>
        <v>90000</v>
      </c>
      <c r="Y15" s="25">
        <f t="shared" si="4"/>
        <v>2700</v>
      </c>
      <c r="Z15" s="25">
        <f t="shared" si="5"/>
        <v>10800</v>
      </c>
      <c r="AA15" s="25">
        <f t="shared" si="6"/>
        <v>3150.0000000000005</v>
      </c>
      <c r="AB15" s="25">
        <f t="shared" si="7"/>
        <v>31499.999999999996</v>
      </c>
      <c r="AC15" s="25">
        <f t="shared" si="8"/>
        <v>4500</v>
      </c>
      <c r="AD15" s="25">
        <f t="shared" si="9"/>
        <v>900</v>
      </c>
      <c r="AE15" s="25">
        <f t="shared" si="10"/>
        <v>9000</v>
      </c>
      <c r="AF15" s="25">
        <f t="shared" si="11"/>
        <v>9000</v>
      </c>
      <c r="AG15" s="23"/>
      <c r="AH15" s="25">
        <f t="shared" si="12"/>
        <v>161550</v>
      </c>
      <c r="AI15" s="25">
        <f t="shared" si="13"/>
        <v>25848</v>
      </c>
      <c r="AJ15" s="25">
        <f t="shared" si="14"/>
        <v>187398</v>
      </c>
      <c r="AK15" s="25">
        <f t="shared" si="15"/>
        <v>681.81818181818176</v>
      </c>
      <c r="AL15" s="25">
        <f t="shared" si="16"/>
        <v>3409.090909090909</v>
      </c>
      <c r="AM15" s="25">
        <f t="shared" si="17"/>
        <v>1027.7272727272727</v>
      </c>
      <c r="AN15" s="26">
        <f t="shared" si="18"/>
        <v>379914.63636363635</v>
      </c>
      <c r="AO15" s="26">
        <f t="shared" si="19"/>
        <v>172688.47107438016</v>
      </c>
      <c r="AQ15" s="26">
        <f t="shared" si="20"/>
        <v>172688.47107438016</v>
      </c>
      <c r="AR15" s="25">
        <f t="shared" si="21"/>
        <v>9000</v>
      </c>
      <c r="AS15" s="25">
        <f t="shared" si="22"/>
        <v>28548</v>
      </c>
    </row>
    <row r="16" spans="2:45" x14ac:dyDescent="0.2">
      <c r="B16" s="23" t="s">
        <v>14</v>
      </c>
      <c r="C16" s="5"/>
      <c r="D16" s="5"/>
      <c r="E16" s="5">
        <v>11</v>
      </c>
      <c r="F16" s="5"/>
      <c r="G16" s="5"/>
      <c r="H16" s="5"/>
      <c r="I16" s="5"/>
      <c r="J16" s="5"/>
      <c r="K16" s="5">
        <v>11</v>
      </c>
      <c r="L16" s="5"/>
      <c r="M16" s="5"/>
      <c r="N16" s="5">
        <v>9</v>
      </c>
      <c r="O16" s="5"/>
      <c r="P16" s="5">
        <v>4</v>
      </c>
      <c r="Q16" s="5">
        <v>3</v>
      </c>
      <c r="R16" s="5">
        <v>10</v>
      </c>
      <c r="T16" s="24">
        <f t="shared" si="0"/>
        <v>48</v>
      </c>
      <c r="U16" s="25">
        <f t="shared" si="1"/>
        <v>384</v>
      </c>
      <c r="V16" s="25">
        <f t="shared" si="2"/>
        <v>2.1818181818181817</v>
      </c>
      <c r="W16" s="24">
        <f>296*25</f>
        <v>7400</v>
      </c>
      <c r="X16" s="26">
        <f t="shared" si="3"/>
        <v>355200</v>
      </c>
      <c r="Y16" s="25">
        <f t="shared" si="4"/>
        <v>10656</v>
      </c>
      <c r="Z16" s="25">
        <f t="shared" si="5"/>
        <v>42624</v>
      </c>
      <c r="AA16" s="25">
        <f t="shared" si="6"/>
        <v>12432.000000000002</v>
      </c>
      <c r="AB16" s="25">
        <f t="shared" si="7"/>
        <v>124319.99999999999</v>
      </c>
      <c r="AC16" s="25">
        <f t="shared" si="8"/>
        <v>17760</v>
      </c>
      <c r="AD16" s="25">
        <f t="shared" si="9"/>
        <v>3552</v>
      </c>
      <c r="AE16" s="25">
        <f t="shared" si="10"/>
        <v>35520</v>
      </c>
      <c r="AF16" s="25">
        <f t="shared" si="11"/>
        <v>35520</v>
      </c>
      <c r="AG16" s="23"/>
      <c r="AH16" s="25">
        <f t="shared" si="12"/>
        <v>637584</v>
      </c>
      <c r="AI16" s="25">
        <f t="shared" si="13"/>
        <v>102013.44</v>
      </c>
      <c r="AJ16" s="25">
        <f t="shared" si="14"/>
        <v>739597.44</v>
      </c>
      <c r="AK16" s="25">
        <f t="shared" si="15"/>
        <v>3272.7272727272725</v>
      </c>
      <c r="AL16" s="25">
        <f t="shared" si="16"/>
        <v>16363.636363636362</v>
      </c>
      <c r="AM16" s="25">
        <f t="shared" si="17"/>
        <v>4933.090909090909</v>
      </c>
      <c r="AN16" s="26">
        <f t="shared" si="18"/>
        <v>1503764.3345454545</v>
      </c>
      <c r="AO16" s="26">
        <f t="shared" si="19"/>
        <v>3280940.3662809911</v>
      </c>
      <c r="AQ16" s="26">
        <f t="shared" si="20"/>
        <v>3280940.3662809911</v>
      </c>
      <c r="AR16" s="25">
        <f t="shared" si="21"/>
        <v>35520</v>
      </c>
      <c r="AS16" s="25">
        <f t="shared" si="22"/>
        <v>112669.44</v>
      </c>
    </row>
    <row r="17" spans="2:45" x14ac:dyDescent="0.2">
      <c r="B17" s="23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>
        <v>33</v>
      </c>
      <c r="M17" s="5"/>
      <c r="N17" s="5"/>
      <c r="O17" s="5">
        <v>11</v>
      </c>
      <c r="P17" s="5">
        <v>4</v>
      </c>
      <c r="Q17" s="5">
        <v>3</v>
      </c>
      <c r="R17" s="5">
        <v>10</v>
      </c>
      <c r="T17" s="24">
        <f t="shared" si="0"/>
        <v>61</v>
      </c>
      <c r="U17" s="25">
        <f t="shared" si="1"/>
        <v>488</v>
      </c>
      <c r="V17" s="25">
        <f t="shared" si="2"/>
        <v>2.7727272727272729</v>
      </c>
      <c r="W17" s="24">
        <f>296*25</f>
        <v>7400</v>
      </c>
      <c r="X17" s="26">
        <f t="shared" si="3"/>
        <v>451400</v>
      </c>
      <c r="Y17" s="25">
        <f t="shared" si="4"/>
        <v>13542</v>
      </c>
      <c r="Z17" s="25">
        <f t="shared" si="5"/>
        <v>54168</v>
      </c>
      <c r="AA17" s="25">
        <f t="shared" si="6"/>
        <v>15799.000000000002</v>
      </c>
      <c r="AB17" s="25">
        <f t="shared" si="7"/>
        <v>157990</v>
      </c>
      <c r="AC17" s="25">
        <f t="shared" si="8"/>
        <v>22570</v>
      </c>
      <c r="AD17" s="25">
        <f t="shared" si="9"/>
        <v>4514</v>
      </c>
      <c r="AE17" s="25">
        <f t="shared" si="10"/>
        <v>45140</v>
      </c>
      <c r="AF17" s="25">
        <f t="shared" si="11"/>
        <v>45140</v>
      </c>
      <c r="AG17" s="23"/>
      <c r="AH17" s="25">
        <f t="shared" si="12"/>
        <v>810263</v>
      </c>
      <c r="AI17" s="25">
        <f t="shared" si="13"/>
        <v>129642.08</v>
      </c>
      <c r="AJ17" s="25">
        <f t="shared" si="14"/>
        <v>939905.08</v>
      </c>
      <c r="AK17" s="25">
        <f t="shared" si="15"/>
        <v>4159.090909090909</v>
      </c>
      <c r="AL17" s="25">
        <f t="shared" si="16"/>
        <v>20795.454545454548</v>
      </c>
      <c r="AM17" s="25">
        <f t="shared" si="17"/>
        <v>6269.136363636364</v>
      </c>
      <c r="AN17" s="26">
        <f t="shared" si="18"/>
        <v>1911033.8418181818</v>
      </c>
      <c r="AO17" s="26">
        <f t="shared" si="19"/>
        <v>5298775.6523140501</v>
      </c>
      <c r="AQ17" s="26">
        <f t="shared" si="20"/>
        <v>5298775.6523140501</v>
      </c>
      <c r="AR17" s="25">
        <f t="shared" si="21"/>
        <v>45140</v>
      </c>
      <c r="AS17" s="25">
        <f t="shared" si="22"/>
        <v>143184.08000000002</v>
      </c>
    </row>
    <row r="18" spans="2:45" x14ac:dyDescent="0.2">
      <c r="B18" s="23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>
        <v>8</v>
      </c>
      <c r="N18" s="5"/>
      <c r="O18" s="5"/>
      <c r="P18" s="5">
        <v>4</v>
      </c>
      <c r="Q18" s="5"/>
      <c r="R18" s="5"/>
      <c r="T18" s="24">
        <f t="shared" si="0"/>
        <v>12</v>
      </c>
      <c r="U18" s="25">
        <f t="shared" si="1"/>
        <v>96</v>
      </c>
      <c r="V18" s="25">
        <f t="shared" si="2"/>
        <v>0.54545454545454541</v>
      </c>
      <c r="W18" s="24">
        <f>296*25</f>
        <v>7400</v>
      </c>
      <c r="X18" s="26">
        <f t="shared" si="3"/>
        <v>88800</v>
      </c>
      <c r="Y18" s="25">
        <f t="shared" si="4"/>
        <v>2664</v>
      </c>
      <c r="Z18" s="25">
        <f t="shared" si="5"/>
        <v>10656</v>
      </c>
      <c r="AA18" s="25">
        <f t="shared" si="6"/>
        <v>3108.0000000000005</v>
      </c>
      <c r="AB18" s="25">
        <f t="shared" si="7"/>
        <v>31079.999999999996</v>
      </c>
      <c r="AC18" s="25">
        <f t="shared" si="8"/>
        <v>4440</v>
      </c>
      <c r="AD18" s="25">
        <f t="shared" si="9"/>
        <v>888</v>
      </c>
      <c r="AE18" s="25">
        <f t="shared" si="10"/>
        <v>8880</v>
      </c>
      <c r="AF18" s="25">
        <f t="shared" si="11"/>
        <v>8880</v>
      </c>
      <c r="AG18" s="23"/>
      <c r="AH18" s="25">
        <f t="shared" si="12"/>
        <v>159396</v>
      </c>
      <c r="AI18" s="25">
        <f t="shared" si="13"/>
        <v>25503.360000000001</v>
      </c>
      <c r="AJ18" s="25">
        <f t="shared" si="14"/>
        <v>184899.36</v>
      </c>
      <c r="AK18" s="25">
        <f t="shared" si="15"/>
        <v>818.18181818181813</v>
      </c>
      <c r="AL18" s="25">
        <f t="shared" si="16"/>
        <v>4090.9090909090905</v>
      </c>
      <c r="AM18" s="25">
        <f t="shared" si="17"/>
        <v>1233.2727272727273</v>
      </c>
      <c r="AN18" s="26">
        <f t="shared" si="18"/>
        <v>375941.08363636362</v>
      </c>
      <c r="AO18" s="26">
        <f t="shared" si="19"/>
        <v>205058.77289256194</v>
      </c>
      <c r="AQ18" s="26">
        <f t="shared" si="20"/>
        <v>205058.77289256194</v>
      </c>
      <c r="AR18" s="25">
        <f t="shared" si="21"/>
        <v>8880</v>
      </c>
      <c r="AS18" s="25">
        <f t="shared" si="22"/>
        <v>28167.360000000001</v>
      </c>
    </row>
    <row r="19" spans="2:45" x14ac:dyDescent="0.2">
      <c r="B19" s="23" t="s">
        <v>17</v>
      </c>
      <c r="C19" s="5"/>
      <c r="D19" s="5"/>
      <c r="E19" s="5"/>
      <c r="F19" s="5"/>
      <c r="G19" s="5">
        <v>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T19" s="24">
        <f t="shared" si="0"/>
        <v>4</v>
      </c>
      <c r="U19" s="25">
        <f t="shared" si="1"/>
        <v>32</v>
      </c>
      <c r="V19" s="25">
        <f t="shared" si="2"/>
        <v>0.18181818181818182</v>
      </c>
      <c r="W19" s="24">
        <f>208*25</f>
        <v>5200</v>
      </c>
      <c r="X19" s="26">
        <f t="shared" si="3"/>
        <v>20800</v>
      </c>
      <c r="Y19" s="25">
        <f t="shared" si="4"/>
        <v>624</v>
      </c>
      <c r="Z19" s="25">
        <f t="shared" si="5"/>
        <v>2496</v>
      </c>
      <c r="AA19" s="25">
        <f t="shared" si="6"/>
        <v>728.00000000000011</v>
      </c>
      <c r="AB19" s="25">
        <f t="shared" si="7"/>
        <v>7279.9999999999991</v>
      </c>
      <c r="AC19" s="25">
        <f t="shared" si="8"/>
        <v>1040</v>
      </c>
      <c r="AD19" s="25">
        <f t="shared" si="9"/>
        <v>208</v>
      </c>
      <c r="AE19" s="25">
        <f t="shared" si="10"/>
        <v>2080</v>
      </c>
      <c r="AF19" s="25">
        <f t="shared" si="11"/>
        <v>2080</v>
      </c>
      <c r="AG19" s="23"/>
      <c r="AH19" s="25">
        <f t="shared" si="12"/>
        <v>37336</v>
      </c>
      <c r="AI19" s="25">
        <f t="shared" si="13"/>
        <v>5973.76</v>
      </c>
      <c r="AJ19" s="25">
        <f t="shared" si="14"/>
        <v>43309.760000000002</v>
      </c>
      <c r="AK19" s="25">
        <f t="shared" si="15"/>
        <v>272.72727272727275</v>
      </c>
      <c r="AL19" s="25">
        <f t="shared" si="16"/>
        <v>1363.6363636363637</v>
      </c>
      <c r="AM19" s="25">
        <f t="shared" si="17"/>
        <v>411.09090909090912</v>
      </c>
      <c r="AN19" s="26">
        <f t="shared" si="18"/>
        <v>88666.974545454563</v>
      </c>
      <c r="AO19" s="26">
        <f t="shared" si="19"/>
        <v>16121.268099173558</v>
      </c>
      <c r="AQ19" s="26">
        <f t="shared" si="20"/>
        <v>16121.268099173558</v>
      </c>
      <c r="AR19" s="25">
        <f t="shared" si="21"/>
        <v>2080</v>
      </c>
      <c r="AS19" s="25">
        <f t="shared" si="22"/>
        <v>6597.76</v>
      </c>
    </row>
    <row r="20" spans="2:45" x14ac:dyDescent="0.2">
      <c r="B20" s="23" t="s">
        <v>18</v>
      </c>
      <c r="C20" s="5"/>
      <c r="D20" s="6">
        <f>8*(0.1)</f>
        <v>0.8</v>
      </c>
      <c r="E20" s="6"/>
      <c r="F20" s="6"/>
      <c r="G20" s="6"/>
      <c r="H20" s="6">
        <f>4*(0.1)</f>
        <v>0.4</v>
      </c>
      <c r="I20" s="6"/>
      <c r="J20" s="6"/>
      <c r="K20" s="6">
        <f>11*(0.1)</f>
        <v>1.1000000000000001</v>
      </c>
      <c r="L20" s="6">
        <f>33*(0.1)</f>
        <v>3.3000000000000003</v>
      </c>
      <c r="M20" s="6"/>
      <c r="N20" s="6"/>
      <c r="O20" s="6">
        <f>11*(0.1)</f>
        <v>1.1000000000000001</v>
      </c>
      <c r="P20" s="6"/>
      <c r="Q20" s="6">
        <f>3*(0.1)</f>
        <v>0.30000000000000004</v>
      </c>
      <c r="R20" s="6">
        <f>10*(0.1)</f>
        <v>1</v>
      </c>
      <c r="T20" s="24">
        <f>SUM(C20:R20)</f>
        <v>8</v>
      </c>
      <c r="U20" s="25">
        <f t="shared" si="1"/>
        <v>64</v>
      </c>
      <c r="V20" s="25">
        <f t="shared" si="2"/>
        <v>0.36363636363636365</v>
      </c>
      <c r="W20" s="24">
        <f>880*25</f>
        <v>22000</v>
      </c>
      <c r="X20" s="26">
        <f t="shared" si="3"/>
        <v>176000</v>
      </c>
      <c r="Y20" s="25">
        <f t="shared" si="4"/>
        <v>5280</v>
      </c>
      <c r="Z20" s="25">
        <f t="shared" si="5"/>
        <v>21120</v>
      </c>
      <c r="AA20" s="25">
        <f t="shared" si="6"/>
        <v>6160.0000000000009</v>
      </c>
      <c r="AB20" s="25">
        <f t="shared" si="7"/>
        <v>61599.999999999993</v>
      </c>
      <c r="AC20" s="25">
        <f t="shared" si="8"/>
        <v>8800</v>
      </c>
      <c r="AD20" s="25">
        <f t="shared" si="9"/>
        <v>1760</v>
      </c>
      <c r="AE20" s="25">
        <f t="shared" si="10"/>
        <v>17600</v>
      </c>
      <c r="AF20" s="25">
        <f t="shared" si="11"/>
        <v>17600</v>
      </c>
      <c r="AG20" s="23"/>
      <c r="AH20" s="25">
        <f t="shared" si="12"/>
        <v>315920</v>
      </c>
      <c r="AI20" s="25">
        <f t="shared" si="13"/>
        <v>50547.200000000004</v>
      </c>
      <c r="AJ20" s="25">
        <f t="shared" si="14"/>
        <v>366467.2</v>
      </c>
      <c r="AK20" s="25">
        <f t="shared" si="15"/>
        <v>545.4545454545455</v>
      </c>
      <c r="AL20" s="25">
        <f t="shared" si="16"/>
        <v>2727.2727272727275</v>
      </c>
      <c r="AM20" s="25">
        <f t="shared" si="17"/>
        <v>822.18181818181824</v>
      </c>
      <c r="AN20" s="26">
        <f t="shared" si="18"/>
        <v>737029.30909090908</v>
      </c>
      <c r="AO20" s="26">
        <f t="shared" si="19"/>
        <v>268010.65785123967</v>
      </c>
      <c r="AQ20" s="26">
        <f t="shared" si="20"/>
        <v>268010.65785123967</v>
      </c>
      <c r="AR20" s="25">
        <f t="shared" si="21"/>
        <v>17600</v>
      </c>
      <c r="AS20" s="25">
        <f t="shared" si="22"/>
        <v>55827.200000000004</v>
      </c>
    </row>
    <row r="21" spans="2:45" x14ac:dyDescent="0.2">
      <c r="B21" s="23" t="s">
        <v>19</v>
      </c>
      <c r="C21" s="5">
        <v>2</v>
      </c>
      <c r="D21" s="5">
        <v>8</v>
      </c>
      <c r="E21" s="5"/>
      <c r="F21" s="5"/>
      <c r="G21" s="5">
        <v>4</v>
      </c>
      <c r="H21" s="5"/>
      <c r="I21" s="5"/>
      <c r="J21" s="5"/>
      <c r="K21" s="5">
        <v>11</v>
      </c>
      <c r="L21" s="5"/>
      <c r="M21" s="5"/>
      <c r="N21" s="5"/>
      <c r="O21" s="5"/>
      <c r="P21" s="5">
        <v>4</v>
      </c>
      <c r="Q21" s="5">
        <v>3</v>
      </c>
      <c r="R21" s="5">
        <v>10</v>
      </c>
      <c r="T21" s="24">
        <f t="shared" si="0"/>
        <v>42</v>
      </c>
      <c r="U21" s="25">
        <f t="shared" si="1"/>
        <v>336</v>
      </c>
      <c r="V21" s="25">
        <f t="shared" si="2"/>
        <v>1.9090909090909092</v>
      </c>
      <c r="W21" s="24">
        <f>272*25</f>
        <v>6800</v>
      </c>
      <c r="X21" s="26">
        <f t="shared" si="3"/>
        <v>285600</v>
      </c>
      <c r="Y21" s="25">
        <f t="shared" si="4"/>
        <v>8568</v>
      </c>
      <c r="Z21" s="25">
        <f t="shared" si="5"/>
        <v>34272</v>
      </c>
      <c r="AA21" s="25">
        <f t="shared" si="6"/>
        <v>9996.0000000000018</v>
      </c>
      <c r="AB21" s="25">
        <f t="shared" si="7"/>
        <v>99960</v>
      </c>
      <c r="AC21" s="25">
        <f t="shared" si="8"/>
        <v>14280</v>
      </c>
      <c r="AD21" s="25">
        <f t="shared" si="9"/>
        <v>2856</v>
      </c>
      <c r="AE21" s="25">
        <f t="shared" si="10"/>
        <v>28560</v>
      </c>
      <c r="AF21" s="25">
        <f t="shared" si="11"/>
        <v>28560</v>
      </c>
      <c r="AG21" s="23"/>
      <c r="AH21" s="25">
        <f t="shared" si="12"/>
        <v>512652</v>
      </c>
      <c r="AI21" s="25">
        <f t="shared" si="13"/>
        <v>82024.320000000007</v>
      </c>
      <c r="AJ21" s="25">
        <f t="shared" si="14"/>
        <v>594676.32000000007</v>
      </c>
      <c r="AK21" s="25">
        <f t="shared" si="15"/>
        <v>2863.636363636364</v>
      </c>
      <c r="AL21" s="25">
        <f t="shared" si="16"/>
        <v>14318.181818181818</v>
      </c>
      <c r="AM21" s="25">
        <f t="shared" si="17"/>
        <v>4316.454545454546</v>
      </c>
      <c r="AN21" s="26">
        <f t="shared" si="18"/>
        <v>1210850.9127272731</v>
      </c>
      <c r="AO21" s="26">
        <f t="shared" si="19"/>
        <v>2311624.4697520668</v>
      </c>
      <c r="AQ21" s="26">
        <f t="shared" si="20"/>
        <v>2311624.4697520668</v>
      </c>
      <c r="AR21" s="25">
        <f t="shared" si="21"/>
        <v>28560</v>
      </c>
      <c r="AS21" s="25">
        <f t="shared" si="22"/>
        <v>90592.320000000007</v>
      </c>
    </row>
    <row r="22" spans="2:45" x14ac:dyDescent="0.2">
      <c r="B22" s="23" t="s">
        <v>20</v>
      </c>
      <c r="C22" s="5"/>
      <c r="D22" s="5"/>
      <c r="E22" s="5"/>
      <c r="F22" s="5"/>
      <c r="G22" s="5"/>
      <c r="H22" s="5"/>
      <c r="I22" s="5"/>
      <c r="J22" s="5"/>
      <c r="K22" s="5"/>
      <c r="L22" s="5">
        <v>33</v>
      </c>
      <c r="M22" s="5"/>
      <c r="N22" s="5"/>
      <c r="O22" s="5"/>
      <c r="P22" s="5">
        <v>4</v>
      </c>
      <c r="Q22" s="5"/>
      <c r="R22" s="5"/>
      <c r="T22" s="24">
        <f t="shared" si="0"/>
        <v>37</v>
      </c>
      <c r="U22" s="25">
        <f t="shared" si="1"/>
        <v>296</v>
      </c>
      <c r="V22" s="25">
        <f t="shared" si="2"/>
        <v>1.6818181818181819</v>
      </c>
      <c r="W22" s="24">
        <f>272*25</f>
        <v>6800</v>
      </c>
      <c r="X22" s="26">
        <f t="shared" si="3"/>
        <v>251600</v>
      </c>
      <c r="Y22" s="25">
        <f t="shared" si="4"/>
        <v>7548</v>
      </c>
      <c r="Z22" s="25">
        <f t="shared" si="5"/>
        <v>30192</v>
      </c>
      <c r="AA22" s="25">
        <f t="shared" si="6"/>
        <v>8806</v>
      </c>
      <c r="AB22" s="25">
        <f t="shared" si="7"/>
        <v>88060</v>
      </c>
      <c r="AC22" s="25">
        <f t="shared" si="8"/>
        <v>12580</v>
      </c>
      <c r="AD22" s="25">
        <f t="shared" si="9"/>
        <v>2516</v>
      </c>
      <c r="AE22" s="25">
        <f t="shared" si="10"/>
        <v>25160</v>
      </c>
      <c r="AF22" s="25">
        <f t="shared" si="11"/>
        <v>25160</v>
      </c>
      <c r="AG22" s="23"/>
      <c r="AH22" s="25">
        <f t="shared" si="12"/>
        <v>451622</v>
      </c>
      <c r="AI22" s="25">
        <f t="shared" si="13"/>
        <v>72259.520000000004</v>
      </c>
      <c r="AJ22" s="25">
        <f t="shared" si="14"/>
        <v>523881.52</v>
      </c>
      <c r="AK22" s="25">
        <f t="shared" si="15"/>
        <v>2522.727272727273</v>
      </c>
      <c r="AL22" s="25">
        <f t="shared" si="16"/>
        <v>12613.636363636364</v>
      </c>
      <c r="AM22" s="25">
        <f t="shared" si="17"/>
        <v>3802.590909090909</v>
      </c>
      <c r="AN22" s="26">
        <f t="shared" si="18"/>
        <v>1066701.9945454546</v>
      </c>
      <c r="AO22" s="26">
        <f t="shared" si="19"/>
        <v>1793998.8090082647</v>
      </c>
      <c r="AQ22" s="26">
        <f t="shared" si="20"/>
        <v>1793998.8090082647</v>
      </c>
      <c r="AR22" s="25">
        <f t="shared" si="21"/>
        <v>25160</v>
      </c>
      <c r="AS22" s="25">
        <f t="shared" si="22"/>
        <v>79807.520000000004</v>
      </c>
    </row>
    <row r="23" spans="2:45" x14ac:dyDescent="0.2">
      <c r="B23" s="23" t="s">
        <v>21</v>
      </c>
      <c r="C23" s="5">
        <v>2</v>
      </c>
      <c r="D23" s="5">
        <v>8</v>
      </c>
      <c r="E23" s="5"/>
      <c r="F23" s="5">
        <v>3</v>
      </c>
      <c r="G23" s="5">
        <v>4</v>
      </c>
      <c r="H23" s="5"/>
      <c r="I23" s="5"/>
      <c r="J23" s="5"/>
      <c r="K23" s="5"/>
      <c r="L23" s="5"/>
      <c r="M23" s="5"/>
      <c r="N23" s="5"/>
      <c r="O23" s="5"/>
      <c r="P23" s="5"/>
      <c r="Q23" s="5">
        <v>3</v>
      </c>
      <c r="R23" s="5">
        <v>10</v>
      </c>
      <c r="T23" s="24">
        <f t="shared" si="0"/>
        <v>30</v>
      </c>
      <c r="U23" s="25">
        <f t="shared" si="1"/>
        <v>240</v>
      </c>
      <c r="V23" s="25">
        <f t="shared" si="2"/>
        <v>1.3636363636363635</v>
      </c>
      <c r="W23" s="24">
        <f>944*25</f>
        <v>23600</v>
      </c>
      <c r="X23" s="26">
        <f t="shared" si="3"/>
        <v>708000</v>
      </c>
      <c r="Y23" s="25">
        <f t="shared" si="4"/>
        <v>21240</v>
      </c>
      <c r="Z23" s="25">
        <f t="shared" si="5"/>
        <v>84960</v>
      </c>
      <c r="AA23" s="25">
        <f t="shared" si="6"/>
        <v>24780.000000000004</v>
      </c>
      <c r="AB23" s="25">
        <f t="shared" si="7"/>
        <v>247799.99999999997</v>
      </c>
      <c r="AC23" s="25">
        <f t="shared" si="8"/>
        <v>35400</v>
      </c>
      <c r="AD23" s="25">
        <f t="shared" si="9"/>
        <v>7080</v>
      </c>
      <c r="AE23" s="25">
        <f t="shared" si="10"/>
        <v>70800</v>
      </c>
      <c r="AF23" s="25">
        <f t="shared" si="11"/>
        <v>70800</v>
      </c>
      <c r="AG23" s="23"/>
      <c r="AH23" s="25">
        <f t="shared" si="12"/>
        <v>1270860</v>
      </c>
      <c r="AI23" s="25">
        <f t="shared" si="13"/>
        <v>203337.60000000001</v>
      </c>
      <c r="AJ23" s="25">
        <f t="shared" si="14"/>
        <v>1474197.6</v>
      </c>
      <c r="AK23" s="25">
        <f t="shared" si="15"/>
        <v>2045.4545454545453</v>
      </c>
      <c r="AL23" s="25">
        <f t="shared" si="16"/>
        <v>10227.272727272726</v>
      </c>
      <c r="AM23" s="25">
        <f t="shared" si="17"/>
        <v>3083.181818181818</v>
      </c>
      <c r="AN23" s="26">
        <f t="shared" si="18"/>
        <v>2963751.1090909094</v>
      </c>
      <c r="AO23" s="26">
        <f t="shared" si="19"/>
        <v>4041478.7851239671</v>
      </c>
      <c r="AQ23" s="26">
        <f t="shared" si="20"/>
        <v>4041478.7851239671</v>
      </c>
      <c r="AR23" s="25">
        <f t="shared" si="21"/>
        <v>70800</v>
      </c>
      <c r="AS23" s="25">
        <f t="shared" si="22"/>
        <v>224577.6</v>
      </c>
    </row>
    <row r="24" spans="2:45" x14ac:dyDescent="0.2">
      <c r="B24" s="23" t="s">
        <v>22</v>
      </c>
      <c r="C24" s="5"/>
      <c r="D24" s="5"/>
      <c r="E24" s="5"/>
      <c r="F24" s="5"/>
      <c r="G24" s="5"/>
      <c r="H24" s="5">
        <v>4</v>
      </c>
      <c r="I24" s="5"/>
      <c r="J24" s="5"/>
      <c r="K24" s="5"/>
      <c r="L24" s="5"/>
      <c r="M24" s="5"/>
      <c r="N24" s="5"/>
      <c r="O24" s="5"/>
      <c r="P24" s="5"/>
      <c r="Q24" s="5"/>
      <c r="R24" s="5"/>
      <c r="T24" s="24">
        <f t="shared" si="0"/>
        <v>4</v>
      </c>
      <c r="U24" s="25">
        <f t="shared" si="1"/>
        <v>32</v>
      </c>
      <c r="V24" s="25">
        <f t="shared" si="2"/>
        <v>0.18181818181818182</v>
      </c>
      <c r="W24" s="24">
        <f>1992*25</f>
        <v>49800</v>
      </c>
      <c r="X24" s="26">
        <f t="shared" si="3"/>
        <v>199200</v>
      </c>
      <c r="Y24" s="25">
        <f t="shared" si="4"/>
        <v>5976</v>
      </c>
      <c r="Z24" s="25">
        <f t="shared" si="5"/>
        <v>23904</v>
      </c>
      <c r="AA24" s="25">
        <f t="shared" si="6"/>
        <v>6972.0000000000009</v>
      </c>
      <c r="AB24" s="25">
        <f t="shared" si="7"/>
        <v>69720</v>
      </c>
      <c r="AC24" s="25">
        <f t="shared" si="8"/>
        <v>9960</v>
      </c>
      <c r="AD24" s="25">
        <f t="shared" si="9"/>
        <v>1992</v>
      </c>
      <c r="AE24" s="25">
        <f t="shared" si="10"/>
        <v>19920</v>
      </c>
      <c r="AF24" s="25">
        <f t="shared" si="11"/>
        <v>19920</v>
      </c>
      <c r="AG24" s="23"/>
      <c r="AH24" s="25">
        <f t="shared" si="12"/>
        <v>357564</v>
      </c>
      <c r="AI24" s="25">
        <f t="shared" si="13"/>
        <v>57210.239999999998</v>
      </c>
      <c r="AJ24" s="25">
        <f t="shared" si="14"/>
        <v>414774.24</v>
      </c>
      <c r="AK24" s="25">
        <f t="shared" si="15"/>
        <v>272.72727272727275</v>
      </c>
      <c r="AL24" s="25">
        <f t="shared" si="16"/>
        <v>1363.6363636363637</v>
      </c>
      <c r="AM24" s="25">
        <f t="shared" si="17"/>
        <v>411.09090909090912</v>
      </c>
      <c r="AN24" s="26">
        <f t="shared" si="18"/>
        <v>831595.93454545457</v>
      </c>
      <c r="AO24" s="26">
        <f t="shared" si="19"/>
        <v>151199.26082644629</v>
      </c>
      <c r="AQ24" s="26">
        <f t="shared" si="20"/>
        <v>151199.26082644629</v>
      </c>
      <c r="AR24" s="25">
        <f t="shared" si="21"/>
        <v>19920</v>
      </c>
      <c r="AS24" s="25">
        <f t="shared" si="22"/>
        <v>63186.239999999998</v>
      </c>
    </row>
    <row r="25" spans="2:45" x14ac:dyDescent="0.2">
      <c r="B25" s="23" t="s">
        <v>23</v>
      </c>
      <c r="C25" s="5">
        <v>2</v>
      </c>
      <c r="D25" s="5">
        <v>8</v>
      </c>
      <c r="E25" s="5"/>
      <c r="F25" s="5">
        <v>3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T25" s="24">
        <f t="shared" si="0"/>
        <v>17</v>
      </c>
      <c r="U25" s="25">
        <f t="shared" si="1"/>
        <v>136</v>
      </c>
      <c r="V25" s="25">
        <f t="shared" si="2"/>
        <v>0.77272727272727271</v>
      </c>
      <c r="W25" s="24">
        <f>344*25</f>
        <v>8600</v>
      </c>
      <c r="X25" s="26">
        <f t="shared" si="3"/>
        <v>146200</v>
      </c>
      <c r="Y25" s="25">
        <f t="shared" si="4"/>
        <v>4386</v>
      </c>
      <c r="Z25" s="25">
        <f t="shared" si="5"/>
        <v>17544</v>
      </c>
      <c r="AA25" s="25">
        <f t="shared" si="6"/>
        <v>5117.0000000000009</v>
      </c>
      <c r="AB25" s="25">
        <f t="shared" si="7"/>
        <v>51170</v>
      </c>
      <c r="AC25" s="25">
        <f t="shared" si="8"/>
        <v>7310</v>
      </c>
      <c r="AD25" s="25">
        <f t="shared" si="9"/>
        <v>1462</v>
      </c>
      <c r="AE25" s="25">
        <f t="shared" si="10"/>
        <v>14620</v>
      </c>
      <c r="AF25" s="25">
        <f t="shared" si="11"/>
        <v>14620</v>
      </c>
      <c r="AG25" s="23"/>
      <c r="AH25" s="25">
        <f t="shared" si="12"/>
        <v>262429</v>
      </c>
      <c r="AI25" s="25">
        <f t="shared" si="13"/>
        <v>41988.639999999999</v>
      </c>
      <c r="AJ25" s="25">
        <f t="shared" si="14"/>
        <v>304417.64</v>
      </c>
      <c r="AK25" s="25">
        <f t="shared" si="15"/>
        <v>1159.090909090909</v>
      </c>
      <c r="AL25" s="25">
        <f t="shared" si="16"/>
        <v>5795.454545454545</v>
      </c>
      <c r="AM25" s="25">
        <f t="shared" si="17"/>
        <v>1747.1363636363635</v>
      </c>
      <c r="AN25" s="26">
        <f t="shared" si="18"/>
        <v>617536.96181818191</v>
      </c>
      <c r="AO25" s="26">
        <f t="shared" si="19"/>
        <v>477187.65231404966</v>
      </c>
      <c r="AQ25" s="26">
        <f t="shared" si="20"/>
        <v>477187.65231404966</v>
      </c>
      <c r="AR25" s="25">
        <f t="shared" si="21"/>
        <v>14620</v>
      </c>
      <c r="AS25" s="25">
        <f t="shared" si="22"/>
        <v>46374.64</v>
      </c>
    </row>
    <row r="26" spans="2:45" ht="17" thickBot="1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7"/>
      <c r="U26" s="7"/>
      <c r="V26" s="13">
        <v>1</v>
      </c>
      <c r="W26" s="14"/>
      <c r="X26" s="15">
        <v>100</v>
      </c>
      <c r="Y26" s="16">
        <f t="shared" si="4"/>
        <v>3</v>
      </c>
      <c r="Z26" s="16">
        <f t="shared" si="5"/>
        <v>12</v>
      </c>
      <c r="AA26" s="16">
        <f t="shared" si="6"/>
        <v>3.5000000000000004</v>
      </c>
      <c r="AB26" s="16">
        <f t="shared" si="7"/>
        <v>35</v>
      </c>
      <c r="AC26" s="16">
        <f t="shared" si="8"/>
        <v>5</v>
      </c>
      <c r="AD26" s="16">
        <f t="shared" si="9"/>
        <v>1</v>
      </c>
      <c r="AE26" s="16">
        <f t="shared" si="10"/>
        <v>10</v>
      </c>
      <c r="AF26" s="16">
        <f t="shared" si="11"/>
        <v>10</v>
      </c>
      <c r="AG26" s="17"/>
      <c r="AH26" s="16">
        <f t="shared" si="12"/>
        <v>179.5</v>
      </c>
      <c r="AI26" s="16">
        <f t="shared" si="13"/>
        <v>28.72</v>
      </c>
      <c r="AJ26" s="16">
        <f t="shared" si="14"/>
        <v>208.22</v>
      </c>
      <c r="AK26" s="16">
        <f t="shared" si="15"/>
        <v>1500</v>
      </c>
      <c r="AL26" s="16">
        <f t="shared" si="16"/>
        <v>7500</v>
      </c>
      <c r="AM26" s="16">
        <f t="shared" si="17"/>
        <v>2261</v>
      </c>
      <c r="AN26" s="18">
        <f t="shared" si="18"/>
        <v>11677.44</v>
      </c>
      <c r="AO26" s="18">
        <f t="shared" si="19"/>
        <v>11677.44</v>
      </c>
      <c r="AQ26" s="18">
        <f t="shared" si="19"/>
        <v>0</v>
      </c>
      <c r="AR26" s="16">
        <f t="shared" ref="AR3:AS26" si="23">AJ26*(0.1)</f>
        <v>20.822000000000003</v>
      </c>
      <c r="AS26" s="16">
        <f t="shared" si="23"/>
        <v>150</v>
      </c>
    </row>
    <row r="27" spans="2:45" x14ac:dyDescent="0.2">
      <c r="B27" s="20" t="s">
        <v>61</v>
      </c>
      <c r="C27" s="4">
        <f>(C2*W2)+(C21*W21)+(C23*W23)+(C25*W25)</f>
        <v>102000</v>
      </c>
      <c r="D27" s="4">
        <f>(D2*W2)+(D3*W3)+(D7*W7)+(D10*W10)+(D13*W13)+(D20*W20)+(D21*W21)+(D23*W23)+(D25*W25)</f>
        <v>777600</v>
      </c>
      <c r="E27" s="4">
        <f>(E2*W2)+(E3*W3)+(E4*W4)+(E7*W7)+(E8*W8)+(E10*W10)+(E11*W11)+(E12*W12)+(E13*W13)+(E16*W16)</f>
        <v>1247400</v>
      </c>
      <c r="F27" s="4">
        <f>(F2*W2)+(F3*W3)+(F13*W13)+(F23*W23)+(F25*W25)</f>
        <v>193800</v>
      </c>
      <c r="G27" s="4">
        <f>(G2*W2)+(G3*W3)+(G7*W7)+(G10*W10)+(G13*W13)+(G19*W19)+(G21*W21)+(G23*W23)+(G25*W25)</f>
        <v>400800</v>
      </c>
      <c r="H27" s="4">
        <f>(H2*W2)+(H20*W20)+(H24*W24)</f>
        <v>256000</v>
      </c>
      <c r="I27" s="4">
        <f>(I2*W2)+(I10*W10)</f>
        <v>48600</v>
      </c>
      <c r="J27" s="4">
        <f>(J2*W2)+(J15*W15)</f>
        <v>150000</v>
      </c>
      <c r="K27" s="4">
        <f>(K2*W2)+(K3*W3)+(K4*W4)+(K5*W5)+(K6*W6)+(K10*W10)+(K13*W13)+(K16*W16)+(K20*W20)+(K21*W21)</f>
        <v>1012000</v>
      </c>
      <c r="L27" s="4">
        <f>(L2*W2)+(L8*W8)+(L9*W9)+(L11*W11)+(L14*W14)+(L17*W17)+(L20*W20)+(L22*W22)</f>
        <v>2098800</v>
      </c>
      <c r="M27" s="4">
        <f>(M10*W10)+(M12*W12)+(M18*W18)</f>
        <v>299200</v>
      </c>
      <c r="N27" s="4">
        <f>(N2*W2)+(N6*W6)+(N7*W7)+(N16*W16)</f>
        <v>354600</v>
      </c>
      <c r="O27" s="4">
        <f>(O2*W2)+(O3*W3)+(O4*W4)+(O5*W5)+(O6*W6)+(O10*W10)+(O14*W14)+(O17*W17)+(O20*W20)</f>
        <v>1003200</v>
      </c>
      <c r="P27" s="4">
        <f>(P2*W2)+(P7*W7)+(P12*W12)+(P16*W16)+(P17*W17)+(P18*W18)+(P21*W21)+(P22*W22)</f>
        <v>285600</v>
      </c>
      <c r="Q27" s="4">
        <f>(Q2*W2)+(Q3*W3)+(Q4*W4)+(Q5*W5)+(Q8*W8)+(Q9*W9)+(Q10*W10)+(Q11*W11)+(Q13*W13)+(Q14*W14)+(Q16*W16)+(Q17*W17)+(Q20*W20)+(Q21*W21)+(Q23*W23)</f>
        <v>476400</v>
      </c>
      <c r="R27" s="4">
        <f>(R2*W2)+(R3*W3)+(R4*W4)+(R5*W5)+(R8*W8)+(R9*W9)+(R10*W10)+(R11*W11)+(R13*W13)+(R14*W14)+(R16*W16)+(R17*W17)+(R20*W20)+(R21*W21)+(R23*W23)</f>
        <v>1588000</v>
      </c>
      <c r="T27" s="13">
        <f>SUM(T2:T25)</f>
        <v>937.3</v>
      </c>
      <c r="U27" s="7"/>
      <c r="V27" s="7"/>
      <c r="X27" s="20" t="s">
        <v>62</v>
      </c>
      <c r="AO27" s="11" t="s">
        <v>58</v>
      </c>
      <c r="AQ27" s="11" t="s">
        <v>58</v>
      </c>
      <c r="AR27" s="11" t="s">
        <v>58</v>
      </c>
      <c r="AS27" s="11" t="s">
        <v>58</v>
      </c>
    </row>
    <row r="28" spans="2:45" ht="27" thickBot="1" x14ac:dyDescent="0.35">
      <c r="B28" s="21">
        <f>SUM(C27:R27)/25</f>
        <v>411760</v>
      </c>
      <c r="I28" s="8"/>
      <c r="X28" s="19">
        <f>SUM(X2:X25)</f>
        <v>10294000</v>
      </c>
      <c r="AO28" s="12">
        <f>SUM(AO2:AO25)</f>
        <v>102167875.16147524</v>
      </c>
      <c r="AQ28" s="12">
        <f>SUM(AQ2:AQ25)</f>
        <v>102167875.16147524</v>
      </c>
      <c r="AR28" s="12">
        <f>SUM(AR2:AR25)</f>
        <v>1029400</v>
      </c>
      <c r="AS28" s="12">
        <f>SUM(AS2:AS25)</f>
        <v>3265256.8000000003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Act_5_OK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2020-04-06T18:02:26Z</cp:lastPrinted>
  <dcterms:created xsi:type="dcterms:W3CDTF">2020-04-02T18:08:19Z</dcterms:created>
  <dcterms:modified xsi:type="dcterms:W3CDTF">2020-04-06T19:34:15Z</dcterms:modified>
</cp:coreProperties>
</file>