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6720" yWindow="2800" windowWidth="25600" windowHeight="16060" tabRatio="500" firstSheet="6" activeTab="9"/>
  </bookViews>
  <sheets>
    <sheet name="Roll Up Tables" sheetId="3" r:id="rId1"/>
    <sheet name="Encryption Summary Table" sheetId="19" r:id="rId2"/>
    <sheet name="Decryption Summary Table" sheetId="20" r:id="rId3"/>
    <sheet name="Input Size per Mode" sheetId="10" r:id="rId4"/>
    <sheet name="Key Size per Mode" sheetId="12" r:id="rId5"/>
    <sheet name="Key Size per Input Size" sheetId="13" r:id="rId6"/>
    <sheet name="1M_File" sheetId="1" r:id="rId7"/>
    <sheet name="5M_File" sheetId="2" r:id="rId8"/>
    <sheet name="10M_File" sheetId="4" r:id="rId9"/>
    <sheet name="256M_File" sheetId="5" r:id="rId10"/>
    <sheet name="File_Sizes" sheetId="9" r:id="rId11"/>
    <sheet name="HIDDEN" sheetId="7" r:id="rId12"/>
    <sheet name="Sheet2" sheetId="16" r:id="rId13"/>
    <sheet name="16B_File (2)" sheetId="17" r:id="rId14"/>
    <sheet name="32B_File (2)" sheetId="18" r:id="rId15"/>
  </sheets>
  <definedNames>
    <definedName name="AVG">HIDDEN!$B$1</definedName>
    <definedName name="Encrypt_Summary">'Roll Up Tables'!$A$2:$J$62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0" r:id="rId16"/>
    <pivotCache cacheId="1" r:id="rId1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109" i="18" l="1"/>
  <c r="AN109" i="18"/>
  <c r="AM109" i="18"/>
  <c r="AL109" i="18"/>
  <c r="AK109" i="18"/>
  <c r="AH109" i="18"/>
  <c r="AG109" i="18"/>
  <c r="AF109" i="18"/>
  <c r="AE109" i="18"/>
  <c r="AD109" i="18"/>
  <c r="AA109" i="18"/>
  <c r="Z109" i="18"/>
  <c r="Y109" i="18"/>
  <c r="X109" i="18"/>
  <c r="W109" i="18"/>
  <c r="T109" i="18"/>
  <c r="S109" i="18"/>
  <c r="R109" i="18"/>
  <c r="Q109" i="18"/>
  <c r="P109" i="18"/>
  <c r="M109" i="18"/>
  <c r="L109" i="18"/>
  <c r="K109" i="18"/>
  <c r="J109" i="18"/>
  <c r="I109" i="18"/>
  <c r="F109" i="18"/>
  <c r="E109" i="18"/>
  <c r="D109" i="18"/>
  <c r="C109" i="18"/>
  <c r="B109" i="18"/>
  <c r="AO108" i="18"/>
  <c r="AN108" i="18"/>
  <c r="AM108" i="18"/>
  <c r="AL108" i="18"/>
  <c r="AK108" i="18"/>
  <c r="AH108" i="18"/>
  <c r="AG108" i="18"/>
  <c r="AF108" i="18"/>
  <c r="AE108" i="18"/>
  <c r="AD108" i="18"/>
  <c r="AA108" i="18"/>
  <c r="Z108" i="18"/>
  <c r="Y108" i="18"/>
  <c r="X108" i="18"/>
  <c r="W108" i="18"/>
  <c r="T108" i="18"/>
  <c r="S108" i="18"/>
  <c r="R108" i="18"/>
  <c r="Q108" i="18"/>
  <c r="P108" i="18"/>
  <c r="M108" i="18"/>
  <c r="L108" i="18"/>
  <c r="K108" i="18"/>
  <c r="J108" i="18"/>
  <c r="I108" i="18"/>
  <c r="F108" i="18"/>
  <c r="E108" i="18"/>
  <c r="D108" i="18"/>
  <c r="C108" i="18"/>
  <c r="B108" i="18"/>
  <c r="AO107" i="18"/>
  <c r="AN107" i="18"/>
  <c r="AM107" i="18"/>
  <c r="AL107" i="18"/>
  <c r="AK107" i="18"/>
  <c r="AH107" i="18"/>
  <c r="AG107" i="18"/>
  <c r="AF107" i="18"/>
  <c r="AE107" i="18"/>
  <c r="AD107" i="18"/>
  <c r="AA107" i="18"/>
  <c r="Z107" i="18"/>
  <c r="Y107" i="18"/>
  <c r="X107" i="18"/>
  <c r="W107" i="18"/>
  <c r="T107" i="18"/>
  <c r="S107" i="18"/>
  <c r="R107" i="18"/>
  <c r="Q107" i="18"/>
  <c r="P107" i="18"/>
  <c r="M107" i="18"/>
  <c r="L107" i="18"/>
  <c r="K107" i="18"/>
  <c r="J107" i="18"/>
  <c r="I107" i="18"/>
  <c r="F107" i="18"/>
  <c r="E107" i="18"/>
  <c r="D107" i="18"/>
  <c r="C107" i="18"/>
  <c r="B107" i="18"/>
  <c r="AO106" i="18"/>
  <c r="AN106" i="18"/>
  <c r="AM106" i="18"/>
  <c r="AL106" i="18"/>
  <c r="AK106" i="18"/>
  <c r="AH106" i="18"/>
  <c r="AG106" i="18"/>
  <c r="AF106" i="18"/>
  <c r="AE106" i="18"/>
  <c r="AD106" i="18"/>
  <c r="AA106" i="18"/>
  <c r="Z106" i="18"/>
  <c r="Y106" i="18"/>
  <c r="X106" i="18"/>
  <c r="W106" i="18"/>
  <c r="T106" i="18"/>
  <c r="S106" i="18"/>
  <c r="R106" i="18"/>
  <c r="Q106" i="18"/>
  <c r="P106" i="18"/>
  <c r="M106" i="18"/>
  <c r="L106" i="18"/>
  <c r="K106" i="18"/>
  <c r="J106" i="18"/>
  <c r="I106" i="18"/>
  <c r="F106" i="18"/>
  <c r="E106" i="18"/>
  <c r="D106" i="18"/>
  <c r="C106" i="18"/>
  <c r="B106" i="18"/>
  <c r="AO109" i="17"/>
  <c r="AN109" i="17"/>
  <c r="AM109" i="17"/>
  <c r="AL109" i="17"/>
  <c r="AK109" i="17"/>
  <c r="AH109" i="17"/>
  <c r="AG109" i="17"/>
  <c r="AF109" i="17"/>
  <c r="AE109" i="17"/>
  <c r="AD109" i="17"/>
  <c r="AA109" i="17"/>
  <c r="Z109" i="17"/>
  <c r="Y109" i="17"/>
  <c r="X109" i="17"/>
  <c r="W109" i="17"/>
  <c r="T109" i="17"/>
  <c r="S109" i="17"/>
  <c r="R109" i="17"/>
  <c r="Q109" i="17"/>
  <c r="P109" i="17"/>
  <c r="M109" i="17"/>
  <c r="L109" i="17"/>
  <c r="K109" i="17"/>
  <c r="J109" i="17"/>
  <c r="I109" i="17"/>
  <c r="F109" i="17"/>
  <c r="E109" i="17"/>
  <c r="D109" i="17"/>
  <c r="C109" i="17"/>
  <c r="B109" i="17"/>
  <c r="AO108" i="17"/>
  <c r="AN108" i="17"/>
  <c r="AM108" i="17"/>
  <c r="AL108" i="17"/>
  <c r="AK108" i="17"/>
  <c r="AH108" i="17"/>
  <c r="AG108" i="17"/>
  <c r="AF108" i="17"/>
  <c r="AE108" i="17"/>
  <c r="AD108" i="17"/>
  <c r="AA108" i="17"/>
  <c r="Z108" i="17"/>
  <c r="Y108" i="17"/>
  <c r="X108" i="17"/>
  <c r="W108" i="17"/>
  <c r="T108" i="17"/>
  <c r="S108" i="17"/>
  <c r="R108" i="17"/>
  <c r="Q108" i="17"/>
  <c r="P108" i="17"/>
  <c r="M108" i="17"/>
  <c r="L108" i="17"/>
  <c r="K108" i="17"/>
  <c r="J108" i="17"/>
  <c r="I108" i="17"/>
  <c r="F108" i="17"/>
  <c r="E108" i="17"/>
  <c r="D108" i="17"/>
  <c r="C108" i="17"/>
  <c r="B108" i="17"/>
  <c r="AO107" i="17"/>
  <c r="AN107" i="17"/>
  <c r="AM107" i="17"/>
  <c r="AL107" i="17"/>
  <c r="AK107" i="17"/>
  <c r="AH107" i="17"/>
  <c r="AG107" i="17"/>
  <c r="AF107" i="17"/>
  <c r="AE107" i="17"/>
  <c r="AD107" i="17"/>
  <c r="AA107" i="17"/>
  <c r="Z107" i="17"/>
  <c r="Y107" i="17"/>
  <c r="X107" i="17"/>
  <c r="W107" i="17"/>
  <c r="T107" i="17"/>
  <c r="S107" i="17"/>
  <c r="R107" i="17"/>
  <c r="Q107" i="17"/>
  <c r="P107" i="17"/>
  <c r="M107" i="17"/>
  <c r="L107" i="17"/>
  <c r="K107" i="17"/>
  <c r="J107" i="17"/>
  <c r="I107" i="17"/>
  <c r="F107" i="17"/>
  <c r="E107" i="17"/>
  <c r="D107" i="17"/>
  <c r="C107" i="17"/>
  <c r="B107" i="17"/>
  <c r="AO106" i="17"/>
  <c r="AN106" i="17"/>
  <c r="AM106" i="17"/>
  <c r="AL106" i="17"/>
  <c r="AK106" i="17"/>
  <c r="AH106" i="17"/>
  <c r="AG106" i="17"/>
  <c r="AF106" i="17"/>
  <c r="AE106" i="17"/>
  <c r="AD106" i="17"/>
  <c r="AA106" i="17"/>
  <c r="Z106" i="17"/>
  <c r="Y106" i="17"/>
  <c r="X106" i="17"/>
  <c r="W106" i="17"/>
  <c r="T106" i="17"/>
  <c r="S106" i="17"/>
  <c r="R106" i="17"/>
  <c r="Q106" i="17"/>
  <c r="P106" i="17"/>
  <c r="M106" i="17"/>
  <c r="L106" i="17"/>
  <c r="K106" i="17"/>
  <c r="J106" i="17"/>
  <c r="I106" i="17"/>
  <c r="F106" i="17"/>
  <c r="E106" i="17"/>
  <c r="D106" i="17"/>
  <c r="C106" i="17"/>
  <c r="B106" i="17"/>
  <c r="H2" i="16"/>
  <c r="B106" i="1"/>
  <c r="F3" i="3"/>
  <c r="E3" i="3"/>
  <c r="C106" i="1"/>
  <c r="F4" i="3"/>
  <c r="E4" i="3"/>
  <c r="E106" i="1"/>
  <c r="F5" i="3"/>
  <c r="E5" i="3"/>
  <c r="D106" i="1"/>
  <c r="F6" i="3"/>
  <c r="E6" i="3"/>
  <c r="F106" i="1"/>
  <c r="F7" i="3"/>
  <c r="E7" i="3"/>
  <c r="B106" i="2"/>
  <c r="F8" i="3"/>
  <c r="E8" i="3"/>
  <c r="C106" i="2"/>
  <c r="F9" i="3"/>
  <c r="E9" i="3"/>
  <c r="E106" i="2"/>
  <c r="F10" i="3"/>
  <c r="E10" i="3"/>
  <c r="D106" i="2"/>
  <c r="F11" i="3"/>
  <c r="E11" i="3"/>
  <c r="F106" i="2"/>
  <c r="F12" i="3"/>
  <c r="E12" i="3"/>
  <c r="B106" i="4"/>
  <c r="F13" i="3"/>
  <c r="E13" i="3"/>
  <c r="C106" i="4"/>
  <c r="F14" i="3"/>
  <c r="E14" i="3"/>
  <c r="E106" i="4"/>
  <c r="F15" i="3"/>
  <c r="E15" i="3"/>
  <c r="D106" i="4"/>
  <c r="F16" i="3"/>
  <c r="E16" i="3"/>
  <c r="F106" i="4"/>
  <c r="F17" i="3"/>
  <c r="E17" i="3"/>
  <c r="B106" i="5"/>
  <c r="F18" i="3"/>
  <c r="E18" i="3"/>
  <c r="C106" i="5"/>
  <c r="F19" i="3"/>
  <c r="E19" i="3"/>
  <c r="E106" i="5"/>
  <c r="F20" i="3"/>
  <c r="E20" i="3"/>
  <c r="D106" i="5"/>
  <c r="F21" i="3"/>
  <c r="E21" i="3"/>
  <c r="F106" i="5"/>
  <c r="F22" i="3"/>
  <c r="E22" i="3"/>
  <c r="I106" i="1"/>
  <c r="F23" i="3"/>
  <c r="E23" i="3"/>
  <c r="J106" i="1"/>
  <c r="F24" i="3"/>
  <c r="E24" i="3"/>
  <c r="L106" i="1"/>
  <c r="F25" i="3"/>
  <c r="E25" i="3"/>
  <c r="K106" i="1"/>
  <c r="F26" i="3"/>
  <c r="E26" i="3"/>
  <c r="M106" i="1"/>
  <c r="F27" i="3"/>
  <c r="E27" i="3"/>
  <c r="I106" i="2"/>
  <c r="F28" i="3"/>
  <c r="E28" i="3"/>
  <c r="J106" i="2"/>
  <c r="F29" i="3"/>
  <c r="E29" i="3"/>
  <c r="L106" i="2"/>
  <c r="F30" i="3"/>
  <c r="E30" i="3"/>
  <c r="K106" i="2"/>
  <c r="F31" i="3"/>
  <c r="E31" i="3"/>
  <c r="M106" i="2"/>
  <c r="F32" i="3"/>
  <c r="E32" i="3"/>
  <c r="I106" i="4"/>
  <c r="F33" i="3"/>
  <c r="E33" i="3"/>
  <c r="J106" i="4"/>
  <c r="F34" i="3"/>
  <c r="E34" i="3"/>
  <c r="L106" i="4"/>
  <c r="F35" i="3"/>
  <c r="E35" i="3"/>
  <c r="K106" i="4"/>
  <c r="F36" i="3"/>
  <c r="E36" i="3"/>
  <c r="M106" i="4"/>
  <c r="F37" i="3"/>
  <c r="E37" i="3"/>
  <c r="I106" i="5"/>
  <c r="F38" i="3"/>
  <c r="E38" i="3"/>
  <c r="J106" i="5"/>
  <c r="F39" i="3"/>
  <c r="E39" i="3"/>
  <c r="L106" i="5"/>
  <c r="F40" i="3"/>
  <c r="E40" i="3"/>
  <c r="K106" i="5"/>
  <c r="F41" i="3"/>
  <c r="E41" i="3"/>
  <c r="M106" i="5"/>
  <c r="F42" i="3"/>
  <c r="E42" i="3"/>
  <c r="P106" i="1"/>
  <c r="F43" i="3"/>
  <c r="E43" i="3"/>
  <c r="Q106" i="1"/>
  <c r="F44" i="3"/>
  <c r="E44" i="3"/>
  <c r="S106" i="1"/>
  <c r="F45" i="3"/>
  <c r="E45" i="3"/>
  <c r="R106" i="1"/>
  <c r="F46" i="3"/>
  <c r="E46" i="3"/>
  <c r="T106" i="1"/>
  <c r="F47" i="3"/>
  <c r="E47" i="3"/>
  <c r="P106" i="2"/>
  <c r="F48" i="3"/>
  <c r="E48" i="3"/>
  <c r="Q106" i="2"/>
  <c r="F49" i="3"/>
  <c r="E49" i="3"/>
  <c r="S106" i="2"/>
  <c r="F50" i="3"/>
  <c r="E50" i="3"/>
  <c r="R106" i="2"/>
  <c r="F51" i="3"/>
  <c r="E51" i="3"/>
  <c r="T106" i="2"/>
  <c r="F52" i="3"/>
  <c r="E52" i="3"/>
  <c r="P106" i="4"/>
  <c r="F53" i="3"/>
  <c r="E53" i="3"/>
  <c r="Q106" i="4"/>
  <c r="F54" i="3"/>
  <c r="E54" i="3"/>
  <c r="S106" i="4"/>
  <c r="F55" i="3"/>
  <c r="E55" i="3"/>
  <c r="R106" i="4"/>
  <c r="F56" i="3"/>
  <c r="E56" i="3"/>
  <c r="T106" i="4"/>
  <c r="F57" i="3"/>
  <c r="E57" i="3"/>
  <c r="P106" i="5"/>
  <c r="F58" i="3"/>
  <c r="E58" i="3"/>
  <c r="Q106" i="5"/>
  <c r="F59" i="3"/>
  <c r="E59" i="3"/>
  <c r="S106" i="5"/>
  <c r="F60" i="3"/>
  <c r="E60" i="3"/>
  <c r="R106" i="5"/>
  <c r="F61" i="3"/>
  <c r="E61" i="3"/>
  <c r="T106" i="5"/>
  <c r="F62" i="3"/>
  <c r="E62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3" i="3"/>
  <c r="X106" i="1"/>
  <c r="T4" i="3"/>
  <c r="S4" i="3"/>
  <c r="Z106" i="1"/>
  <c r="T5" i="3"/>
  <c r="S5" i="3"/>
  <c r="Y106" i="1"/>
  <c r="T6" i="3"/>
  <c r="S6" i="3"/>
  <c r="AA106" i="1"/>
  <c r="T7" i="3"/>
  <c r="S7" i="3"/>
  <c r="W106" i="2"/>
  <c r="T8" i="3"/>
  <c r="S8" i="3"/>
  <c r="X106" i="2"/>
  <c r="T9" i="3"/>
  <c r="S9" i="3"/>
  <c r="Z106" i="2"/>
  <c r="T10" i="3"/>
  <c r="S10" i="3"/>
  <c r="Y106" i="2"/>
  <c r="T11" i="3"/>
  <c r="S11" i="3"/>
  <c r="AA106" i="2"/>
  <c r="T12" i="3"/>
  <c r="S12" i="3"/>
  <c r="W106" i="4"/>
  <c r="T13" i="3"/>
  <c r="S13" i="3"/>
  <c r="X106" i="4"/>
  <c r="T14" i="3"/>
  <c r="S14" i="3"/>
  <c r="Z106" i="4"/>
  <c r="T15" i="3"/>
  <c r="S15" i="3"/>
  <c r="Y106" i="4"/>
  <c r="T16" i="3"/>
  <c r="S16" i="3"/>
  <c r="AA106" i="4"/>
  <c r="T17" i="3"/>
  <c r="S17" i="3"/>
  <c r="W106" i="5"/>
  <c r="T18" i="3"/>
  <c r="S18" i="3"/>
  <c r="X106" i="5"/>
  <c r="T19" i="3"/>
  <c r="S19" i="3"/>
  <c r="Z106" i="5"/>
  <c r="T20" i="3"/>
  <c r="S20" i="3"/>
  <c r="Y106" i="5"/>
  <c r="T21" i="3"/>
  <c r="S21" i="3"/>
  <c r="AA106" i="5"/>
  <c r="T22" i="3"/>
  <c r="S22" i="3"/>
  <c r="AD106" i="1"/>
  <c r="T23" i="3"/>
  <c r="S23" i="3"/>
  <c r="AE106" i="1"/>
  <c r="T24" i="3"/>
  <c r="S24" i="3"/>
  <c r="AG106" i="1"/>
  <c r="T25" i="3"/>
  <c r="S25" i="3"/>
  <c r="AF106" i="1"/>
  <c r="T26" i="3"/>
  <c r="S26" i="3"/>
  <c r="AH106" i="1"/>
  <c r="T27" i="3"/>
  <c r="S27" i="3"/>
  <c r="AD106" i="2"/>
  <c r="T28" i="3"/>
  <c r="S28" i="3"/>
  <c r="AE106" i="2"/>
  <c r="T29" i="3"/>
  <c r="S29" i="3"/>
  <c r="AG106" i="2"/>
  <c r="T30" i="3"/>
  <c r="S30" i="3"/>
  <c r="AF106" i="2"/>
  <c r="T31" i="3"/>
  <c r="S31" i="3"/>
  <c r="AH106" i="2"/>
  <c r="T32" i="3"/>
  <c r="S32" i="3"/>
  <c r="AD106" i="4"/>
  <c r="T33" i="3"/>
  <c r="S33" i="3"/>
  <c r="AE106" i="4"/>
  <c r="T34" i="3"/>
  <c r="S34" i="3"/>
  <c r="AG106" i="4"/>
  <c r="T35" i="3"/>
  <c r="S35" i="3"/>
  <c r="AF106" i="4"/>
  <c r="T36" i="3"/>
  <c r="S36" i="3"/>
  <c r="AH106" i="4"/>
  <c r="T37" i="3"/>
  <c r="S37" i="3"/>
  <c r="AD106" i="5"/>
  <c r="T38" i="3"/>
  <c r="S38" i="3"/>
  <c r="AE106" i="5"/>
  <c r="T39" i="3"/>
  <c r="S39" i="3"/>
  <c r="AG106" i="5"/>
  <c r="T40" i="3"/>
  <c r="S40" i="3"/>
  <c r="AF106" i="5"/>
  <c r="T41" i="3"/>
  <c r="S41" i="3"/>
  <c r="AH106" i="5"/>
  <c r="T42" i="3"/>
  <c r="S42" i="3"/>
  <c r="AK106" i="1"/>
  <c r="T43" i="3"/>
  <c r="S43" i="3"/>
  <c r="AL106" i="1"/>
  <c r="T44" i="3"/>
  <c r="S44" i="3"/>
  <c r="AN106" i="1"/>
  <c r="T45" i="3"/>
  <c r="S45" i="3"/>
  <c r="AM106" i="1"/>
  <c r="T46" i="3"/>
  <c r="S46" i="3"/>
  <c r="AO106" i="1"/>
  <c r="T47" i="3"/>
  <c r="S47" i="3"/>
  <c r="AK106" i="2"/>
  <c r="T48" i="3"/>
  <c r="S48" i="3"/>
  <c r="AL106" i="2"/>
  <c r="T49" i="3"/>
  <c r="S49" i="3"/>
  <c r="AN106" i="2"/>
  <c r="T50" i="3"/>
  <c r="S50" i="3"/>
  <c r="AM106" i="2"/>
  <c r="T51" i="3"/>
  <c r="S51" i="3"/>
  <c r="AO106" i="2"/>
  <c r="T52" i="3"/>
  <c r="S52" i="3"/>
  <c r="AK106" i="4"/>
  <c r="T53" i="3"/>
  <c r="S53" i="3"/>
  <c r="AL106" i="4"/>
  <c r="T54" i="3"/>
  <c r="S54" i="3"/>
  <c r="AN106" i="4"/>
  <c r="T55" i="3"/>
  <c r="S55" i="3"/>
  <c r="AM106" i="4"/>
  <c r="T56" i="3"/>
  <c r="S56" i="3"/>
  <c r="AO106" i="4"/>
  <c r="T57" i="3"/>
  <c r="S57" i="3"/>
  <c r="T58" i="3"/>
  <c r="S58" i="3"/>
  <c r="T59" i="3"/>
  <c r="S59" i="3"/>
  <c r="T60" i="3"/>
  <c r="S60" i="3"/>
  <c r="T61" i="3"/>
  <c r="S61" i="3"/>
  <c r="T62" i="3"/>
  <c r="S62" i="3"/>
  <c r="W106" i="1"/>
  <c r="T3" i="3"/>
  <c r="S3" i="3"/>
  <c r="M1" i="13"/>
  <c r="B1" i="13"/>
  <c r="I1" i="12"/>
  <c r="B1" i="12"/>
  <c r="I1" i="10"/>
  <c r="B1" i="10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J52" i="3"/>
  <c r="J51" i="3"/>
  <c r="J50" i="3"/>
  <c r="J49" i="3"/>
  <c r="J48" i="3"/>
  <c r="J62" i="3"/>
  <c r="J61" i="3"/>
  <c r="J60" i="3"/>
  <c r="J59" i="3"/>
  <c r="J58" i="3"/>
  <c r="J47" i="3"/>
  <c r="J46" i="3"/>
  <c r="J45" i="3"/>
  <c r="J44" i="3"/>
  <c r="J43" i="3"/>
  <c r="J42" i="3"/>
  <c r="J41" i="3"/>
  <c r="J40" i="3"/>
  <c r="J39" i="3"/>
  <c r="J38" i="3"/>
  <c r="J57" i="3"/>
  <c r="J56" i="3"/>
  <c r="J55" i="3"/>
  <c r="J54" i="3"/>
  <c r="J53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19" i="3"/>
  <c r="J20" i="3"/>
  <c r="J21" i="3"/>
  <c r="J22" i="3"/>
  <c r="J18" i="3"/>
  <c r="J17" i="3"/>
  <c r="J16" i="3"/>
  <c r="J15" i="3"/>
  <c r="J14" i="3"/>
  <c r="J13" i="3"/>
  <c r="J7" i="3"/>
  <c r="J6" i="3"/>
  <c r="J5" i="3"/>
  <c r="J4" i="3"/>
  <c r="J3" i="3"/>
  <c r="J8" i="3"/>
  <c r="J9" i="3"/>
  <c r="J10" i="3"/>
  <c r="J11" i="3"/>
  <c r="J12" i="3"/>
  <c r="W62" i="3"/>
  <c r="V62" i="3"/>
  <c r="U62" i="3"/>
  <c r="W61" i="3"/>
  <c r="V61" i="3"/>
  <c r="U61" i="3"/>
  <c r="W60" i="3"/>
  <c r="V60" i="3"/>
  <c r="U60" i="3"/>
  <c r="W59" i="3"/>
  <c r="V59" i="3"/>
  <c r="U59" i="3"/>
  <c r="W58" i="3"/>
  <c r="V58" i="3"/>
  <c r="U58" i="3"/>
  <c r="AO109" i="4"/>
  <c r="W57" i="3"/>
  <c r="AO108" i="4"/>
  <c r="V57" i="3"/>
  <c r="AO107" i="4"/>
  <c r="U57" i="3"/>
  <c r="AM109" i="4"/>
  <c r="W56" i="3"/>
  <c r="AM108" i="4"/>
  <c r="V56" i="3"/>
  <c r="AM107" i="4"/>
  <c r="U56" i="3"/>
  <c r="AN109" i="4"/>
  <c r="W55" i="3"/>
  <c r="AN108" i="4"/>
  <c r="V55" i="3"/>
  <c r="AN107" i="4"/>
  <c r="U55" i="3"/>
  <c r="AL109" i="4"/>
  <c r="W54" i="3"/>
  <c r="AL108" i="4"/>
  <c r="V54" i="3"/>
  <c r="AL107" i="4"/>
  <c r="U54" i="3"/>
  <c r="AK109" i="4"/>
  <c r="W53" i="3"/>
  <c r="AK108" i="4"/>
  <c r="V53" i="3"/>
  <c r="AK107" i="4"/>
  <c r="U53" i="3"/>
  <c r="AO109" i="2"/>
  <c r="W52" i="3"/>
  <c r="AO108" i="2"/>
  <c r="V52" i="3"/>
  <c r="AO107" i="2"/>
  <c r="U52" i="3"/>
  <c r="AM109" i="2"/>
  <c r="W51" i="3"/>
  <c r="AM108" i="2"/>
  <c r="V51" i="3"/>
  <c r="AM107" i="2"/>
  <c r="U51" i="3"/>
  <c r="AN109" i="2"/>
  <c r="W50" i="3"/>
  <c r="AN108" i="2"/>
  <c r="V50" i="3"/>
  <c r="AN107" i="2"/>
  <c r="U50" i="3"/>
  <c r="AL109" i="2"/>
  <c r="W49" i="3"/>
  <c r="AL108" i="2"/>
  <c r="V49" i="3"/>
  <c r="AL107" i="2"/>
  <c r="U49" i="3"/>
  <c r="AK109" i="1"/>
  <c r="W48" i="3"/>
  <c r="AK108" i="1"/>
  <c r="V48" i="3"/>
  <c r="AK107" i="1"/>
  <c r="U48" i="3"/>
  <c r="AO109" i="1"/>
  <c r="W47" i="3"/>
  <c r="AO108" i="1"/>
  <c r="V47" i="3"/>
  <c r="AO107" i="1"/>
  <c r="U47" i="3"/>
  <c r="AM109" i="1"/>
  <c r="W46" i="3"/>
  <c r="AM108" i="1"/>
  <c r="V46" i="3"/>
  <c r="AM107" i="1"/>
  <c r="U46" i="3"/>
  <c r="AN109" i="1"/>
  <c r="W45" i="3"/>
  <c r="AN108" i="1"/>
  <c r="V45" i="3"/>
  <c r="AN107" i="1"/>
  <c r="U45" i="3"/>
  <c r="AL109" i="1"/>
  <c r="W44" i="3"/>
  <c r="AL108" i="1"/>
  <c r="V44" i="3"/>
  <c r="AL107" i="1"/>
  <c r="U44" i="3"/>
  <c r="W43" i="3"/>
  <c r="V43" i="3"/>
  <c r="U43" i="3"/>
  <c r="AH109" i="5"/>
  <c r="W42" i="3"/>
  <c r="AH108" i="5"/>
  <c r="V42" i="3"/>
  <c r="AH107" i="5"/>
  <c r="U42" i="3"/>
  <c r="AF109" i="5"/>
  <c r="W41" i="3"/>
  <c r="AF108" i="5"/>
  <c r="V41" i="3"/>
  <c r="AF107" i="5"/>
  <c r="U41" i="3"/>
  <c r="AG109" i="5"/>
  <c r="W40" i="3"/>
  <c r="AG108" i="5"/>
  <c r="V40" i="3"/>
  <c r="AG107" i="5"/>
  <c r="U40" i="3"/>
  <c r="AE109" i="5"/>
  <c r="W39" i="3"/>
  <c r="AE108" i="5"/>
  <c r="V39" i="3"/>
  <c r="AE107" i="5"/>
  <c r="U39" i="3"/>
  <c r="AD109" i="5"/>
  <c r="W38" i="3"/>
  <c r="AD108" i="5"/>
  <c r="V38" i="3"/>
  <c r="AD107" i="5"/>
  <c r="U38" i="3"/>
  <c r="AH109" i="4"/>
  <c r="W37" i="3"/>
  <c r="AH108" i="4"/>
  <c r="V37" i="3"/>
  <c r="AH107" i="4"/>
  <c r="U37" i="3"/>
  <c r="AF109" i="4"/>
  <c r="W36" i="3"/>
  <c r="AF108" i="4"/>
  <c r="V36" i="3"/>
  <c r="AF107" i="4"/>
  <c r="U36" i="3"/>
  <c r="AG109" i="4"/>
  <c r="W35" i="3"/>
  <c r="AG108" i="4"/>
  <c r="V35" i="3"/>
  <c r="AG107" i="4"/>
  <c r="U35" i="3"/>
  <c r="AE109" i="4"/>
  <c r="W34" i="3"/>
  <c r="AE108" i="4"/>
  <c r="V34" i="3"/>
  <c r="AE107" i="4"/>
  <c r="U34" i="3"/>
  <c r="AD109" i="4"/>
  <c r="W33" i="3"/>
  <c r="AD108" i="4"/>
  <c r="V33" i="3"/>
  <c r="AD107" i="4"/>
  <c r="U33" i="3"/>
  <c r="AH109" i="2"/>
  <c r="W32" i="3"/>
  <c r="AH108" i="2"/>
  <c r="V32" i="3"/>
  <c r="AH107" i="2"/>
  <c r="U32" i="3"/>
  <c r="AF109" i="2"/>
  <c r="W31" i="3"/>
  <c r="AF108" i="2"/>
  <c r="V31" i="3"/>
  <c r="AF107" i="2"/>
  <c r="U31" i="3"/>
  <c r="AG109" i="2"/>
  <c r="W30" i="3"/>
  <c r="AG108" i="2"/>
  <c r="V30" i="3"/>
  <c r="AG107" i="2"/>
  <c r="U30" i="3"/>
  <c r="AE109" i="2"/>
  <c r="W29" i="3"/>
  <c r="AE108" i="2"/>
  <c r="V29" i="3"/>
  <c r="AE107" i="2"/>
  <c r="U29" i="3"/>
  <c r="AD109" i="2"/>
  <c r="W28" i="3"/>
  <c r="AD108" i="2"/>
  <c r="V28" i="3"/>
  <c r="AD107" i="2"/>
  <c r="U28" i="3"/>
  <c r="AH109" i="1"/>
  <c r="W27" i="3"/>
  <c r="AH108" i="1"/>
  <c r="V27" i="3"/>
  <c r="AH107" i="1"/>
  <c r="U27" i="3"/>
  <c r="AF109" i="1"/>
  <c r="W26" i="3"/>
  <c r="AF108" i="1"/>
  <c r="V26" i="3"/>
  <c r="AF107" i="1"/>
  <c r="U26" i="3"/>
  <c r="AG109" i="1"/>
  <c r="W25" i="3"/>
  <c r="AG108" i="1"/>
  <c r="V25" i="3"/>
  <c r="AG107" i="1"/>
  <c r="U25" i="3"/>
  <c r="AE109" i="1"/>
  <c r="W24" i="3"/>
  <c r="AE108" i="1"/>
  <c r="V24" i="3"/>
  <c r="AE107" i="1"/>
  <c r="U24" i="3"/>
  <c r="AD109" i="1"/>
  <c r="W23" i="3"/>
  <c r="AD108" i="1"/>
  <c r="V23" i="3"/>
  <c r="AD107" i="1"/>
  <c r="U23" i="3"/>
  <c r="AA109" i="5"/>
  <c r="W22" i="3"/>
  <c r="AA108" i="5"/>
  <c r="V22" i="3"/>
  <c r="AA107" i="5"/>
  <c r="U22" i="3"/>
  <c r="Y109" i="5"/>
  <c r="W21" i="3"/>
  <c r="Y108" i="5"/>
  <c r="V21" i="3"/>
  <c r="Y107" i="5"/>
  <c r="U21" i="3"/>
  <c r="Z109" i="5"/>
  <c r="W20" i="3"/>
  <c r="Z108" i="5"/>
  <c r="V20" i="3"/>
  <c r="Z107" i="5"/>
  <c r="U20" i="3"/>
  <c r="X109" i="5"/>
  <c r="W19" i="3"/>
  <c r="X108" i="5"/>
  <c r="V19" i="3"/>
  <c r="X107" i="5"/>
  <c r="U19" i="3"/>
  <c r="W109" i="5"/>
  <c r="W18" i="3"/>
  <c r="W108" i="5"/>
  <c r="V18" i="3"/>
  <c r="W107" i="5"/>
  <c r="U18" i="3"/>
  <c r="AA109" i="4"/>
  <c r="W17" i="3"/>
  <c r="AA108" i="4"/>
  <c r="V17" i="3"/>
  <c r="AA107" i="4"/>
  <c r="U17" i="3"/>
  <c r="Y109" i="4"/>
  <c r="W16" i="3"/>
  <c r="Y108" i="4"/>
  <c r="V16" i="3"/>
  <c r="Y107" i="4"/>
  <c r="U16" i="3"/>
  <c r="Z109" i="4"/>
  <c r="W15" i="3"/>
  <c r="Z108" i="4"/>
  <c r="V15" i="3"/>
  <c r="Z107" i="4"/>
  <c r="U15" i="3"/>
  <c r="X109" i="4"/>
  <c r="W14" i="3"/>
  <c r="X108" i="4"/>
  <c r="V14" i="3"/>
  <c r="X107" i="4"/>
  <c r="U14" i="3"/>
  <c r="W109" i="4"/>
  <c r="W13" i="3"/>
  <c r="W108" i="4"/>
  <c r="V13" i="3"/>
  <c r="W107" i="4"/>
  <c r="U13" i="3"/>
  <c r="AA109" i="2"/>
  <c r="W12" i="3"/>
  <c r="AA108" i="2"/>
  <c r="V12" i="3"/>
  <c r="AA107" i="2"/>
  <c r="U12" i="3"/>
  <c r="Y109" i="2"/>
  <c r="W11" i="3"/>
  <c r="Y108" i="2"/>
  <c r="V11" i="3"/>
  <c r="Y107" i="2"/>
  <c r="U11" i="3"/>
  <c r="Z109" i="2"/>
  <c r="W10" i="3"/>
  <c r="Z108" i="2"/>
  <c r="V10" i="3"/>
  <c r="Z107" i="2"/>
  <c r="U10" i="3"/>
  <c r="X109" i="2"/>
  <c r="W9" i="3"/>
  <c r="X108" i="2"/>
  <c r="V9" i="3"/>
  <c r="X107" i="2"/>
  <c r="U9" i="3"/>
  <c r="W109" i="1"/>
  <c r="W8" i="3"/>
  <c r="W108" i="1"/>
  <c r="V8" i="3"/>
  <c r="W107" i="1"/>
  <c r="U8" i="3"/>
  <c r="AA109" i="1"/>
  <c r="W7" i="3"/>
  <c r="AA108" i="1"/>
  <c r="V7" i="3"/>
  <c r="AA107" i="1"/>
  <c r="U7" i="3"/>
  <c r="Y109" i="1"/>
  <c r="W6" i="3"/>
  <c r="Y108" i="1"/>
  <c r="V6" i="3"/>
  <c r="Y107" i="1"/>
  <c r="U6" i="3"/>
  <c r="Z109" i="1"/>
  <c r="W5" i="3"/>
  <c r="Z108" i="1"/>
  <c r="V5" i="3"/>
  <c r="Z107" i="1"/>
  <c r="U5" i="3"/>
  <c r="X109" i="1"/>
  <c r="W4" i="3"/>
  <c r="X108" i="1"/>
  <c r="V4" i="3"/>
  <c r="X107" i="1"/>
  <c r="U4" i="3"/>
  <c r="W3" i="3"/>
  <c r="V3" i="3"/>
  <c r="U3" i="3"/>
  <c r="T109" i="5"/>
  <c r="I62" i="3"/>
  <c r="T108" i="5"/>
  <c r="H62" i="3"/>
  <c r="T107" i="5"/>
  <c r="G62" i="3"/>
  <c r="R109" i="5"/>
  <c r="I61" i="3"/>
  <c r="R108" i="5"/>
  <c r="H61" i="3"/>
  <c r="R107" i="5"/>
  <c r="G61" i="3"/>
  <c r="S109" i="5"/>
  <c r="I60" i="3"/>
  <c r="S108" i="5"/>
  <c r="H60" i="3"/>
  <c r="S107" i="5"/>
  <c r="G60" i="3"/>
  <c r="Q109" i="5"/>
  <c r="I59" i="3"/>
  <c r="Q108" i="5"/>
  <c r="H59" i="3"/>
  <c r="Q107" i="5"/>
  <c r="G59" i="3"/>
  <c r="P109" i="5"/>
  <c r="I58" i="3"/>
  <c r="P108" i="5"/>
  <c r="H58" i="3"/>
  <c r="P107" i="5"/>
  <c r="G58" i="3"/>
  <c r="M109" i="5"/>
  <c r="I42" i="3"/>
  <c r="M108" i="5"/>
  <c r="H42" i="3"/>
  <c r="M107" i="5"/>
  <c r="G42" i="3"/>
  <c r="K109" i="5"/>
  <c r="I41" i="3"/>
  <c r="K108" i="5"/>
  <c r="H41" i="3"/>
  <c r="K107" i="5"/>
  <c r="G41" i="3"/>
  <c r="L109" i="5"/>
  <c r="I40" i="3"/>
  <c r="L108" i="5"/>
  <c r="H40" i="3"/>
  <c r="L107" i="5"/>
  <c r="G40" i="3"/>
  <c r="J109" i="5"/>
  <c r="I39" i="3"/>
  <c r="J108" i="5"/>
  <c r="H39" i="3"/>
  <c r="J107" i="5"/>
  <c r="G39" i="3"/>
  <c r="I109" i="5"/>
  <c r="I38" i="3"/>
  <c r="I108" i="5"/>
  <c r="H38" i="3"/>
  <c r="I107" i="5"/>
  <c r="G38" i="3"/>
  <c r="F109" i="5"/>
  <c r="I22" i="3"/>
  <c r="F108" i="5"/>
  <c r="H22" i="3"/>
  <c r="F107" i="5"/>
  <c r="G22" i="3"/>
  <c r="D109" i="5"/>
  <c r="I21" i="3"/>
  <c r="D108" i="5"/>
  <c r="H21" i="3"/>
  <c r="D107" i="5"/>
  <c r="G21" i="3"/>
  <c r="E109" i="5"/>
  <c r="I20" i="3"/>
  <c r="E108" i="5"/>
  <c r="H20" i="3"/>
  <c r="E107" i="5"/>
  <c r="G20" i="3"/>
  <c r="C109" i="5"/>
  <c r="I19" i="3"/>
  <c r="C108" i="5"/>
  <c r="H19" i="3"/>
  <c r="C107" i="5"/>
  <c r="G19" i="3"/>
  <c r="B109" i="5"/>
  <c r="I18" i="3"/>
  <c r="B108" i="5"/>
  <c r="H18" i="3"/>
  <c r="B107" i="5"/>
  <c r="G18" i="3"/>
  <c r="T109" i="4"/>
  <c r="I57" i="3"/>
  <c r="T108" i="4"/>
  <c r="H57" i="3"/>
  <c r="T107" i="4"/>
  <c r="G57" i="3"/>
  <c r="R109" i="4"/>
  <c r="I56" i="3"/>
  <c r="R108" i="4"/>
  <c r="H56" i="3"/>
  <c r="R107" i="4"/>
  <c r="G56" i="3"/>
  <c r="S109" i="4"/>
  <c r="I55" i="3"/>
  <c r="S108" i="4"/>
  <c r="H55" i="3"/>
  <c r="S107" i="4"/>
  <c r="G55" i="3"/>
  <c r="Q109" i="4"/>
  <c r="I54" i="3"/>
  <c r="Q108" i="4"/>
  <c r="H54" i="3"/>
  <c r="Q107" i="4"/>
  <c r="G54" i="3"/>
  <c r="P109" i="4"/>
  <c r="I53" i="3"/>
  <c r="P108" i="4"/>
  <c r="H53" i="3"/>
  <c r="P107" i="4"/>
  <c r="G53" i="3"/>
  <c r="M109" i="4"/>
  <c r="I37" i="3"/>
  <c r="M108" i="4"/>
  <c r="H37" i="3"/>
  <c r="M107" i="4"/>
  <c r="G37" i="3"/>
  <c r="K109" i="4"/>
  <c r="I36" i="3"/>
  <c r="K108" i="4"/>
  <c r="H36" i="3"/>
  <c r="K107" i="4"/>
  <c r="G36" i="3"/>
  <c r="L109" i="4"/>
  <c r="I35" i="3"/>
  <c r="L108" i="4"/>
  <c r="H35" i="3"/>
  <c r="L107" i="4"/>
  <c r="G35" i="3"/>
  <c r="J109" i="4"/>
  <c r="I34" i="3"/>
  <c r="J108" i="4"/>
  <c r="H34" i="3"/>
  <c r="J107" i="4"/>
  <c r="G34" i="3"/>
  <c r="I109" i="4"/>
  <c r="I33" i="3"/>
  <c r="I108" i="4"/>
  <c r="H33" i="3"/>
  <c r="I107" i="4"/>
  <c r="G33" i="3"/>
  <c r="F109" i="4"/>
  <c r="I17" i="3"/>
  <c r="F108" i="4"/>
  <c r="H17" i="3"/>
  <c r="F107" i="4"/>
  <c r="G17" i="3"/>
  <c r="D109" i="4"/>
  <c r="I16" i="3"/>
  <c r="D108" i="4"/>
  <c r="H16" i="3"/>
  <c r="D107" i="4"/>
  <c r="G16" i="3"/>
  <c r="E109" i="4"/>
  <c r="I15" i="3"/>
  <c r="E108" i="4"/>
  <c r="H15" i="3"/>
  <c r="E107" i="4"/>
  <c r="G15" i="3"/>
  <c r="C109" i="4"/>
  <c r="I14" i="3"/>
  <c r="C108" i="4"/>
  <c r="H14" i="3"/>
  <c r="C107" i="4"/>
  <c r="G14" i="3"/>
  <c r="B109" i="4"/>
  <c r="I13" i="3"/>
  <c r="B108" i="4"/>
  <c r="H13" i="3"/>
  <c r="B107" i="4"/>
  <c r="G13" i="3"/>
  <c r="AO109" i="5"/>
  <c r="AN109" i="5"/>
  <c r="AM109" i="5"/>
  <c r="AL109" i="5"/>
  <c r="AK109" i="5"/>
  <c r="AO108" i="5"/>
  <c r="AN108" i="5"/>
  <c r="AM108" i="5"/>
  <c r="AL108" i="5"/>
  <c r="AK108" i="5"/>
  <c r="AO107" i="5"/>
  <c r="AN107" i="5"/>
  <c r="AM107" i="5"/>
  <c r="AL107" i="5"/>
  <c r="AK107" i="5"/>
  <c r="AO106" i="5"/>
  <c r="AN106" i="5"/>
  <c r="AM106" i="5"/>
  <c r="AL106" i="5"/>
  <c r="AK106" i="5"/>
  <c r="T109" i="2"/>
  <c r="I52" i="3"/>
  <c r="T108" i="2"/>
  <c r="H52" i="3"/>
  <c r="T107" i="2"/>
  <c r="G52" i="3"/>
  <c r="R109" i="2"/>
  <c r="I51" i="3"/>
  <c r="R108" i="2"/>
  <c r="H51" i="3"/>
  <c r="R107" i="2"/>
  <c r="G51" i="3"/>
  <c r="S109" i="2"/>
  <c r="I50" i="3"/>
  <c r="S108" i="2"/>
  <c r="H50" i="3"/>
  <c r="S107" i="2"/>
  <c r="G50" i="3"/>
  <c r="Q109" i="2"/>
  <c r="I49" i="3"/>
  <c r="Q108" i="2"/>
  <c r="H49" i="3"/>
  <c r="Q107" i="2"/>
  <c r="G49" i="3"/>
  <c r="M109" i="2"/>
  <c r="I32" i="3"/>
  <c r="M108" i="2"/>
  <c r="H32" i="3"/>
  <c r="M107" i="2"/>
  <c r="G32" i="3"/>
  <c r="K109" i="2"/>
  <c r="I31" i="3"/>
  <c r="K108" i="2"/>
  <c r="H31" i="3"/>
  <c r="K107" i="2"/>
  <c r="G31" i="3"/>
  <c r="L109" i="2"/>
  <c r="I30" i="3"/>
  <c r="L108" i="2"/>
  <c r="H30" i="3"/>
  <c r="L107" i="2"/>
  <c r="G30" i="3"/>
  <c r="J109" i="2"/>
  <c r="I29" i="3"/>
  <c r="J108" i="2"/>
  <c r="H29" i="3"/>
  <c r="J107" i="2"/>
  <c r="G29" i="3"/>
  <c r="I109" i="2"/>
  <c r="I28" i="3"/>
  <c r="I108" i="2"/>
  <c r="H28" i="3"/>
  <c r="I107" i="2"/>
  <c r="G28" i="3"/>
  <c r="F109" i="2"/>
  <c r="I12" i="3"/>
  <c r="F108" i="2"/>
  <c r="H12" i="3"/>
  <c r="F107" i="2"/>
  <c r="G12" i="3"/>
  <c r="D109" i="2"/>
  <c r="I11" i="3"/>
  <c r="D108" i="2"/>
  <c r="H11" i="3"/>
  <c r="D107" i="2"/>
  <c r="G11" i="3"/>
  <c r="E109" i="2"/>
  <c r="I10" i="3"/>
  <c r="E108" i="2"/>
  <c r="H10" i="3"/>
  <c r="E107" i="2"/>
  <c r="G10" i="3"/>
  <c r="C109" i="2"/>
  <c r="I9" i="3"/>
  <c r="C108" i="2"/>
  <c r="H9" i="3"/>
  <c r="C107" i="2"/>
  <c r="G9" i="3"/>
  <c r="P109" i="1"/>
  <c r="I48" i="3"/>
  <c r="P108" i="1"/>
  <c r="H48" i="3"/>
  <c r="P107" i="1"/>
  <c r="G48" i="3"/>
  <c r="T109" i="1"/>
  <c r="I47" i="3"/>
  <c r="T108" i="1"/>
  <c r="H47" i="3"/>
  <c r="T107" i="1"/>
  <c r="G47" i="3"/>
  <c r="R109" i="1"/>
  <c r="I46" i="3"/>
  <c r="R108" i="1"/>
  <c r="H46" i="3"/>
  <c r="R107" i="1"/>
  <c r="G46" i="3"/>
  <c r="S109" i="1"/>
  <c r="I45" i="3"/>
  <c r="S108" i="1"/>
  <c r="H45" i="3"/>
  <c r="S107" i="1"/>
  <c r="G45" i="3"/>
  <c r="Q109" i="1"/>
  <c r="I44" i="3"/>
  <c r="Q108" i="1"/>
  <c r="H44" i="3"/>
  <c r="Q107" i="1"/>
  <c r="G44" i="3"/>
  <c r="I43" i="3"/>
  <c r="H43" i="3"/>
  <c r="G43" i="3"/>
  <c r="M109" i="1"/>
  <c r="I27" i="3"/>
  <c r="M108" i="1"/>
  <c r="H27" i="3"/>
  <c r="M107" i="1"/>
  <c r="G27" i="3"/>
  <c r="K109" i="1"/>
  <c r="I26" i="3"/>
  <c r="K108" i="1"/>
  <c r="H26" i="3"/>
  <c r="K107" i="1"/>
  <c r="G26" i="3"/>
  <c r="L109" i="1"/>
  <c r="I25" i="3"/>
  <c r="L108" i="1"/>
  <c r="H25" i="3"/>
  <c r="L107" i="1"/>
  <c r="G25" i="3"/>
  <c r="J109" i="1"/>
  <c r="I24" i="3"/>
  <c r="J108" i="1"/>
  <c r="H24" i="3"/>
  <c r="J107" i="1"/>
  <c r="G24" i="3"/>
  <c r="I109" i="1"/>
  <c r="I23" i="3"/>
  <c r="I108" i="1"/>
  <c r="H23" i="3"/>
  <c r="I107" i="1"/>
  <c r="G23" i="3"/>
  <c r="B107" i="1"/>
  <c r="G8" i="3"/>
  <c r="B108" i="1"/>
  <c r="H8" i="3"/>
  <c r="B109" i="1"/>
  <c r="I8" i="3"/>
  <c r="C107" i="1"/>
  <c r="G4" i="3"/>
  <c r="C108" i="1"/>
  <c r="H4" i="3"/>
  <c r="C109" i="1"/>
  <c r="I4" i="3"/>
  <c r="E107" i="1"/>
  <c r="G5" i="3"/>
  <c r="E108" i="1"/>
  <c r="H5" i="3"/>
  <c r="E109" i="1"/>
  <c r="I5" i="3"/>
  <c r="D107" i="1"/>
  <c r="G6" i="3"/>
  <c r="D108" i="1"/>
  <c r="H6" i="3"/>
  <c r="D109" i="1"/>
  <c r="I6" i="3"/>
  <c r="F107" i="1"/>
  <c r="G7" i="3"/>
  <c r="F108" i="1"/>
  <c r="H7" i="3"/>
  <c r="F109" i="1"/>
  <c r="I7" i="3"/>
  <c r="I3" i="3"/>
  <c r="H3" i="3"/>
  <c r="G3" i="3"/>
  <c r="AK109" i="2"/>
  <c r="W109" i="2"/>
  <c r="AK108" i="2"/>
  <c r="W108" i="2"/>
  <c r="AK107" i="2"/>
  <c r="W107" i="2"/>
  <c r="P109" i="2"/>
  <c r="P108" i="2"/>
  <c r="P107" i="2"/>
  <c r="B109" i="2"/>
  <c r="B108" i="2"/>
  <c r="B107" i="2"/>
</calcChain>
</file>

<file path=xl/sharedStrings.xml><?xml version="1.0" encoding="utf-8"?>
<sst xmlns="http://schemas.openxmlformats.org/spreadsheetml/2006/main" count="1002" uniqueCount="103">
  <si>
    <t>ECB</t>
  </si>
  <si>
    <t>CBC</t>
  </si>
  <si>
    <t>OFB</t>
  </si>
  <si>
    <t>CFB</t>
  </si>
  <si>
    <t>CTR</t>
  </si>
  <si>
    <t>Time</t>
  </si>
  <si>
    <t>(ms)</t>
  </si>
  <si>
    <t>Mode</t>
  </si>
  <si>
    <t>Average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</si>
  <si>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</si>
  <si>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</si>
  <si>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</si>
  <si>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</si>
  <si>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</si>
  <si>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</si>
  <si>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</si>
  <si>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</si>
  <si>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</si>
  <si>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</si>
  <si>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</si>
  <si>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</si>
  <si>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</si>
  <si>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</si>
  <si>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</si>
  <si>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</si>
  <si>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</si>
  <si>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</si>
  <si>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</si>
  <si>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</si>
  <si>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</si>
  <si>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</si>
  <si>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</si>
  <si>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</si>
  <si>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</si>
  <si>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</si>
  <si>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</si>
  <si>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</si>
  <si>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</si>
  <si>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</si>
  <si>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</si>
  <si>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</si>
  <si>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</si>
  <si>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</si>
  <si>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</si>
  <si>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</si>
  <si>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</si>
  <si>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</si>
  <si>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</si>
  <si>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</si>
  <si>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</si>
  <si>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</si>
  <si>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</si>
  <si>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</si>
  <si>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</si>
  <si>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</si>
  <si>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</si>
  <si>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</si>
  <si>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</si>
  <si>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</si>
  <si>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</si>
  <si>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</si>
  <si>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</si>
  <si>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</si>
  <si>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</si>
  <si>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</si>
  <si>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</si>
  <si>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</si>
  <si>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</si>
  <si>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Input Size (KB)</t>
  </si>
  <si>
    <t>Average (ms)</t>
  </si>
  <si>
    <t>Min (ms)</t>
  </si>
  <si>
    <t>Max (ms)</t>
  </si>
  <si>
    <t>Median (ms)</t>
  </si>
  <si>
    <t>Plain size (B)</t>
  </si>
  <si>
    <t>Cipher size (B)</t>
  </si>
  <si>
    <t xml:space="preserve">AES Encryption Performance Using </t>
  </si>
  <si>
    <t xml:space="preserve">AES Decryption Performance Using </t>
  </si>
  <si>
    <t>KB Input</t>
  </si>
  <si>
    <t>Key Size (B)</t>
  </si>
  <si>
    <t>Key Size (KB)</t>
  </si>
  <si>
    <t xml:space="preserve">Key Size (B) </t>
  </si>
  <si>
    <t>Mode_Key</t>
  </si>
  <si>
    <t>Throughput</t>
  </si>
  <si>
    <t>(All)</t>
  </si>
  <si>
    <t>Throughput (KB/s)</t>
  </si>
  <si>
    <t>Average of Throughput (KB/s)</t>
  </si>
  <si>
    <t>&lt;-- Change This</t>
  </si>
  <si>
    <t>Row Labels</t>
  </si>
  <si>
    <t>Values</t>
  </si>
  <si>
    <t>Average Time (ms)</t>
  </si>
  <si>
    <t>Max Time (ms)</t>
  </si>
  <si>
    <t>Min Time  (ms)</t>
  </si>
  <si>
    <t>Min Time (ms)</t>
  </si>
  <si>
    <t xml:space="preserve">30084.3   30.0096    30.301    30.066   30.2682   </t>
  </si>
  <si>
    <t xml:space="preserve">30108.7   30.3962    30.2184    30.6299   30.7729   </t>
  </si>
  <si>
    <t xml:space="preserve">30524.2   30.2066    30.8831    30.0625   30.4161   </t>
  </si>
  <si>
    <t xml:space="preserve">30105.8   30.6167    30.4967    30.8236   30.0272   </t>
  </si>
  <si>
    <t xml:space="preserve">30762.5   30.0824    31.5304    30.1918   30.4401   </t>
  </si>
  <si>
    <t xml:space="preserve">29935.9   30.3824    30.1299    30.5403   30.4131   </t>
  </si>
  <si>
    <t xml:space="preserve">30266.1   30.1318    31.0217    30.3248   30.7756   </t>
  </si>
  <si>
    <t xml:space="preserve">30341.4   30.5547    31.2244    31.3673   30.5852   </t>
  </si>
  <si>
    <t xml:space="preserve">31512   31.2972    30.9865    31.06   31.0676   </t>
  </si>
  <si>
    <t xml:space="preserve">30297   30.5267    30.4086    31.2158   30.2956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</si>
</sst>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  <fill>
      <patternFill patternType="solid">
        <fgColor rgb="FFFFC7CE"/>
        <bgColor rgb="FF000000"/>
      </patternFill>
    </fill>
  </fills>
  <borders count="2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196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7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8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0" fillId="5" borderId="10" xfId="0" applyFont="1" applyFill="1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2" fillId="4" borderId="0" xfId="0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7" fillId="8" borderId="18" xfId="0" applyFont="1" applyFill="1" applyBorder="1"/>
    <xf numFmtId="0" fontId="7" fillId="9" borderId="17" xfId="0" applyFont="1" applyFill="1" applyBorder="1"/>
    <xf numFmtId="0" fontId="7" fillId="9" borderId="19" xfId="0" applyFont="1" applyFill="1" applyBorder="1"/>
    <xf numFmtId="0" fontId="7" fillId="8" borderId="19" xfId="0" applyFont="1" applyFill="1" applyBorder="1"/>
    <xf numFmtId="0" fontId="7" fillId="9" borderId="20" xfId="0" applyFont="1" applyFill="1" applyBorder="1"/>
    <xf numFmtId="0" fontId="7" fillId="9" borderId="21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2" fillId="4" borderId="12" xfId="0" applyFont="1" applyFill="1" applyBorder="1"/>
    <xf numFmtId="0" fontId="0" fillId="5" borderId="22" xfId="0" applyFont="1" applyFill="1" applyBorder="1"/>
    <xf numFmtId="0" fontId="0" fillId="5" borderId="11" xfId="0" applyFont="1" applyFill="1" applyBorder="1"/>
    <xf numFmtId="0" fontId="0" fillId="6" borderId="23" xfId="0" applyFont="1" applyFill="1" applyBorder="1"/>
    <xf numFmtId="0" fontId="0" fillId="5" borderId="23" xfId="0" applyFont="1" applyFill="1" applyBorder="1"/>
    <xf numFmtId="20" fontId="0" fillId="0" borderId="0" xfId="0" applyNumberFormat="1"/>
    <xf numFmtId="164" fontId="0" fillId="0" borderId="0" xfId="0" applyNumberFormat="1"/>
    <xf numFmtId="164" fontId="0" fillId="5" borderId="11" xfId="0" applyNumberFormat="1" applyFont="1" applyFill="1" applyBorder="1"/>
    <xf numFmtId="164" fontId="0" fillId="6" borderId="10" xfId="0" applyNumberFormat="1" applyFont="1" applyFill="1" applyBorder="1"/>
    <xf numFmtId="164" fontId="0" fillId="5" borderId="10" xfId="0" applyNumberFormat="1" applyFont="1" applyFill="1" applyBorder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  <xf numFmtId="0" fontId="0" fillId="0" borderId="0" xfId="0" applyAlignment="1"/>
    <xf numFmtId="11" fontId="0" fillId="0" borderId="0" xfId="0" applyNumberFormat="1" applyBorder="1"/>
    <xf numFmtId="0" fontId="0" fillId="0" borderId="0" xfId="0" pivotButton="1" applyFont="1"/>
    <xf numFmtId="0" fontId="9" fillId="0" borderId="0" xfId="0" pivotButton="1" applyFont="1"/>
    <xf numFmtId="0" fontId="1" fillId="10" borderId="0" xfId="0" applyFont="1" applyFill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</cellXfs>
  <cellStyles count="19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Normal" xfId="0" builtinId="0"/>
  </cellStyles>
  <dxfs count="3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</font>
    </dxf>
    <dxf>
      <font>
        <b val="0"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Mode'!$B$6:$E$6</c:f>
              <c:numCache>
                <c:formatCode>General</c:formatCode>
                <c:ptCount val="4"/>
                <c:pt idx="0">
                  <c:v>8.46033446134465</c:v>
                </c:pt>
                <c:pt idx="1">
                  <c:v>8.325609392204348</c:v>
                </c:pt>
                <c:pt idx="2">
                  <c:v>8.415773103845014</c:v>
                </c:pt>
                <c:pt idx="3">
                  <c:v>7.780272768719004</c:v>
                </c:pt>
              </c:numCache>
            </c:numRef>
          </c:val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Mode'!$B$7:$E$7</c:f>
              <c:numCache>
                <c:formatCode>General</c:formatCode>
                <c:ptCount val="4"/>
                <c:pt idx="0">
                  <c:v>8.427525471706093</c:v>
                </c:pt>
                <c:pt idx="1">
                  <c:v>8.306660114517955</c:v>
                </c:pt>
                <c:pt idx="2">
                  <c:v>8.392652760875357</c:v>
                </c:pt>
                <c:pt idx="3">
                  <c:v>7.796566066234882</c:v>
                </c:pt>
              </c:numCache>
            </c:numRef>
          </c:val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Mode'!$B$8:$E$8</c:f>
              <c:numCache>
                <c:formatCode>General</c:formatCode>
                <c:ptCount val="4"/>
                <c:pt idx="0">
                  <c:v>8.505227497664622</c:v>
                </c:pt>
                <c:pt idx="1">
                  <c:v>8.354628698182858</c:v>
                </c:pt>
                <c:pt idx="2">
                  <c:v>8.45042949458783</c:v>
                </c:pt>
                <c:pt idx="3">
                  <c:v>7.795180885220572</c:v>
                </c:pt>
              </c:numCache>
            </c:numRef>
          </c:val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Mode'!$B$9:$E$9</c:f>
              <c:numCache>
                <c:formatCode>General</c:formatCode>
                <c:ptCount val="4"/>
                <c:pt idx="0">
                  <c:v>0.00845551055909437</c:v>
                </c:pt>
                <c:pt idx="1">
                  <c:v>0.0083327206481573</c:v>
                </c:pt>
                <c:pt idx="2">
                  <c:v>0.00842588605538581</c:v>
                </c:pt>
                <c:pt idx="3">
                  <c:v>0.00783298579689801</c:v>
                </c:pt>
              </c:numCache>
            </c:numRef>
          </c:val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Mode'!$B$10:$E$10</c:f>
              <c:numCache>
                <c:formatCode>General</c:formatCode>
                <c:ptCount val="4"/>
                <c:pt idx="0">
                  <c:v>8.447564748876418</c:v>
                </c:pt>
                <c:pt idx="1">
                  <c:v>8.322933495361384</c:v>
                </c:pt>
                <c:pt idx="2">
                  <c:v>8.333742307931557</c:v>
                </c:pt>
                <c:pt idx="3">
                  <c:v>7.935032972681472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667048"/>
        <c:axId val="2107659720"/>
      </c:barChart>
      <c:catAx>
        <c:axId val="2107667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7659720"/>
        <c:crossesAt val="0.0"/>
        <c:auto val="1"/>
        <c:lblAlgn val="ctr"/>
        <c:lblOffset val="100"/>
        <c:noMultiLvlLbl val="0"/>
      </c:catAx>
      <c:valAx>
        <c:axId val="2107659720"/>
        <c:scaling>
          <c:logBase val="10.0"/>
          <c:orientation val="minMax"/>
          <c:min val="1.0E-8"/>
        </c:scaling>
        <c:delete val="0"/>
        <c:axPos val="l"/>
        <c:majorGridlines/>
        <c:title>
          <c:tx>
            <c:strRef>
              <c:f>'Input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107667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Mode'!$I$6:$L$6</c:f>
              <c:numCache>
                <c:formatCode>General</c:formatCode>
                <c:ptCount val="4"/>
                <c:pt idx="0">
                  <c:v>0.015158459595602</c:v>
                </c:pt>
                <c:pt idx="1">
                  <c:v>0.0138643265052048</c:v>
                </c:pt>
                <c:pt idx="2">
                  <c:v>0.0139554555831834</c:v>
                </c:pt>
                <c:pt idx="3">
                  <c:v>0.0136138112940955</c:v>
                </c:pt>
              </c:numCache>
            </c:numRef>
          </c:val>
        </c:ser>
        <c:ser>
          <c:idx val="1"/>
          <c:order val="1"/>
          <c:tx>
            <c:strRef>
              <c:f>'Input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Mode'!$I$7:$L$7</c:f>
              <c:numCache>
                <c:formatCode>General</c:formatCode>
                <c:ptCount val="4"/>
                <c:pt idx="0">
                  <c:v>0.00615676843898069</c:v>
                </c:pt>
                <c:pt idx="1">
                  <c:v>0.00581341569026211</c:v>
                </c:pt>
                <c:pt idx="2">
                  <c:v>0.00571457802996242</c:v>
                </c:pt>
                <c:pt idx="3">
                  <c:v>0.00621788128116776</c:v>
                </c:pt>
              </c:numCache>
            </c:numRef>
          </c:val>
        </c:ser>
        <c:ser>
          <c:idx val="2"/>
          <c:order val="2"/>
          <c:tx>
            <c:strRef>
              <c:f>'Input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Mode'!$I$8:$L$8</c:f>
              <c:numCache>
                <c:formatCode>General</c:formatCode>
                <c:ptCount val="4"/>
                <c:pt idx="0">
                  <c:v>0.006913158935851</c:v>
                </c:pt>
                <c:pt idx="1">
                  <c:v>0.00646727633663719</c:v>
                </c:pt>
                <c:pt idx="2">
                  <c:v>0.00646497828083818</c:v>
                </c:pt>
                <c:pt idx="3">
                  <c:v>0.00646920321166409</c:v>
                </c:pt>
              </c:numCache>
            </c:numRef>
          </c:val>
        </c:ser>
        <c:ser>
          <c:idx val="3"/>
          <c:order val="3"/>
          <c:tx>
            <c:strRef>
              <c:f>'Input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Mode'!$I$9:$L$9</c:f>
              <c:numCache>
                <c:formatCode>General</c:formatCode>
                <c:ptCount val="4"/>
                <c:pt idx="0">
                  <c:v>0.0150921635764357</c:v>
                </c:pt>
                <c:pt idx="1">
                  <c:v>0.0140415722217546</c:v>
                </c:pt>
                <c:pt idx="2">
                  <c:v>0.0136983335307699</c:v>
                </c:pt>
                <c:pt idx="3">
                  <c:v>0.0113645473649676</c:v>
                </c:pt>
              </c:numCache>
            </c:numRef>
          </c:val>
        </c:ser>
        <c:ser>
          <c:idx val="4"/>
          <c:order val="4"/>
          <c:tx>
            <c:strRef>
              <c:f>'Input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Mode'!$I$10:$L$10</c:f>
              <c:numCache>
                <c:formatCode>General</c:formatCode>
                <c:ptCount val="4"/>
                <c:pt idx="0">
                  <c:v>0.00701940825332361</c:v>
                </c:pt>
                <c:pt idx="1">
                  <c:v>0.00656160153337445</c:v>
                </c:pt>
                <c:pt idx="2">
                  <c:v>0.00652797813145757</c:v>
                </c:pt>
                <c:pt idx="3">
                  <c:v>0.00650175230155956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0945128"/>
        <c:axId val="2110951080"/>
      </c:barChart>
      <c:catAx>
        <c:axId val="2110945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0951080"/>
        <c:crossesAt val="0.0"/>
        <c:auto val="1"/>
        <c:lblAlgn val="ctr"/>
        <c:lblOffset val="100"/>
        <c:noMultiLvlLbl val="0"/>
      </c:catAx>
      <c:valAx>
        <c:axId val="2110951080"/>
        <c:scaling>
          <c:logBase val="2.0"/>
          <c:orientation val="minMax"/>
        </c:scaling>
        <c:delete val="0"/>
        <c:axPos val="l"/>
        <c:majorGridlines/>
        <c:title>
          <c:tx>
            <c:strRef>
              <c:f>'Input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crossAx val="2110945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(All) KB Input</c:v>
            </c:pt>
          </c:strCache>
        </c:strRef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General</c:formatCode>
                <c:ptCount val="3"/>
                <c:pt idx="0">
                  <c:v>0.0137840173246481</c:v>
                </c:pt>
                <c:pt idx="1">
                  <c:v>0.0145052094265766</c:v>
                </c:pt>
                <c:pt idx="2">
                  <c:v>0.0141548129823396</c:v>
                </c:pt>
              </c:numCache>
            </c:numRef>
          </c:val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0.00000</c:formatCode>
                <c:ptCount val="3"/>
                <c:pt idx="0">
                  <c:v>0.00583914536377645</c:v>
                </c:pt>
                <c:pt idx="1">
                  <c:v>0.00572929608157043</c:v>
                </c:pt>
                <c:pt idx="2">
                  <c:v>0.00635854113493285</c:v>
                </c:pt>
              </c:numCache>
            </c:numRef>
          </c:val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0.00000</c:formatCode>
                <c:ptCount val="3"/>
                <c:pt idx="0">
                  <c:v>0.00641164519769849</c:v>
                </c:pt>
                <c:pt idx="1">
                  <c:v>0.00669901345383955</c:v>
                </c:pt>
                <c:pt idx="2">
                  <c:v>0.0066253039222048</c:v>
                </c:pt>
              </c:numCache>
            </c:numRef>
          </c:val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0.00000</c:formatCode>
                <c:ptCount val="3"/>
                <c:pt idx="0">
                  <c:v>0.0123144454464393</c:v>
                </c:pt>
                <c:pt idx="1">
                  <c:v>0.0142260080239021</c:v>
                </c:pt>
                <c:pt idx="2">
                  <c:v>0.0141070090501045</c:v>
                </c:pt>
              </c:numCache>
            </c:numRef>
          </c:val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0.00000</c:formatCode>
                <c:ptCount val="3"/>
                <c:pt idx="0">
                  <c:v>0.00646366974142301</c:v>
                </c:pt>
                <c:pt idx="1">
                  <c:v>0.0067986680272189</c:v>
                </c:pt>
                <c:pt idx="2">
                  <c:v>0.00669571739614448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017144"/>
        <c:axId val="2111022696"/>
      </c:barChart>
      <c:catAx>
        <c:axId val="2111017144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111022696"/>
        <c:crossesAt val="0.0"/>
        <c:auto val="1"/>
        <c:lblAlgn val="ctr"/>
        <c:lblOffset val="100"/>
        <c:noMultiLvlLbl val="0"/>
      </c:catAx>
      <c:valAx>
        <c:axId val="2111022696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111017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(All) KB Input</c:v>
            </c:pt>
          </c:strCache>
        </c:strRef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General</c:formatCode>
                <c:ptCount val="3"/>
                <c:pt idx="0">
                  <c:v>7.995676433048351</c:v>
                </c:pt>
                <c:pt idx="1">
                  <c:v>8.339162639948428</c:v>
                </c:pt>
                <c:pt idx="2">
                  <c:v>8.401653221587983</c:v>
                </c:pt>
              </c:numCache>
            </c:numRef>
          </c:val>
        </c:ser>
        <c:ser>
          <c:idx val="1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0.00000</c:formatCode>
                <c:ptCount val="3"/>
                <c:pt idx="0">
                  <c:v>7.932616566412912</c:v>
                </c:pt>
                <c:pt idx="1">
                  <c:v>8.36200651368978</c:v>
                </c:pt>
                <c:pt idx="2">
                  <c:v>8.39793022989802</c:v>
                </c:pt>
              </c:numCache>
            </c:numRef>
          </c:val>
        </c:ser>
        <c:ser>
          <c:idx val="2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0.00000</c:formatCode>
                <c:ptCount val="3"/>
                <c:pt idx="0">
                  <c:v>8.062226206409615</c:v>
                </c:pt>
                <c:pt idx="1">
                  <c:v>8.318145075177445</c:v>
                </c:pt>
                <c:pt idx="2">
                  <c:v>8.448728650154852</c:v>
                </c:pt>
              </c:numCache>
            </c:numRef>
          </c:val>
        </c:ser>
        <c:ser>
          <c:idx val="3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0.00000</c:formatCode>
                <c:ptCount val="3"/>
                <c:pt idx="0">
                  <c:v>0.00800774001153202</c:v>
                </c:pt>
                <c:pt idx="1">
                  <c:v>0.00836371098580259</c:v>
                </c:pt>
                <c:pt idx="2">
                  <c:v>0.008413876297317</c:v>
                </c:pt>
              </c:numCache>
            </c:numRef>
          </c:val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0.00000</c:formatCode>
                <c:ptCount val="3"/>
                <c:pt idx="0">
                  <c:v>8.031260376566251</c:v>
                </c:pt>
                <c:pt idx="1">
                  <c:v>8.36573656805824</c:v>
                </c:pt>
                <c:pt idx="2">
                  <c:v>8.38245819901363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069016"/>
        <c:axId val="2111074568"/>
      </c:barChart>
      <c:catAx>
        <c:axId val="2111069016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111074568"/>
        <c:crossesAt val="0.0"/>
        <c:auto val="1"/>
        <c:lblAlgn val="ctr"/>
        <c:lblOffset val="100"/>
        <c:noMultiLvlLbl val="0"/>
      </c:catAx>
      <c:valAx>
        <c:axId val="2111074568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111069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Size'!$L$1:$N$1</c:f>
          <c:strCache>
            <c:ptCount val="1"/>
            <c:pt idx="0">
              <c:v>AES Decryption Performance Using  (All) Mode</c:v>
            </c:pt>
          </c:strCache>
        </c:strRef>
      </c:tx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Input Size'!$M$5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Size'!$M$6:$M$9</c:f>
              <c:numCache>
                <c:formatCode>General</c:formatCode>
                <c:ptCount val="4"/>
                <c:pt idx="0">
                  <c:v>0.0101656726142125</c:v>
                </c:pt>
                <c:pt idx="1">
                  <c:v>0.00908066114513019</c:v>
                </c:pt>
                <c:pt idx="2">
                  <c:v>0.00935873024739781</c:v>
                </c:pt>
                <c:pt idx="3">
                  <c:v>0.00724527445244782</c:v>
                </c:pt>
              </c:numCache>
            </c:numRef>
          </c:val>
        </c:ser>
        <c:ser>
          <c:idx val="1"/>
          <c:order val="1"/>
          <c:tx>
            <c:strRef>
              <c:f>'Key Size per Input Size'!$N$5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Size'!$N$6:$N$9</c:f>
              <c:numCache>
                <c:formatCode>General</c:formatCode>
                <c:ptCount val="4"/>
                <c:pt idx="0">
                  <c:v>0.00999628943221189</c:v>
                </c:pt>
                <c:pt idx="1">
                  <c:v>0.00951373244138863</c:v>
                </c:pt>
                <c:pt idx="2">
                  <c:v>0.00920557756781454</c:v>
                </c:pt>
                <c:pt idx="3">
                  <c:v>0.00965095656907095</c:v>
                </c:pt>
              </c:numCache>
            </c:numRef>
          </c:val>
        </c:ser>
        <c:ser>
          <c:idx val="2"/>
          <c:order val="2"/>
          <c:tx>
            <c:strRef>
              <c:f>'Key Size per Input Size'!$O$5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Size'!$O$6:$O$9</c:f>
              <c:numCache>
                <c:formatCode>General</c:formatCode>
                <c:ptCount val="4"/>
                <c:pt idx="0">
                  <c:v>0.0100420132336915</c:v>
                </c:pt>
                <c:pt idx="1">
                  <c:v>0.00945452178582108</c:v>
                </c:pt>
                <c:pt idx="2">
                  <c:v>0.00925248631851455</c:v>
                </c:pt>
                <c:pt idx="3">
                  <c:v>0.00960408625055388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130984"/>
        <c:axId val="2111136360"/>
      </c:barChart>
      <c:catAx>
        <c:axId val="2111130984"/>
        <c:scaling>
          <c:orientation val="minMax"/>
        </c:scaling>
        <c:delete val="0"/>
        <c:axPos val="b"/>
        <c:title>
          <c:tx>
            <c:strRef>
              <c:f>'Key Size per Input Size'!$L$5</c:f>
              <c:strCache>
                <c:ptCount val="1"/>
                <c:pt idx="0">
                  <c:v>Input Size (KB)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111136360"/>
        <c:crossesAt val="0.0"/>
        <c:auto val="1"/>
        <c:lblAlgn val="ctr"/>
        <c:lblOffset val="100"/>
        <c:noMultiLvlLbl val="0"/>
      </c:catAx>
      <c:valAx>
        <c:axId val="2111136360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Input Size'!$L$4</c:f>
              <c:strCache>
                <c:ptCount val="1"/>
                <c:pt idx="0">
                  <c:v>Average of Throughput (KB/s)</c:v>
                </c:pt>
              </c:strCache>
            </c:strRef>
          </c:tx>
          <c:layout>
            <c:manualLayout>
              <c:xMode val="edge"/>
              <c:yMode val="edge"/>
              <c:x val="0.0324776963086036"/>
              <c:y val="0.343317890496246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111130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(All) Mode</c:v>
            </c:pt>
          </c:strCache>
        </c:strRef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Size'!$B$6:$B$9</c:f>
              <c:numCache>
                <c:formatCode>General</c:formatCode>
                <c:ptCount val="4"/>
                <c:pt idx="0">
                  <c:v>6.819275715862175</c:v>
                </c:pt>
                <c:pt idx="1">
                  <c:v>6.59668410785534</c:v>
                </c:pt>
                <c:pt idx="2">
                  <c:v>6.679094223719114</c:v>
                </c:pt>
                <c:pt idx="3">
                  <c:v>5.528775810522299</c:v>
                </c:pt>
              </c:numCache>
            </c:numRef>
          </c:val>
        </c:ser>
        <c:ser>
          <c:idx val="2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Size'!$C$6:$C$9</c:f>
              <c:numCache>
                <c:formatCode>General</c:formatCode>
                <c:ptCount val="4"/>
                <c:pt idx="0">
                  <c:v>6.69670832082028</c:v>
                </c:pt>
                <c:pt idx="1">
                  <c:v>6.765654527860569</c:v>
                </c:pt>
                <c:pt idx="2">
                  <c:v>6.728814712800103</c:v>
                </c:pt>
                <c:pt idx="3">
                  <c:v>6.52355404480681</c:v>
                </c:pt>
              </c:numCache>
            </c:numRef>
          </c:val>
        </c:ser>
        <c:ser>
          <c:idx val="3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Size'!$D$6:$D$9</c:f>
              <c:numCache>
                <c:formatCode>General</c:formatCode>
                <c:ptCount val="4"/>
                <c:pt idx="0">
                  <c:v>6.793480577408071</c:v>
                </c:pt>
                <c:pt idx="1">
                  <c:v>6.628560016832912</c:v>
                </c:pt>
                <c:pt idx="2">
                  <c:v>6.752705195457868</c:v>
                </c:pt>
                <c:pt idx="3">
                  <c:v>6.736601551862588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9498280"/>
        <c:axId val="2097164280"/>
      </c:barChart>
      <c:catAx>
        <c:axId val="2099498280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(KB)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097164280"/>
        <c:crossesAt val="0.0"/>
        <c:auto val="1"/>
        <c:lblAlgn val="ctr"/>
        <c:lblOffset val="100"/>
        <c:noMultiLvlLbl val="0"/>
      </c:catAx>
      <c:valAx>
        <c:axId val="2097164280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Input Size'!$A$4</c:f>
              <c:strCache>
                <c:ptCount val="1"/>
                <c:pt idx="0">
                  <c:v>Average of Throughput (KB/s)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99498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18</xdr:row>
      <xdr:rowOff>114300</xdr:rowOff>
    </xdr:from>
    <xdr:to>
      <xdr:col>6</xdr:col>
      <xdr:colOff>901700</xdr:colOff>
      <xdr:row>44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18</xdr:row>
      <xdr:rowOff>38100</xdr:rowOff>
    </xdr:from>
    <xdr:to>
      <xdr:col>14</xdr:col>
      <xdr:colOff>330200</xdr:colOff>
      <xdr:row>44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863600</xdr:colOff>
      <xdr:row>16</xdr:row>
      <xdr:rowOff>12700</xdr:rowOff>
    </xdr:from>
    <xdr:to>
      <xdr:col>16</xdr:col>
      <xdr:colOff>292100</xdr:colOff>
      <xdr:row>45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152400</xdr:rowOff>
    </xdr:from>
    <xdr:to>
      <xdr:col>7</xdr:col>
      <xdr:colOff>241300</xdr:colOff>
      <xdr:row>45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15</xdr:row>
      <xdr:rowOff>177800</xdr:rowOff>
    </xdr:from>
    <xdr:to>
      <xdr:col>18</xdr:col>
      <xdr:colOff>342900</xdr:colOff>
      <xdr:row>44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127000</xdr:rowOff>
    </xdr:from>
    <xdr:to>
      <xdr:col>20</xdr:col>
      <xdr:colOff>186748</xdr:colOff>
      <xdr:row>28</xdr:row>
      <xdr:rowOff>7610</xdr:rowOff>
    </xdr:to>
    <xdr:sp macro="" textlink="$M$4">
      <xdr:nvSpPr>
        <xdr:cNvPr id="5" name="TextBox 4"/>
        <xdr:cNvSpPr txBox="1"/>
      </xdr:nvSpPr>
      <xdr:spPr>
        <a:xfrm>
          <a:off x="16814800" y="4889500"/>
          <a:ext cx="101224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2A9F3628-E781-7342-B9CE-63C860A2BB3F}" type="TxLink">
            <a:rPr lang="en-US" sz="1100"/>
            <a:pPr/>
            <a:t>Key Size (KB)</a:t>
          </a:fld>
          <a:endParaRPr lang="en-US" sz="1100"/>
        </a:p>
      </xdr:txBody>
    </xdr:sp>
    <xdr:clientData/>
  </xdr:twoCellAnchor>
  <xdr:twoCellAnchor>
    <xdr:from>
      <xdr:col>0</xdr:col>
      <xdr:colOff>63500</xdr:colOff>
      <xdr:row>16</xdr:row>
      <xdr:rowOff>0</xdr:rowOff>
    </xdr:from>
    <xdr:to>
      <xdr:col>8</xdr:col>
      <xdr:colOff>508000</xdr:colOff>
      <xdr:row>44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497.452439004628" missingItemsLimit="0" createdVersion="4" refreshedVersion="4" minRefreshableVersion="3" recordCount="60">
  <cacheSource type="worksheet">
    <worksheetSource name="SummaryEn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6.8539013289875298E-3" maxValue="8.5731522649282379"/>
    </cacheField>
    <cacheField name="Average (ms)" numFmtId="164">
      <sharedItems containsSemiMixedTypes="0" containsString="0" containsNumber="1" minValue="0.11664321" maxValue="37350.990000000005"/>
    </cacheField>
    <cacheField name="Min (ms)" numFmtId="164">
      <sharedItems containsSemiMixedTypes="0" containsString="0" containsNumber="1" minValue="0.113983" maxValue="32920.699999999997"/>
    </cacheField>
    <cacheField name="Max (ms)" numFmtId="164">
      <sharedItems containsSemiMixedTypes="0" containsString="0" containsNumber="1" minValue="0.138544" maxValue="41554"/>
    </cacheField>
    <cacheField name="Median (ms)" numFmtId="164">
      <sharedItems containsSemiMixedTypes="0" containsString="0" containsNumber="1" minValue="0.11533499999999999" maxValue="37727"/>
    </cacheField>
    <cacheField name="Cipher size (B)" numFmtId="0">
      <sharedItems containsSemiMixedTypes="0" containsString="0" containsNumber="1" containsInteger="1" minValue="32" maxValue="536870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497.455419212965" missingItemsLimit="0" createdVersion="4" refreshedVersion="4" minRefreshableVersion="3" recordCount="60">
  <cacheSource type="worksheet">
    <worksheetSource name="SummaryDe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4.8674063034508134E-3" maxValue="1.5396686386742589E-2"/>
    </cacheField>
    <cacheField name="Average (ms)" numFmtId="164">
      <sharedItems containsSemiMixedTypes="0" containsString="0" containsNumber="1" minValue="64.949040000000011" maxValue="44826.650000000009"/>
    </cacheField>
    <cacheField name="Min (ms)" numFmtId="164">
      <sharedItems containsSemiMixedTypes="0" containsString="0" containsNumber="1" minValue="63.256999999999998" maxValue="39332.1"/>
    </cacheField>
    <cacheField name="Max (ms)" numFmtId="164">
      <sharedItems containsSemiMixedTypes="0" containsString="0" containsNumber="1" minValue="90.796000000000006" maxValue="212627"/>
    </cacheField>
    <cacheField name="Median (ms)" numFmtId="164">
      <sharedItems containsSemiMixedTypes="0" containsString="0" containsNumber="1" minValue="64.066000000000003" maxValue="44299.4"/>
    </cacheField>
    <cacheField name="Plain size (B)" numFmtId="0">
      <sharedItems containsSemiMixedTypes="0" containsString="0" containsNumber="1" containsInteger="1" minValue="16" maxValue="2684354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8.4988216808680548E-3"/>
    <n v="117.66337000000003"/>
    <n v="113.931"/>
    <n v="150.25399999999999"/>
    <n v="116.059"/>
    <n v="64"/>
  </r>
  <r>
    <x v="1"/>
    <x v="0"/>
    <s v="CBC_16B"/>
    <x v="0"/>
    <n v="8.5269708942080893"/>
    <n v="0.11727493999999999"/>
    <n v="0.113983"/>
    <n v="0.16103500000000001"/>
    <n v="0.11547550000000001"/>
    <n v="64"/>
  </r>
  <r>
    <x v="2"/>
    <x v="0"/>
    <s v="CFB_16B"/>
    <x v="0"/>
    <n v="8.4848774877024429"/>
    <n v="0.11785674"/>
    <n v="0.114568"/>
    <n v="0.158217"/>
    <n v="0.11572199999999999"/>
    <n v="32"/>
  </r>
  <r>
    <x v="3"/>
    <x v="0"/>
    <s v="OFB_16B"/>
    <x v="0"/>
    <n v="8.5368752031776296"/>
    <n v="0.11713888"/>
    <n v="0.114009"/>
    <n v="0.14622599999999999"/>
    <n v="0.11551649999999999"/>
    <n v="32"/>
  </r>
  <r>
    <x v="4"/>
    <x v="0"/>
    <s v="CTR_16B"/>
    <x v="0"/>
    <n v="8.5391561725418494"/>
    <n v="0.11710758999999998"/>
    <n v="0.11405700000000001"/>
    <n v="0.140622"/>
    <n v="0.11533499999999999"/>
    <n v="32"/>
  </r>
  <r>
    <x v="0"/>
    <x v="0"/>
    <s v="ECB_16B"/>
    <x v="1"/>
    <n v="8.2182299011024779E-3"/>
    <n v="608.40352000000007"/>
    <n v="113.931"/>
    <n v="150.25399999999999"/>
    <n v="116.059"/>
    <n v="96"/>
  </r>
  <r>
    <x v="1"/>
    <x v="0"/>
    <s v="CBC_16B"/>
    <x v="1"/>
    <n v="8.2275437133922615"/>
    <n v="0.60771479000000017"/>
    <n v="0.58245800000000003"/>
    <n v="0.70157999999999998"/>
    <n v="0.60118199999999999"/>
    <n v="96"/>
  </r>
  <r>
    <x v="2"/>
    <x v="0"/>
    <s v="CFB_16B"/>
    <x v="1"/>
    <n v="8.2287773906375712"/>
    <n v="0.60762368000000011"/>
    <n v="0.58712900000000001"/>
    <n v="0.694268"/>
    <n v="0.60056500000000002"/>
    <n v="64"/>
  </r>
  <r>
    <x v="3"/>
    <x v="0"/>
    <s v="OFB_16B"/>
    <x v="1"/>
    <n v="8.245038045408851"/>
    <n v="0.60642534000000015"/>
    <n v="0.58478300000000005"/>
    <n v="0.70856600000000003"/>
    <n v="0.59886050000000002"/>
    <n v="64"/>
  </r>
  <r>
    <x v="4"/>
    <x v="0"/>
    <s v="CTR_16B"/>
    <x v="1"/>
    <n v="8.2738431599369129"/>
    <n v="0.60431409000000003"/>
    <n v="0.58232399999999995"/>
    <n v="0.71203099999999997"/>
    <n v="0.59882550000000001"/>
    <n v="64"/>
  </r>
  <r>
    <x v="0"/>
    <x v="0"/>
    <s v="ECB_16B"/>
    <x v="2"/>
    <n v="8.4600071351700196E-3"/>
    <n v="1182.0320999999997"/>
    <n v="1149.2"/>
    <n v="1678.15"/>
    <n v="1174.585"/>
    <n v="20971552"/>
  </r>
  <r>
    <x v="1"/>
    <x v="0"/>
    <s v="CBC_16B"/>
    <x v="2"/>
    <n v="8.4005376344086056"/>
    <n v="1.1903999999999997"/>
    <n v="1.1532800000000001"/>
    <n v="1.64988"/>
    <n v="1.1769350000000001"/>
    <n v="20971552"/>
  </r>
  <r>
    <x v="2"/>
    <x v="0"/>
    <s v="CFB_16B"/>
    <x v="2"/>
    <n v="8.3144546711313083"/>
    <n v="1.2027246999999999"/>
    <n v="1.1598299999999999"/>
    <n v="2.1463399999999999"/>
    <n v="1.18519"/>
    <n v="20971520"/>
  </r>
  <r>
    <x v="3"/>
    <x v="0"/>
    <s v="OFB_16B"/>
    <x v="2"/>
    <n v="8.193829964098736"/>
    <n v="1.2204304999999998"/>
    <n v="1.1619299999999999"/>
    <n v="3.12236"/>
    <n v="1.184145"/>
    <n v="20971520"/>
  </r>
  <r>
    <x v="4"/>
    <x v="0"/>
    <s v="CTR_16B"/>
    <x v="2"/>
    <n v="8.478188841821753"/>
    <n v="1.1794971999999999"/>
    <n v="1.1511800000000001"/>
    <n v="1.3801600000000001"/>
    <n v="1.1743649999999999"/>
    <n v="20971520"/>
  </r>
  <r>
    <x v="0"/>
    <x v="0"/>
    <s v="ECB_16B"/>
    <x v="3"/>
    <n v="6.8539013289875298E-3"/>
    <n v="37350.990000000005"/>
    <n v="32920.699999999997"/>
    <n v="41554"/>
    <n v="37727"/>
    <n v="536870944"/>
  </r>
  <r>
    <x v="1"/>
    <x v="0"/>
    <s v="CBC_16B"/>
    <x v="3"/>
    <n v="6.8276534901844483"/>
    <n v="37.494579999999999"/>
    <n v="33.158999999999999"/>
    <n v="41.776200000000003"/>
    <n v="37.652450000000002"/>
    <n v="536870944"/>
  </r>
  <r>
    <x v="2"/>
    <x v="0"/>
    <s v="CFB_16B"/>
    <x v="3"/>
    <n v="6.7023567161803275"/>
    <n v="38.195519999999995"/>
    <n v="33.603099999999998"/>
    <n v="40.6218"/>
    <n v="39.097049999999996"/>
    <n v="536870912"/>
  </r>
  <r>
    <x v="3"/>
    <x v="0"/>
    <s v="OFB_16B"/>
    <x v="3"/>
    <n v="7.1492982935797906"/>
    <n v="35.80771"/>
    <n v="32.4285"/>
    <n v="37.515999999999998"/>
    <n v="36.026949999999999"/>
    <n v="536870912"/>
  </r>
  <r>
    <x v="4"/>
    <x v="0"/>
    <s v="CTR_16B"/>
    <x v="3"/>
    <n v="6.9577166513379449"/>
    <n v="36.793680000000009"/>
    <n v="34.460900000000002"/>
    <n v="42.012300000000003"/>
    <n v="36.427399999999999"/>
    <n v="536870912"/>
  </r>
  <r>
    <x v="0"/>
    <x v="1"/>
    <s v="ECB_24B"/>
    <x v="0"/>
    <n v="8.380059146457456E-3"/>
    <n v="119.3309"/>
    <n v="114.81"/>
    <n v="147.434"/>
    <n v="116.18600000000001"/>
    <n v="64"/>
  </r>
  <r>
    <x v="1"/>
    <x v="1"/>
    <s v="CBC_24B"/>
    <x v="0"/>
    <n v="8.3744259435695998"/>
    <n v="0.11941117"/>
    <n v="0.11464000000000001"/>
    <n v="0.153276"/>
    <n v="0.11586150000000001"/>
    <n v="64"/>
  </r>
  <r>
    <x v="2"/>
    <x v="1"/>
    <s v="CFB_24B"/>
    <x v="0"/>
    <n v="8.3161210418070493"/>
    <n v="0.12024837000000005"/>
    <n v="0.11505899999999999"/>
    <n v="0.164382"/>
    <n v="0.116275"/>
    <n v="32"/>
  </r>
  <r>
    <x v="3"/>
    <x v="1"/>
    <s v="OFB_24B"/>
    <x v="0"/>
    <n v="8.3812405040545102"/>
    <n v="0.11931407999999998"/>
    <n v="0.11518299999999999"/>
    <n v="0.138544"/>
    <n v="0.11622650000000001"/>
    <n v="32"/>
  </r>
  <r>
    <x v="4"/>
    <x v="1"/>
    <s v="CTR_24B"/>
    <x v="0"/>
    <n v="8.4033740555237806"/>
    <n v="0.11899982000000002"/>
    <n v="0.11458500000000001"/>
    <n v="0.15845200000000001"/>
    <n v="0.115901"/>
    <n v="32"/>
  </r>
  <r>
    <x v="0"/>
    <x v="1"/>
    <s v="ECB_24B"/>
    <x v="1"/>
    <n v="8.4529993456364146E-3"/>
    <n v="591.50602000000003"/>
    <n v="580.42399999999998"/>
    <n v="677.19299999999998"/>
    <n v="583.22299999999996"/>
    <n v="96"/>
  </r>
  <r>
    <x v="1"/>
    <x v="1"/>
    <s v="CBC_24B"/>
    <x v="1"/>
    <n v="8.4598552627050658"/>
    <n v="0.59102666000000026"/>
    <n v="0.58119699999999996"/>
    <n v="0.65286299999999997"/>
    <n v="0.58416950000000001"/>
    <n v="96"/>
  </r>
  <r>
    <x v="2"/>
    <x v="1"/>
    <s v="CFB_24B"/>
    <x v="1"/>
    <n v="8.4336456447253898"/>
    <n v="0.59286342000000003"/>
    <n v="0.581399"/>
    <n v="0.67401299999999997"/>
    <n v="0.58432949999999995"/>
    <n v="64"/>
  </r>
  <r>
    <x v="3"/>
    <x v="1"/>
    <s v="OFB_24B"/>
    <x v="1"/>
    <n v="8.458785152998189"/>
    <n v="0.59110143000000015"/>
    <n v="0.580627"/>
    <n v="0.66195300000000001"/>
    <n v="0.58389000000000002"/>
    <n v="64"/>
  </r>
  <r>
    <x v="4"/>
    <x v="1"/>
    <s v="CTR_24B"/>
    <x v="1"/>
    <n v="8.4675335795285651"/>
    <n v="0.59049072000000014"/>
    <n v="0.57942099999999996"/>
    <n v="0.69999900000000004"/>
    <n v="0.58318249999999994"/>
    <n v="64"/>
  </r>
  <r>
    <x v="0"/>
    <x v="1"/>
    <s v="ECB_24B"/>
    <x v="2"/>
    <n v="8.3813156670844175E-3"/>
    <n v="1193.1301000000003"/>
    <n v="1161.1199999999999"/>
    <n v="1454.54"/>
    <n v="1186.9949999999999"/>
    <n v="20971552"/>
  </r>
  <r>
    <x v="1"/>
    <x v="1"/>
    <s v="CBC_24B"/>
    <x v="2"/>
    <n v="8.3930703118554355"/>
    <n v="1.1914591000000003"/>
    <n v="1.1619999999999999"/>
    <n v="1.35043"/>
    <n v="1.1863000000000001"/>
    <n v="20971552"/>
  </r>
  <r>
    <x v="2"/>
    <x v="1"/>
    <s v="CFB_24B"/>
    <x v="2"/>
    <n v="8.4238702831801966"/>
    <n v="1.1871027999999995"/>
    <n v="1.1625099999999999"/>
    <n v="1.34371"/>
    <n v="1.18682"/>
    <n v="20971520"/>
  </r>
  <r>
    <x v="3"/>
    <x v="1"/>
    <s v="OFB_24B"/>
    <x v="2"/>
    <n v="8.3999258454546357"/>
    <n v="1.1904866999999999"/>
    <n v="1.1652899999999999"/>
    <n v="1.4149099999999999"/>
    <n v="1.18479"/>
    <n v="20971520"/>
  </r>
  <r>
    <x v="4"/>
    <x v="1"/>
    <s v="CTR_24B"/>
    <x v="2"/>
    <n v="8.4188258078431648"/>
    <n v="1.1878140999999998"/>
    <n v="1.1628799999999999"/>
    <n v="1.3167500000000001"/>
    <n v="1.1839500000000001"/>
    <n v="20971520"/>
  </r>
  <r>
    <x v="0"/>
    <x v="1"/>
    <s v="ECB_24B"/>
    <x v="3"/>
    <n v="8.240469784032093E-3"/>
    <n v="31066.190000000002"/>
    <n v="30269.3"/>
    <n v="31891.599999999999"/>
    <n v="31056.6"/>
    <n v="536870944"/>
  </r>
  <r>
    <x v="1"/>
    <x v="1"/>
    <s v="CBC_24B"/>
    <x v="3"/>
    <n v="8.1292990416636091"/>
    <n v="31.491030000000002"/>
    <n v="30.5214"/>
    <n v="33.3994"/>
    <n v="31.226050000000001"/>
    <n v="536870944"/>
  </r>
  <r>
    <x v="2"/>
    <x v="1"/>
    <s v="CFB_24B"/>
    <x v="3"/>
    <n v="8.2743890850464972"/>
    <n v="30.938839999999999"/>
    <n v="30.180399999999999"/>
    <n v="33.586199999999998"/>
    <n v="30.522600000000001"/>
    <n v="536870912"/>
  </r>
  <r>
    <x v="3"/>
    <x v="1"/>
    <s v="OFB_24B"/>
    <x v="3"/>
    <n v="8.2229947697256325"/>
    <n v="31.132209999999997"/>
    <n v="30.393899999999999"/>
    <n v="32.526499999999999"/>
    <n v="30.959849999999999"/>
    <n v="536870912"/>
  </r>
  <r>
    <x v="4"/>
    <x v="1"/>
    <s v="CTR_24B"/>
    <x v="3"/>
    <n v="7.9828468578142724"/>
    <n v="32.068759999999997"/>
    <n v="30.331299999999999"/>
    <n v="39.975099999999998"/>
    <n v="31.36195"/>
    <n v="536870912"/>
  </r>
  <r>
    <x v="0"/>
    <x v="2"/>
    <s v="ECB_32B"/>
    <x v="0"/>
    <n v="8.4876508499576002E-3"/>
    <n v="117.81823"/>
    <n v="115.19"/>
    <n v="149.911"/>
    <n v="116.15"/>
    <n v="64"/>
  </r>
  <r>
    <x v="1"/>
    <x v="2"/>
    <s v="CBC_32B"/>
    <x v="0"/>
    <n v="8.4796065462562549"/>
    <n v="0.11792999999999998"/>
    <n v="0.11490599999999999"/>
    <n v="0.15098"/>
    <n v="0.1158555"/>
    <n v="64"/>
  </r>
  <r>
    <x v="2"/>
    <x v="2"/>
    <s v="CFB_32B"/>
    <x v="0"/>
    <n v="8.4815778856087896"/>
    <n v="0.11790259"/>
    <n v="0.115645"/>
    <n v="0.15065100000000001"/>
    <n v="0.11651"/>
    <n v="32"/>
  </r>
  <r>
    <x v="3"/>
    <x v="2"/>
    <s v="OFB_32B"/>
    <x v="0"/>
    <n v="8.4245785393971193"/>
    <n v="0.11870029999999999"/>
    <n v="0.115715"/>
    <n v="0.14982100000000001"/>
    <n v="0.1165535"/>
    <n v="32"/>
  </r>
  <r>
    <x v="4"/>
    <x v="2"/>
    <s v="CTR_32B"/>
    <x v="0"/>
    <n v="8.5731522649282379"/>
    <n v="0.11664321"/>
    <n v="0.114708"/>
    <n v="0.14487800000000001"/>
    <n v="0.11544550000000001"/>
    <n v="32"/>
  </r>
  <r>
    <x v="0"/>
    <x v="2"/>
    <s v="ECB_32B"/>
    <x v="1"/>
    <n v="8.3269326977330124E-3"/>
    <n v="600.46119999999974"/>
    <n v="115.19"/>
    <n v="149.911"/>
    <n v="116.15"/>
    <n v="96"/>
  </r>
  <r>
    <x v="1"/>
    <x v="2"/>
    <s v="CBC_32B"/>
    <x v="1"/>
    <n v="8.289429200515718"/>
    <n v="0.6031778400000003"/>
    <n v="0.58796000000000004"/>
    <n v="0.77242599999999995"/>
    <n v="0.59198400000000007"/>
    <n v="96"/>
  </r>
  <r>
    <x v="2"/>
    <x v="2"/>
    <s v="CFB_32B"/>
    <x v="1"/>
    <n v="8.2575573081909024"/>
    <n v="0.6055059399999998"/>
    <n v="0.59153100000000003"/>
    <n v="0.78078099999999995"/>
    <n v="0.59525150000000004"/>
    <n v="64"/>
  </r>
  <r>
    <x v="3"/>
    <x v="2"/>
    <s v="OFB_32B"/>
    <x v="1"/>
    <n v="8.2649772876771124"/>
    <n v="0.60496234000000004"/>
    <n v="0.59041500000000002"/>
    <n v="0.72878299999999996"/>
    <n v="0.59503649999999997"/>
    <n v="64"/>
  </r>
  <r>
    <x v="4"/>
    <x v="2"/>
    <s v="CTR_32B"/>
    <x v="1"/>
    <n v="8.3225093550830955"/>
    <n v="0.60078033999999969"/>
    <n v="0.58655500000000005"/>
    <n v="0.78129000000000004"/>
    <n v="0.59082250000000003"/>
    <n v="64"/>
  </r>
  <r>
    <x v="0"/>
    <x v="2"/>
    <s v="ECB_32B"/>
    <x v="2"/>
    <n v="8.4363353639030133E-3"/>
    <n v="1185.3488"/>
    <n v="1153.4000000000001"/>
    <n v="1385.54"/>
    <n v="1179.395"/>
    <n v="20971552"/>
  </r>
  <r>
    <x v="1"/>
    <x v="2"/>
    <s v="CBC_32B"/>
    <x v="2"/>
    <n v="8.4537113652710048"/>
    <n v="1.1829124"/>
    <n v="1.1560600000000001"/>
    <n v="1.40618"/>
    <n v="1.1788699999999999"/>
    <n v="20971552"/>
  </r>
  <r>
    <x v="2"/>
    <x v="2"/>
    <s v="CFB_32B"/>
    <x v="2"/>
    <n v="8.4396333283145655"/>
    <n v="1.1848855999999999"/>
    <n v="1.16086"/>
    <n v="1.38445"/>
    <n v="1.1838950000000001"/>
    <n v="20971520"/>
  </r>
  <r>
    <x v="3"/>
    <x v="2"/>
    <s v="OFB_32B"/>
    <x v="2"/>
    <n v="8.4074711142413001"/>
    <n v="1.1894183000000009"/>
    <n v="1.1676299999999999"/>
    <n v="1.2996399999999999"/>
    <n v="1.1862949999999999"/>
    <n v="20971520"/>
  </r>
  <r>
    <x v="4"/>
    <x v="2"/>
    <s v="CTR_32B"/>
    <x v="2"/>
    <n v="8.4542738340985704"/>
    <n v="1.1828337000000002"/>
    <n v="1.1549100000000001"/>
    <n v="1.29677"/>
    <n v="1.1789149999999999"/>
    <n v="20971520"/>
  </r>
  <r>
    <x v="0"/>
    <x v="2"/>
    <s v="ECB_32B"/>
    <x v="3"/>
    <n v="8.4045862776743994E-3"/>
    <n v="30459.559999999998"/>
    <n v="29912.3"/>
    <n v="32149.7"/>
    <n v="30185.449999999997"/>
    <n v="536870944"/>
  </r>
  <r>
    <x v="1"/>
    <x v="2"/>
    <s v="CBC_32B"/>
    <x v="3"/>
    <n v="8.3838657743089531"/>
    <n v="30.534840000000003"/>
    <n v="30.047599999999999"/>
    <n v="31.240500000000001"/>
    <n v="30.524100000000001"/>
    <n v="536870944"/>
  </r>
  <r>
    <x v="2"/>
    <x v="2"/>
    <s v="CFB_32B"/>
    <x v="3"/>
    <n v="8.412952397477822"/>
    <n v="30.429270000000002"/>
    <n v="30.107800000000001"/>
    <n v="31.154900000000001"/>
    <n v="30.406849999999999"/>
    <n v="536870912"/>
  </r>
  <r>
    <x v="3"/>
    <x v="2"/>
    <s v="OFB_32B"/>
    <x v="3"/>
    <n v="8.4328058547389908"/>
    <n v="30.35763"/>
    <n v="30.082699999999999"/>
    <n v="30.884399999999999"/>
    <n v="30.306849999999997"/>
    <n v="536870912"/>
  </r>
  <r>
    <x v="4"/>
    <x v="2"/>
    <s v="CTR_32B"/>
    <x v="3"/>
    <n v="8.4449791465095014"/>
    <n v="30.313869999999998"/>
    <n v="30.020499999999998"/>
    <n v="30.887599999999999"/>
    <n v="30.2834"/>
    <n v="5368709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1.5037813333517801E-2"/>
    <n v="66.499029999999991"/>
    <n v="63.61"/>
    <n v="99.171000000000006"/>
    <n v="64.9435"/>
    <n v="16"/>
  </r>
  <r>
    <x v="1"/>
    <x v="0"/>
    <s v="CBC_16B"/>
    <x v="0"/>
    <n v="1.5396686386742589E-2"/>
    <n v="64.949040000000011"/>
    <n v="63.256999999999998"/>
    <n v="90.796000000000006"/>
    <n v="64.066000000000003"/>
    <n v="16"/>
  </r>
  <r>
    <x v="2"/>
    <x v="0"/>
    <s v="CFB_16B"/>
    <x v="0"/>
    <n v="6.5993223419859894E-3"/>
    <n v="151.53071000000003"/>
    <n v="144.74"/>
    <n v="228.22"/>
    <n v="151.779"/>
    <n v="16"/>
  </r>
  <r>
    <x v="3"/>
    <x v="0"/>
    <s v="OFB_16B"/>
    <x v="0"/>
    <n v="6.9932158114091912E-3"/>
    <n v="142.99573000000004"/>
    <n v="138.886"/>
    <n v="211.75700000000001"/>
    <n v="140.91800000000001"/>
    <n v="16"/>
  </r>
  <r>
    <x v="4"/>
    <x v="0"/>
    <s v="CTR_16B"/>
    <x v="0"/>
    <n v="6.8013251974067624E-3"/>
    <n v="147.03017000000003"/>
    <n v="144.33600000000001"/>
    <n v="173.04900000000001"/>
    <n v="145.4205"/>
    <n v="16"/>
  </r>
  <r>
    <x v="0"/>
    <x v="0"/>
    <s v="ECB_16B"/>
    <x v="1"/>
    <n v="1.4272329694926382E-2"/>
    <n v="350.32823000000002"/>
    <n v="63.61"/>
    <n v="99.171000000000006"/>
    <n v="64.9435"/>
    <n v="32"/>
  </r>
  <r>
    <x v="1"/>
    <x v="0"/>
    <s v="CBC_16B"/>
    <x v="1"/>
    <n v="1.3468276484860648E-2"/>
    <n v="371.24275"/>
    <n v="316.416"/>
    <n v="452.41500000000002"/>
    <n v="361.887"/>
    <n v="32"/>
  </r>
  <r>
    <x v="2"/>
    <x v="0"/>
    <s v="CFB_16B"/>
    <x v="1"/>
    <n v="4.8674063034508134E-3"/>
    <n v="1027.2411400000001"/>
    <n v="939.601"/>
    <n v="1218.31"/>
    <n v="1011.89"/>
    <n v="32"/>
  </r>
  <r>
    <x v="3"/>
    <x v="0"/>
    <s v="OFB_16B"/>
    <x v="1"/>
    <n v="6.4178469129925302E-3"/>
    <n v="779.07748000000004"/>
    <n v="705.91200000000003"/>
    <n v="972.08799999999997"/>
    <n v="771.86400000000003"/>
    <n v="32"/>
  </r>
  <r>
    <x v="4"/>
    <x v="0"/>
    <s v="CTR_16B"/>
    <x v="1"/>
    <n v="6.3774463294205847E-3"/>
    <n v="784.01287000000025"/>
    <n v="716.91700000000003"/>
    <n v="957.846"/>
    <n v="768.05"/>
    <n v="32"/>
  </r>
  <r>
    <x v="0"/>
    <x v="0"/>
    <s v="ECB_16B"/>
    <x v="2"/>
    <n v="1.3656387749422655E-2"/>
    <n v="732.25806000000011"/>
    <n v="623.67899999999997"/>
    <n v="921.03200000000004"/>
    <n v="729.69399999999996"/>
    <n v="10485760"/>
  </r>
  <r>
    <x v="1"/>
    <x v="0"/>
    <s v="CBC_16B"/>
    <x v="2"/>
    <n v="1.4015001713894564E-2"/>
    <n v="713.52113999999972"/>
    <n v="626.50599999999997"/>
    <n v="961.84100000000001"/>
    <n v="711.55549999999994"/>
    <n v="10485760"/>
  </r>
  <r>
    <x v="2"/>
    <x v="0"/>
    <s v="CFB_16B"/>
    <x v="2"/>
    <n v="6.1789643091899387E-3"/>
    <n v="1618.3941999999993"/>
    <n v="1453.66"/>
    <n v="1872.27"/>
    <n v="1592.42"/>
    <n v="10485760"/>
  </r>
  <r>
    <x v="3"/>
    <x v="0"/>
    <s v="OFB_16B"/>
    <x v="2"/>
    <n v="6.4538367704639393E-3"/>
    <n v="1549.4658999999997"/>
    <n v="1363.03"/>
    <n v="1814.28"/>
    <n v="1533.3600000000001"/>
    <n v="10485760"/>
  </r>
  <r>
    <x v="4"/>
    <x v="0"/>
    <s v="CTR_16B"/>
    <x v="2"/>
    <n v="6.4894606940179723E-3"/>
    <n v="1540.9600999999993"/>
    <n v="1389.71"/>
    <n v="1834.94"/>
    <n v="1537.71"/>
    <n v="10485760"/>
  </r>
  <r>
    <x v="0"/>
    <x v="0"/>
    <s v="ECB_16B"/>
    <x v="3"/>
    <n v="6.2912510078903579E-3"/>
    <n v="40691.430000000008"/>
    <n v="18018.8"/>
    <n v="212627"/>
    <n v="20381.849999999999"/>
    <n v="268435456"/>
  </r>
  <r>
    <x v="1"/>
    <x v="0"/>
    <s v="CBC_16B"/>
    <x v="3"/>
    <n v="1.2256104713094643E-2"/>
    <n v="20887.55"/>
    <n v="17765.2"/>
    <n v="24444.7"/>
    <n v="21103.5"/>
    <n v="268435456"/>
  </r>
  <r>
    <x v="2"/>
    <x v="0"/>
    <s v="CFB_16B"/>
    <x v="3"/>
    <n v="5.7108885004790669E-3"/>
    <n v="44826.650000000009"/>
    <n v="39332.1"/>
    <n v="51986.9"/>
    <n v="44299.4"/>
    <n v="268435456"/>
  </r>
  <r>
    <x v="3"/>
    <x v="0"/>
    <s v="OFB_16B"/>
    <x v="3"/>
    <n v="5.989779470826382E-3"/>
    <n v="42739.469999999994"/>
    <n v="37101.800000000003"/>
    <n v="49596.6"/>
    <n v="43845.65"/>
    <n v="268435456"/>
  </r>
  <r>
    <x v="4"/>
    <x v="0"/>
    <s v="CTR_16B"/>
    <x v="3"/>
    <n v="5.9783485699486617E-3"/>
    <n v="42821.19000000001"/>
    <n v="37510.400000000001"/>
    <n v="51647.6"/>
    <n v="42197.95"/>
    <n v="268435456"/>
  </r>
  <r>
    <x v="0"/>
    <x v="1"/>
    <s v="ECB_24B"/>
    <x v="0"/>
    <n v="1.5298089391019782E-2"/>
    <n v="65.36763999999998"/>
    <n v="63.582999999999998"/>
    <n v="91.540999999999997"/>
    <n v="64.298500000000004"/>
    <n v="16"/>
  </r>
  <r>
    <x v="1"/>
    <x v="1"/>
    <s v="CBC_24B"/>
    <x v="0"/>
    <n v="1.5334142464917397E-2"/>
    <n v="65.213950000000011"/>
    <n v="63.917000000000002"/>
    <n v="92.831000000000003"/>
    <n v="64.37"/>
    <n v="16"/>
  </r>
  <r>
    <x v="2"/>
    <x v="1"/>
    <s v="CFB_24B"/>
    <x v="0"/>
    <n v="5.2430771850694577E-3"/>
    <n v="190.72768999999997"/>
    <n v="186.77099999999999"/>
    <n v="217.685"/>
    <n v="187.98050000000001"/>
    <n v="16"/>
  </r>
  <r>
    <x v="3"/>
    <x v="1"/>
    <s v="OFB_24B"/>
    <x v="0"/>
    <n v="7.0415969665926946E-3"/>
    <n v="142.01323999999994"/>
    <n v="138.87700000000001"/>
    <n v="175.601"/>
    <n v="140.697"/>
    <n v="16"/>
  </r>
  <r>
    <x v="4"/>
    <x v="1"/>
    <s v="CTR_24B"/>
    <x v="0"/>
    <n v="7.0645411534601306E-3"/>
    <n v="141.55201"/>
    <n v="139.572"/>
    <n v="164.38499999999999"/>
    <n v="140.42449999999999"/>
    <n v="16"/>
  </r>
  <r>
    <x v="0"/>
    <x v="1"/>
    <s v="ECB_24B"/>
    <x v="1"/>
    <n v="1.4030893220693326E-2"/>
    <n v="356.35649999999993"/>
    <n v="320.31299999999999"/>
    <n v="469.678"/>
    <n v="344.21800000000002"/>
    <n v="32"/>
  </r>
  <r>
    <x v="1"/>
    <x v="1"/>
    <s v="CBC_24B"/>
    <x v="1"/>
    <n v="1.4081942938615347E-2"/>
    <n v="355.06464"/>
    <n v="326.17399999999998"/>
    <n v="538.86300000000006"/>
    <n v="346.00799999999998"/>
    <n v="32"/>
  </r>
  <r>
    <x v="2"/>
    <x v="1"/>
    <s v="CFB_24B"/>
    <x v="1"/>
    <n v="6.2846106865304943E-3"/>
    <n v="795.59422999999992"/>
    <n v="730.33600000000001"/>
    <n v="1150.8499999999999"/>
    <n v="779.39750000000004"/>
    <n v="32"/>
  </r>
  <r>
    <x v="3"/>
    <x v="1"/>
    <s v="OFB_24B"/>
    <x v="1"/>
    <n v="6.6333574831768114E-3"/>
    <n v="753.76609999999982"/>
    <n v="687.13599999999997"/>
    <n v="1381.15"/>
    <n v="733.75299999999993"/>
    <n v="32"/>
  </r>
  <r>
    <x v="4"/>
    <x v="1"/>
    <s v="CTR_24B"/>
    <x v="1"/>
    <n v="6.5378578779271878E-3"/>
    <n v="764.77648999999951"/>
    <n v="698.52"/>
    <n v="966.98699999999997"/>
    <n v="751.2"/>
    <n v="32"/>
  </r>
  <r>
    <x v="0"/>
    <x v="1"/>
    <s v="ECB_24B"/>
    <x v="2"/>
    <n v="1.3958281710954805E-2"/>
    <n v="716.42056000000002"/>
    <n v="641.78"/>
    <n v="874.65099999999995"/>
    <n v="702.2405"/>
    <n v="10485760"/>
  </r>
  <r>
    <x v="1"/>
    <x v="1"/>
    <s v="CBC_24B"/>
    <x v="2"/>
    <n v="1.4017849404253314E-2"/>
    <n v="713.37619000000007"/>
    <n v="642.07000000000005"/>
    <n v="910.12099999999998"/>
    <n v="705.43949999999995"/>
    <n v="10485760"/>
  </r>
  <r>
    <x v="2"/>
    <x v="1"/>
    <s v="CFB_24B"/>
    <x v="2"/>
    <n v="4.8946571879998676E-3"/>
    <n v="2043.0439999999996"/>
    <n v="1873.78"/>
    <n v="2434.65"/>
    <n v="2020.48"/>
    <n v="10485760"/>
  </r>
  <r>
    <x v="3"/>
    <x v="1"/>
    <s v="OFB_24B"/>
    <x v="2"/>
    <n v="6.6559647627900701E-3"/>
    <n v="1502.4117999999996"/>
    <n v="1376.31"/>
    <n v="1733.52"/>
    <n v="1473.9099999999999"/>
    <n v="10485760"/>
  </r>
  <r>
    <x v="4"/>
    <x v="1"/>
    <s v="CTR_24B"/>
    <x v="2"/>
    <n v="6.5011347730746377E-3"/>
    <n v="1538.1930000000007"/>
    <n v="1396.6"/>
    <n v="1809.69"/>
    <n v="1520.94"/>
    <n v="10485760"/>
  </r>
  <r>
    <x v="0"/>
    <x v="1"/>
    <s v="ECB_24B"/>
    <x v="3"/>
    <n v="1.3616767772940399E-2"/>
    <n v="18800.349999999999"/>
    <n v="17908.7"/>
    <n v="21713.3"/>
    <n v="18261.849999999999"/>
    <n v="268435456"/>
  </r>
  <r>
    <x v="1"/>
    <x v="1"/>
    <s v="CBC_24B"/>
    <x v="3"/>
    <n v="1.4586902898520172E-2"/>
    <n v="17549.989999999998"/>
    <n v="16964.2"/>
    <n v="18130.5"/>
    <n v="17559.3"/>
    <n v="268435456"/>
  </r>
  <r>
    <x v="2"/>
    <x v="1"/>
    <s v="CFB_24B"/>
    <x v="3"/>
    <n v="6.4948392666819054E-3"/>
    <n v="39415.910000000003"/>
    <n v="38132.5"/>
    <n v="43966.7"/>
    <n v="38900.050000000003"/>
    <n v="268435456"/>
  </r>
  <r>
    <x v="3"/>
    <x v="1"/>
    <s v="OFB_24B"/>
    <x v="3"/>
    <n v="6.8637528963160438E-3"/>
    <n v="37297.37999999999"/>
    <n v="35978.1"/>
    <n v="39519.4"/>
    <n v="37014.949999999997"/>
    <n v="268435456"/>
  </r>
  <r>
    <x v="4"/>
    <x v="1"/>
    <s v="CTR_24B"/>
    <x v="3"/>
    <n v="6.6925200108962609E-3"/>
    <n v="38251.659999999989"/>
    <n v="36331.800000000003"/>
    <n v="41324.800000000003"/>
    <n v="38063.050000000003"/>
    <n v="268435456"/>
  </r>
  <r>
    <x v="0"/>
    <x v="2"/>
    <s v="ECB_32B"/>
    <x v="0"/>
    <n v="1.4940588004769634E-2"/>
    <n v="66.93177"/>
    <n v="64.852000000000004"/>
    <n v="113.285"/>
    <n v="65.754500000000007"/>
    <n v="16"/>
  </r>
  <r>
    <x v="1"/>
    <x v="2"/>
    <s v="CBC_32B"/>
    <x v="0"/>
    <n v="1.4744549935146104E-2"/>
    <n v="67.821669999999969"/>
    <n v="65.936999999999998"/>
    <n v="102.129"/>
    <n v="66.4285"/>
    <n v="16"/>
  </r>
  <r>
    <x v="2"/>
    <x v="2"/>
    <s v="CFB_32B"/>
    <x v="0"/>
    <n v="6.6279057898866404E-3"/>
    <n v="150.87721999999994"/>
    <n v="147.58600000000001"/>
    <n v="184.19300000000001"/>
    <n v="148.32400000000001"/>
    <n v="16"/>
  </r>
  <r>
    <x v="3"/>
    <x v="2"/>
    <s v="OFB_32B"/>
    <x v="0"/>
    <n v="7.0234119819689361E-3"/>
    <n v="142.38093999999998"/>
    <n v="139.316"/>
    <n v="174.239"/>
    <n v="140.596"/>
    <n v="16"/>
  </r>
  <r>
    <x v="4"/>
    <x v="2"/>
    <s v="CTR_32B"/>
    <x v="0"/>
    <n v="6.8736104566861156E-3"/>
    <n v="145.48394999999999"/>
    <n v="141.429"/>
    <n v="224.48599999999999"/>
    <n v="142.35599999999999"/>
    <n v="16"/>
  </r>
  <r>
    <x v="0"/>
    <x v="2"/>
    <s v="ECB_32B"/>
    <x v="1"/>
    <n v="1.3821493749644096E-2"/>
    <n v="361.75540000000001"/>
    <n v="64.852000000000004"/>
    <n v="113.285"/>
    <n v="65.754500000000007"/>
    <n v="32"/>
  </r>
  <r>
    <x v="1"/>
    <x v="2"/>
    <s v="CBC_32B"/>
    <x v="1"/>
    <n v="1.4042760092138482E-2"/>
    <n v="356.05535999999995"/>
    <n v="326.92599999999999"/>
    <n v="469.15800000000002"/>
    <n v="344.70799999999997"/>
    <n v="32"/>
  </r>
  <r>
    <x v="2"/>
    <x v="2"/>
    <s v="CFB_32B"/>
    <x v="1"/>
    <n v="6.2882300808050117E-3"/>
    <n v="795.13630000000023"/>
    <n v="735.66"/>
    <n v="1070.53"/>
    <n v="771.58899999999994"/>
    <n v="32"/>
  </r>
  <r>
    <x v="3"/>
    <x v="2"/>
    <s v="OFB_32B"/>
    <x v="1"/>
    <n v="6.6336002039540194E-3"/>
    <n v="753.73851999999988"/>
    <n v="694.51099999999997"/>
    <n v="1072.6600000000001"/>
    <n v="730.149"/>
    <n v="32"/>
  </r>
  <r>
    <x v="4"/>
    <x v="2"/>
    <s v="CTR_32B"/>
    <x v="1"/>
    <n v="6.4865248025638075E-3"/>
    <n v="770.82877999999994"/>
    <n v="707.04"/>
    <n v="1093.83"/>
    <n v="741.85300000000007"/>
    <n v="32"/>
  </r>
  <r>
    <x v="0"/>
    <x v="2"/>
    <s v="ECB_32B"/>
    <x v="2"/>
    <n v="1.3480331131932352E-2"/>
    <n v="741.82153999999991"/>
    <n v="658.14"/>
    <n v="973.351"/>
    <n v="739.97149999999999"/>
    <n v="10485760"/>
  </r>
  <r>
    <x v="1"/>
    <x v="2"/>
    <s v="CBC_32B"/>
    <x v="2"/>
    <n v="1.3833515631402322E-2"/>
    <n v="722.88204000000007"/>
    <n v="648.07299999999998"/>
    <n v="1083.3399999999999"/>
    <n v="715.07349999999997"/>
    <n v="10485760"/>
  </r>
  <r>
    <x v="2"/>
    <x v="2"/>
    <s v="CFB_32B"/>
    <x v="2"/>
    <n v="6.0701125926974492E-3"/>
    <n v="1647.4158999999997"/>
    <n v="1483"/>
    <n v="2125.83"/>
    <n v="1622.085"/>
    <n v="10485760"/>
  </r>
  <r>
    <x v="3"/>
    <x v="2"/>
    <s v="OFB_32B"/>
    <x v="2"/>
    <n v="6.4741328611187142E-3"/>
    <n v="1544.6084000000001"/>
    <n v="1395.64"/>
    <n v="2014.8"/>
    <n v="1510.635"/>
    <n v="10485760"/>
  </r>
  <r>
    <x v="4"/>
    <x v="2"/>
    <s v="CTR_32B"/>
    <x v="2"/>
    <n v="6.4043393754219238E-3"/>
    <n v="1561.4413000000004"/>
    <n v="1405.86"/>
    <n v="2162.38"/>
    <n v="1525.19"/>
    <n v="10485760"/>
  </r>
  <r>
    <x v="0"/>
    <x v="2"/>
    <s v="ECB_32B"/>
    <x v="3"/>
    <n v="1.4185623314071914E-2"/>
    <n v="18046.440000000002"/>
    <n v="17056.7"/>
    <n v="19476.5"/>
    <n v="18076.650000000001"/>
    <n v="268435456"/>
  </r>
  <r>
    <x v="1"/>
    <x v="2"/>
    <s v="CBC_32B"/>
    <x v="3"/>
    <n v="1.3998426270671601E-2"/>
    <n v="18287.77"/>
    <n v="17562.2"/>
    <n v="19662.7"/>
    <n v="18178.5"/>
    <n v="268435456"/>
  </r>
  <r>
    <x v="2"/>
    <x v="2"/>
    <s v="CFB_32B"/>
    <x v="3"/>
    <n v="6.4479160763423176E-3"/>
    <n v="39702.750000000007"/>
    <n v="38498.300000000003"/>
    <n v="42343.199999999997"/>
    <n v="39266.550000000003"/>
    <n v="268435456"/>
  </r>
  <r>
    <x v="3"/>
    <x v="2"/>
    <s v="OFB_32B"/>
    <x v="3"/>
    <n v="6.6517245375362546E-3"/>
    <n v="38486.259999999995"/>
    <n v="36217.4"/>
    <n v="43328.2"/>
    <n v="37419.4"/>
    <n v="268435456"/>
  </r>
  <r>
    <x v="4"/>
    <x v="2"/>
    <s v="CTR_32B"/>
    <x v="3"/>
    <n v="6.7367410541473455E-3"/>
    <n v="38000.57"/>
    <n v="36630.1"/>
    <n v="39906.9"/>
    <n v="37587.300000000003"/>
    <n v="268435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>
  <location ref="A4:E85" firstHeaderRow="1" firstDataRow="2" firstDataCol="1"/>
  <pivotFields count="10">
    <pivotField axis="axisRow" multipleItemSelectionAllowed="1" showAll="0" sortType="ascending" defaultSubtotal="0">
      <items count="5">
        <item x="1"/>
        <item x="2"/>
        <item x="4"/>
        <item x="0"/>
        <item x="3"/>
      </items>
    </pivotField>
    <pivotField axis="axisRow" showAll="0" defaultSubtotal="0">
      <items count="3">
        <item x="0"/>
        <item x="1"/>
        <item x="2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numFmtId="164" showAll="0"/>
    <pivotField dataField="1" numFmtId="164" showAll="0"/>
    <pivotField dataField="1" numFmtId="164" showAll="0"/>
    <pivotField numFmtId="164" showAll="0"/>
    <pivotField showAll="0"/>
  </pivotFields>
  <rowFields count="3">
    <field x="0"/>
    <field x="1"/>
    <field x="3"/>
  </rowFields>
  <rowItems count="80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Time (ms)" fld="6" subtotal="max" baseField="0" baseItem="0"/>
    <dataField name="Max Time (ms)" fld="7" subtotal="max" baseField="0" baseItem="0"/>
    <dataField name="Average Time (ms)" fld="5" subtotal="max" baseField="0" baseItem="0"/>
    <dataField name="Average of Throughput (KB/s)" fld="4" subtotal="average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>
  <location ref="A3:E84" firstHeaderRow="1" firstDataRow="2" firstDataCol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Row" showAll="0" defaultSubtotal="0">
      <items count="3">
        <item x="0"/>
        <item x="1"/>
        <item x="2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numFmtId="164" showAll="0"/>
    <pivotField dataField="1" numFmtId="164" showAll="0"/>
    <pivotField dataField="1" numFmtId="164" showAll="0"/>
    <pivotField numFmtId="164" showAll="0"/>
    <pivotField showAll="0"/>
  </pivotFields>
  <rowFields count="3">
    <field x="0"/>
    <field x="1"/>
    <field x="3"/>
  </rowFields>
  <rowItems count="80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Time  (ms)" fld="6" subtotal="max" baseField="0" baseItem="0"/>
    <dataField name="Max Time (ms)" fld="7" subtotal="max" baseField="0" baseItem="0"/>
    <dataField name="Average Time (ms)" fld="5" subtotal="max" baseField="0" baseItem="0"/>
    <dataField name="Average of Throughput (KB/s)" fld="4" subtotal="average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A4:E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>
      <items count="4">
        <item x="0"/>
        <item x="1"/>
        <item x="2"/>
        <item t="default"/>
      </items>
    </pivotField>
    <pivotField showAll="0" defaultSubtotal="0"/>
    <pivotField axis="axisCol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12">
    <format dxfId="309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308">
      <pivotArea collapsedLevelsAreSubtotals="1" fieldPosition="0">
        <references count="1">
          <reference field="0" count="1">
            <x v="1"/>
          </reference>
        </references>
      </pivotArea>
    </format>
    <format dxfId="307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306">
      <pivotArea collapsedLevelsAreSubtotals="1" fieldPosition="0">
        <references count="1">
          <reference field="0" count="1">
            <x v="2"/>
          </reference>
        </references>
      </pivotArea>
    </format>
    <format dxfId="305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304">
      <pivotArea collapsedLevelsAreSubtotals="1" fieldPosition="0">
        <references count="1">
          <reference field="0" count="1">
            <x v="3"/>
          </reference>
        </references>
      </pivotArea>
    </format>
    <format dxfId="303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302">
      <pivotArea collapsedLevelsAreSubtotals="1" fieldPosition="0">
        <references count="1">
          <reference field="0" count="1">
            <x v="4"/>
          </reference>
        </references>
      </pivotArea>
    </format>
    <format dxfId="301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300">
      <pivotArea outline="0" collapsedLevelsAreSubtotals="1" fieldPosition="0"/>
    </format>
    <format dxfId="299">
      <pivotArea dataOnly="0" labelOnly="1" outline="0" fieldPosition="0">
        <references count="1">
          <reference field="1" count="0"/>
        </references>
      </pivotArea>
    </format>
    <format dxfId="298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H4:L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 sortType="ascending" defaultSubtotal="0">
      <items count="4">
        <item x="0"/>
        <item x="1"/>
        <item x="2"/>
        <item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8">
    <format dxfId="317">
      <pivotArea collapsedLevelsAreSubtotals="1" fieldPosition="0">
        <references count="1">
          <reference field="0" count="1">
            <x v="1"/>
          </reference>
        </references>
      </pivotArea>
    </format>
    <format dxfId="316">
      <pivotArea collapsedLevelsAreSubtotals="1" fieldPosition="0">
        <references count="1">
          <reference field="0" count="1">
            <x v="2"/>
          </reference>
        </references>
      </pivotArea>
    </format>
    <format dxfId="315">
      <pivotArea collapsedLevelsAreSubtotals="1" fieldPosition="0">
        <references count="1">
          <reference field="0" count="1">
            <x v="3"/>
          </reference>
        </references>
      </pivotArea>
    </format>
    <format dxfId="314">
      <pivotArea collapsedLevelsAreSubtotals="1" fieldPosition="0">
        <references count="1">
          <reference field="0" count="1">
            <x v="4"/>
          </reference>
        </references>
      </pivotArea>
    </format>
    <format dxfId="313">
      <pivotArea outline="0" collapsedLevelsAreSubtotals="1" fieldPosition="0"/>
    </format>
    <format dxfId="312">
      <pivotArea dataOnly="0" labelOnly="1" outline="0" fieldPosition="0">
        <references count="1">
          <reference field="1" count="0"/>
        </references>
      </pivotArea>
    </format>
    <format dxfId="311">
      <pivotArea field="0" type="button" dataOnly="0" labelOnly="1" outline="0" axis="axisRow" fieldPosition="0"/>
    </format>
    <format dxfId="310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293">
      <pivotArea collapsedLevelsAreSubtotals="1" fieldPosition="0">
        <references count="1">
          <reference field="0" count="1">
            <x v="1"/>
          </reference>
        </references>
      </pivotArea>
    </format>
    <format dxfId="292">
      <pivotArea collapsedLevelsAreSubtotals="1" fieldPosition="0">
        <references count="1">
          <reference field="0" count="1">
            <x v="2"/>
          </reference>
        </references>
      </pivotArea>
    </format>
    <format dxfId="291">
      <pivotArea collapsedLevelsAreSubtotals="1" fieldPosition="0">
        <references count="1">
          <reference field="0" count="1">
            <x v="3"/>
          </reference>
        </references>
      </pivotArea>
    </format>
    <format dxfId="290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10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297">
      <pivotArea collapsedLevelsAreSubtotals="1" fieldPosition="0">
        <references count="1">
          <reference field="0" count="1">
            <x v="1"/>
          </reference>
        </references>
      </pivotArea>
    </format>
    <format dxfId="296">
      <pivotArea collapsedLevelsAreSubtotals="1" fieldPosition="0">
        <references count="1">
          <reference field="0" count="1">
            <x v="2"/>
          </reference>
        </references>
      </pivotArea>
    </format>
    <format dxfId="295">
      <pivotArea collapsedLevelsAreSubtotals="1" fieldPosition="0">
        <references count="1">
          <reference field="0" count="1">
            <x v="3"/>
          </reference>
        </references>
      </pivotArea>
    </format>
    <format dxfId="294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B)">
  <location ref="A4:D9" firstHeaderRow="1" firstDataRow="2" firstDataCol="1" rowPageCount="1" colPageCount="1"/>
  <pivotFields count="10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KB)">
  <location ref="L4:O9" firstHeaderRow="1" firstDataRow="2" firstDataCol="1" rowPageCount="1" colPageCount="1"/>
  <pivotFields count="10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J62" totalsRowShown="0" headerRowDxfId="341" dataDxfId="340">
  <autoFilter ref="A2:J62"/>
  <tableColumns count="10">
    <tableColumn id="1" name="Mode" dataDxfId="339"/>
    <tableColumn id="2" name="Key size (B)" dataDxfId="338"/>
    <tableColumn id="10" name="Mode_Key" dataDxfId="337">
      <calculatedColumnFormula>CONCATENATE(SummaryEncryption[[#This Row],[Mode]],"_",SummaryEncryption[[#This Row],[Key size (B)]])</calculatedColumnFormula>
    </tableColumn>
    <tableColumn id="3" name="Test Size (KB)" dataDxfId="336"/>
    <tableColumn id="9" name="Throughput (KB/s)" dataDxfId="335">
      <calculatedColumnFormula>SummaryEncryption[[#This Row],[Test Size (KB)]]/SummaryEncryption[[#This Row],[Average (ms)]]/1000</calculatedColumnFormula>
    </tableColumn>
    <tableColumn id="4" name="Average (ms)" dataDxfId="334"/>
    <tableColumn id="5" name="Min (ms)" dataDxfId="333"/>
    <tableColumn id="6" name="Max (ms)" dataDxfId="332"/>
    <tableColumn id="7" name="Median (ms)" dataDxfId="331"/>
    <tableColumn id="8" name="Cipher size (B)" dataDxfId="330">
      <calculatedColumnFormula>VLOOKUP(SummaryEncryption[[#This Row],[Mode]],EncFileSummary[#All],6,FALSE)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O2:X62" totalsRowShown="0" headerRowDxfId="329" dataDxfId="328">
  <autoFilter ref="O2:X62"/>
  <tableColumns count="10">
    <tableColumn id="1" name="Mode" dataDxfId="327"/>
    <tableColumn id="2" name="Key size (B)" dataDxfId="326"/>
    <tableColumn id="11" name="Mode_Key" dataDxfId="325">
      <calculatedColumnFormula>CONCATENATE(SummaryDecryption[[#This Row],[Mode]],"_",SummaryDecryption[[#This Row],[Key size (B)]])</calculatedColumnFormula>
    </tableColumn>
    <tableColumn id="3" name="Test Size (KB)" dataDxfId="324"/>
    <tableColumn id="10" name="Throughput (KB/s)" dataDxfId="323">
      <calculatedColumnFormula>SummaryDecryption[[#This Row],[Test Size (KB)]]/SummaryDecryption[[#This Row],[Average (ms)]]/1000</calculatedColumnFormula>
    </tableColumn>
    <tableColumn id="4" name="Average (ms)" dataDxfId="322"/>
    <tableColumn id="5" name="Min (ms)" dataDxfId="321"/>
    <tableColumn id="6" name="Max (ms)" dataDxfId="320"/>
    <tableColumn id="7" name="Median (ms)" dataDxfId="319"/>
    <tableColumn id="8" name="Plain size (B)" dataDxfId="31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289"/>
    <tableColumn id="2" name="CBC" totalsRowDxfId="288"/>
    <tableColumn id="3" name="OFB" totalsRowDxfId="287"/>
    <tableColumn id="4" name="CFB" totalsRowDxfId="286"/>
    <tableColumn id="5" name="CTR" totalsRowDxfId="285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284"/>
    <tableColumn id="2" name="CBC" totalsRowDxfId="283"/>
    <tableColumn id="3" name="OFB" totalsRowDxfId="282"/>
    <tableColumn id="4" name="CFB" totalsRowDxfId="281"/>
    <tableColumn id="5" name="CTR" totalsRowDxfId="280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102">
  <autoFilter ref="W2:AA102"/>
  <tableColumns count="5">
    <tableColumn id="1" name="ECB" totalsRowDxfId="279"/>
    <tableColumn id="2" name="CBC" totalsRowDxfId="278"/>
    <tableColumn id="3" name="OFB" totalsRowDxfId="277"/>
    <tableColumn id="4" name="CFB" totalsRowDxfId="276"/>
    <tableColumn id="5" name="CTR" totalsRowDxfId="27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102">
  <autoFilter ref="P2:T102"/>
  <tableColumns count="5">
    <tableColumn id="1" name="ECB" totalsRowDxfId="274"/>
    <tableColumn id="2" name="CBC" dataDxfId="273" totalsRowDxfId="272"/>
    <tableColumn id="3" name="OFB" dataDxfId="271" totalsRowDxfId="270"/>
    <tableColumn id="4" name="CFB" dataDxfId="269" totalsRowDxfId="268"/>
    <tableColumn id="5" name="CTR" dataDxfId="267" totalsRowDxfId="266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102">
  <autoFilter ref="I2:M102"/>
  <tableColumns count="5">
    <tableColumn id="1" name="ECB" totalsRowDxfId="265"/>
    <tableColumn id="2" name="CBC" dataDxfId="264" totalsRowDxfId="263"/>
    <tableColumn id="3" name="OFB" dataDxfId="262" totalsRowDxfId="261"/>
    <tableColumn id="4" name="CFB" dataDxfId="260" totalsRowDxfId="259"/>
    <tableColumn id="5" name="CTR" dataDxfId="258" totalsRowDxfId="257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102">
  <autoFilter ref="B2:F102"/>
  <tableColumns count="5">
    <tableColumn id="1" name="ECB" totalsRowDxfId="256"/>
    <tableColumn id="2" name="CBC" dataDxfId="255"/>
    <tableColumn id="3" name="OFB" dataDxfId="254"/>
    <tableColumn id="4" name="CFB" dataDxfId="253"/>
    <tableColumn id="5" name="CTR" dataDxfId="25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09" totalsRowShown="0" headerRowDxfId="251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09" totalsRowShown="0" headerRowDxfId="250" headerRowBorderDxfId="249" totalsRowBorderDxfId="248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09" totalsRowShown="0" headerRowDxfId="247" headerRowBorderDxfId="246" totalsRowBorderDxfId="245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09" totalsRowShown="0" headerRowDxfId="244" headerRowBorderDxfId="243" totalsRowBorderDxfId="242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09" totalsRowShown="0" headerRowDxfId="241" headerRowBorderDxfId="240" totalsRowBorderDxfId="239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09" totalsRowShown="0" headerRowDxfId="238" headerRowBorderDxfId="237" totalsRowBorderDxfId="236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102">
  <autoFilter ref="B2:F102"/>
  <tableColumns count="5">
    <tableColumn id="1" name="ECB" totalsRowDxfId="235"/>
    <tableColumn id="2" name="CBC" dataDxfId="234" totalsRowDxfId="233"/>
    <tableColumn id="3" name="OFB" dataDxfId="232" totalsRowDxfId="231"/>
    <tableColumn id="4" name="CFB" dataDxfId="230" totalsRowDxfId="229"/>
    <tableColumn id="5" name="CTR" dataDxfId="228" totalsRowDxfId="227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102">
  <autoFilter ref="I2:M102"/>
  <tableColumns count="5">
    <tableColumn id="1" name="ECB" totalsRowDxfId="226"/>
    <tableColumn id="2" name="CBC" dataDxfId="225" totalsRowDxfId="224"/>
    <tableColumn id="3" name="OFB" dataDxfId="223" totalsRowDxfId="222"/>
    <tableColumn id="4" name="CFB" dataDxfId="221" totalsRowDxfId="220"/>
    <tableColumn id="5" name="CTR" dataDxfId="219" totalsRowDxfId="218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102">
  <autoFilter ref="P2:T102"/>
  <tableColumns count="5">
    <tableColumn id="1" name="ECB" totalsRowDxfId="217"/>
    <tableColumn id="2" name="CBC" dataDxfId="216" totalsRowDxfId="215"/>
    <tableColumn id="3" name="OFB" dataDxfId="214" totalsRowDxfId="213"/>
    <tableColumn id="4" name="CFB" dataDxfId="212" totalsRowDxfId="211"/>
    <tableColumn id="5" name="CTR" dataDxfId="210" totalsRowDxfId="209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09" totalsRowShown="0" headerRowDxfId="208" dataDxfId="206" headerRowBorderDxfId="207" totalsRowBorderDxfId="205">
  <autoFilter ref="A105:F109"/>
  <tableColumns count="6">
    <tableColumn id="1" name="Metric"/>
    <tableColumn id="2" name="ECB" dataDxfId="204"/>
    <tableColumn id="3" name="CBC" dataDxfId="203"/>
    <tableColumn id="4" name="OFB" dataDxfId="202"/>
    <tableColumn id="5" name="CFB" dataDxfId="201"/>
    <tableColumn id="6" name="CTR" dataDxfId="200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09" totalsRowShown="0" headerRowDxfId="199" dataDxfId="197" headerRowBorderDxfId="198">
  <autoFilter ref="H105:M109"/>
  <tableColumns count="6">
    <tableColumn id="1" name="Metric"/>
    <tableColumn id="2" name="ECB" dataDxfId="196"/>
    <tableColumn id="3" name="CBC" dataDxfId="195"/>
    <tableColumn id="4" name="OFB" dataDxfId="194"/>
    <tableColumn id="5" name="CFB" dataDxfId="193"/>
    <tableColumn id="6" name="CTR" dataDxfId="19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09" totalsRowShown="0" headerRowDxfId="191" dataDxfId="189" headerRowBorderDxfId="190">
  <autoFilter ref="O105:T109"/>
  <tableColumns count="6">
    <tableColumn id="1" name="Metric"/>
    <tableColumn id="2" name="ECB" dataDxfId="188"/>
    <tableColumn id="3" name="CBC" dataDxfId="187"/>
    <tableColumn id="4" name="OFB" dataDxfId="186"/>
    <tableColumn id="5" name="CFB" dataDxfId="185"/>
    <tableColumn id="6" name="CTR" dataDxfId="184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09" totalsRowShown="0" headerRowDxfId="183" dataDxfId="181" headerRowBorderDxfId="182" totalsRowBorderDxfId="180">
  <autoFilter ref="V105:AA109"/>
  <tableColumns count="6">
    <tableColumn id="1" name="Metric"/>
    <tableColumn id="2" name="ECB" dataDxfId="179"/>
    <tableColumn id="3" name="CBC" dataDxfId="178"/>
    <tableColumn id="4" name="OFB" dataDxfId="177"/>
    <tableColumn id="5" name="CFB" dataDxfId="176"/>
    <tableColumn id="6" name="CTR" dataDxfId="175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09" totalsRowShown="0" headerRowDxfId="174" dataDxfId="172" headerRowBorderDxfId="173">
  <autoFilter ref="AC105:AH109"/>
  <tableColumns count="6">
    <tableColumn id="1" name="Metric"/>
    <tableColumn id="2" name="ECB" dataDxfId="171"/>
    <tableColumn id="3" name="CBC" dataDxfId="170"/>
    <tableColumn id="4" name="OFB" dataDxfId="169"/>
    <tableColumn id="5" name="CFB" dataDxfId="168"/>
    <tableColumn id="6" name="CTR" dataDxfId="167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09" totalsRowShown="0" headerRowDxfId="166" dataDxfId="164" headerRowBorderDxfId="165">
  <autoFilter ref="AJ105:AO109"/>
  <tableColumns count="6">
    <tableColumn id="1" name="Metric"/>
    <tableColumn id="2" name="ECB" dataDxfId="163"/>
    <tableColumn id="3" name="CBC" dataDxfId="162"/>
    <tableColumn id="4" name="OFB" dataDxfId="161"/>
    <tableColumn id="5" name="CFB" dataDxfId="160"/>
    <tableColumn id="6" name="CTR" dataDxfId="159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09" totalsRowShown="0" headerRowDxfId="158" headerRowBorderDxfId="157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09" totalsRowShown="0" headerRowDxfId="156" headerRowBorderDxfId="155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09" totalsRowShown="0" headerRowDxfId="154" headerRowBorderDxfId="153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09" totalsRowShown="0" headerRowDxfId="152" headerRowBorderDxfId="151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09" totalsRowShown="0" headerRowDxfId="150" headerRowBorderDxfId="149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09" totalsRowShown="0" headerRowDxfId="148" headerRowBorderDxfId="147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02">
  <autoFilter ref="B2:F10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F109" totalsRowShown="0" headerRowDxfId="146" headerRowBorderDxfId="145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I105:M109" totalsRowShown="0" headerRowDxfId="144" headerRowBorderDxfId="143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P105:T109" totalsRowShown="0" headerRowDxfId="142" headerRowBorderDxfId="141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W105:AA109" totalsRowShown="0" headerRowDxfId="140" headerRowBorderDxfId="139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D105:AH109" totalsRowShown="0" headerRowDxfId="138" headerRowBorderDxfId="137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K105:AO109" totalsRowShown="0" headerRowDxfId="136" headerRowBorderDxfId="135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N7" totalsRowShown="0">
  <autoFilter ref="A2:N7"/>
  <tableColumns count="14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N18" totalsRowShown="0">
  <autoFilter ref="A13:N18"/>
  <tableColumns count="14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1" name="Decrypt32x162" displayName="Decrypt32x162" ref="AK2:AO102" totalsRowShown="0">
  <autoFilter ref="AK2:AO102"/>
  <tableColumns count="5">
    <tableColumn id="1" name="ECB" totalsRowDxfId="134"/>
    <tableColumn id="2" name="CBC" totalsRowDxfId="133"/>
    <tableColumn id="3" name="OFB" totalsRowDxfId="132"/>
    <tableColumn id="4" name="CFB" totalsRowDxfId="131"/>
    <tableColumn id="5" name="CTR" totalsRowDxfId="130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2" name="Decrypt24x163" displayName="Decrypt24x163" ref="AD2:AH102">
  <autoFilter ref="AD2:AH102"/>
  <tableColumns count="5">
    <tableColumn id="1" name="ECB" totalsRowDxfId="129"/>
    <tableColumn id="2" name="CBC" totalsRowDxfId="128"/>
    <tableColumn id="3" name="OFB" totalsRowDxfId="127"/>
    <tableColumn id="4" name="CFB" totalsRowDxfId="126"/>
    <tableColumn id="5" name="CTR" totalsRowDxfId="125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3" name="Decrypt16x164" displayName="Decrypt16x164" ref="W2:AA102">
  <autoFilter ref="W2:AA102"/>
  <tableColumns count="5">
    <tableColumn id="1" name="ECB" totalsRowDxfId="124"/>
    <tableColumn id="2" name="CBC" totalsRowDxfId="123"/>
    <tableColumn id="3" name="OFB" totalsRowDxfId="122"/>
    <tableColumn id="4" name="CFB" totalsRowDxfId="121"/>
    <tableColumn id="5" name="CTR" totalsRowDxfId="120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4" name="Encrypt32x165" displayName="Encrypt32x165" ref="P2:T102">
  <autoFilter ref="P2:T102"/>
  <tableColumns count="5">
    <tableColumn id="1" name="ECB" totalsRowDxfId="119"/>
    <tableColumn id="2" name="CBC" dataDxfId="118" totalsRowDxfId="117"/>
    <tableColumn id="3" name="OFB" dataDxfId="116" totalsRowDxfId="115"/>
    <tableColumn id="4" name="CFB" dataDxfId="114" totalsRowDxfId="113"/>
    <tableColumn id="5" name="CTR" dataDxfId="112" totalsRowDxfId="111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" name="Encrypt24x166" displayName="Encrypt24x166" ref="I2:M102">
  <autoFilter ref="I2:M102"/>
  <tableColumns count="5">
    <tableColumn id="1" name="ECB" totalsRowDxfId="110"/>
    <tableColumn id="2" name="CBC" dataDxfId="109" totalsRowDxfId="108"/>
    <tableColumn id="3" name="OFB" dataDxfId="107" totalsRowDxfId="106"/>
    <tableColumn id="4" name="CFB" dataDxfId="105" totalsRowDxfId="104"/>
    <tableColumn id="5" name="CTR" dataDxfId="103" totalsRowDxfId="102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6" name="Encrypt16x167" displayName="Encrypt16x167" ref="B2:F102">
  <autoFilter ref="B2:F102"/>
  <tableColumns count="5">
    <tableColumn id="1" name="ECB" totalsRowDxfId="101"/>
    <tableColumn id="2" name="CBC" dataDxfId="100" totalsRowDxfId="99"/>
    <tableColumn id="3" name="OFB" dataDxfId="98" totalsRowDxfId="97"/>
    <tableColumn id="4" name="CFB" dataDxfId="96" totalsRowDxfId="95"/>
    <tableColumn id="5" name="CTR" dataDxfId="94" totalsRowDxfId="93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20" name="SumEnc16x1621" displayName="SumEnc16x1621" ref="A105:F109" totalsRowShown="0" headerRowDxfId="92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22" name="SumEnc24x1623" displayName="SumEnc24x1623" ref="H105:M109" totalsRowShown="0" headerRowDxfId="91" headerRowBorderDxfId="90" totalsRowBorderDxfId="89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23" name="SumEnc32x1624" displayName="SumEnc32x1624" ref="O105:T109" totalsRowShown="0" headerRowDxfId="88" headerRowBorderDxfId="87" totalsRowBorderDxfId="86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34" name="SumDec16x1635" displayName="SumDec16x1635" ref="V105:AA109" totalsRowShown="0" headerRowDxfId="85" headerRowBorderDxfId="84" totalsRowBorderDxfId="83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53" name="SumDec24x1654" displayName="SumDec24x1654" ref="AC105:AH109" totalsRowShown="0" headerRowDxfId="82" headerRowBorderDxfId="81" totalsRowBorderDxfId="80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54" name="SumDec32x1655" displayName="SumDec32x1655" ref="AJ105:AO109" totalsRowShown="0" headerRowDxfId="79" headerRowBorderDxfId="78" totalsRowBorderDxfId="77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5" name="Encrypt16x3266" displayName="Encrypt16x3266" ref="B2:F102">
  <autoFilter ref="B2:F102"/>
  <tableColumns count="5">
    <tableColumn id="1" name="ECB" totalsRowDxfId="76"/>
    <tableColumn id="2" name="CBC" dataDxfId="75" totalsRowDxfId="74"/>
    <tableColumn id="3" name="OFB" dataDxfId="73" totalsRowDxfId="72"/>
    <tableColumn id="4" name="CFB" dataDxfId="71" totalsRowDxfId="70"/>
    <tableColumn id="5" name="CTR" dataDxfId="69" totalsRowDxfId="68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6" name="Encrypt24x3267" displayName="Encrypt24x3267" ref="I2:M102">
  <autoFilter ref="I2:M102"/>
  <tableColumns count="5">
    <tableColumn id="1" name="ECB" totalsRowDxfId="67"/>
    <tableColumn id="2" name="CBC" dataDxfId="66" totalsRowDxfId="65"/>
    <tableColumn id="3" name="OFB" dataDxfId="64" totalsRowDxfId="63"/>
    <tableColumn id="4" name="CFB" dataDxfId="62" totalsRowDxfId="61"/>
    <tableColumn id="5" name="CTR" dataDxfId="60" totalsRowDxfId="59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7" name="Encrypt32x3268" displayName="Encrypt32x3268" ref="P2:T102">
  <autoFilter ref="P2:T102"/>
  <tableColumns count="5">
    <tableColumn id="1" name="ECB" totalsRowDxfId="58"/>
    <tableColumn id="2" name="CBC" dataDxfId="57" totalsRowDxfId="56"/>
    <tableColumn id="3" name="OFB" dataDxfId="55" totalsRowDxfId="54"/>
    <tableColumn id="4" name="CFB" dataDxfId="53" totalsRowDxfId="52"/>
    <tableColumn id="5" name="CTR" dataDxfId="51" totalsRowDxfId="50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68" name="Decrypt16x3269" displayName="Decrypt16x3269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69" name="Decrypt24x3270" displayName="Decrypt24x327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0" name="Decrypt32x3271" displayName="Decrypt32x3271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1" name="SumEnc16X3272" displayName="SumEnc16X3272" ref="A105:F109" totalsRowShown="0" headerRowDxfId="49" dataDxfId="47" headerRowBorderDxfId="48" totalsRowBorderDxfId="46">
  <autoFilter ref="A105:F109"/>
  <tableColumns count="6">
    <tableColumn id="1" name="Metric"/>
    <tableColumn id="2" name="ECB" dataDxfId="45"/>
    <tableColumn id="3" name="CBC" dataDxfId="44"/>
    <tableColumn id="4" name="OFB" dataDxfId="43"/>
    <tableColumn id="5" name="CFB" dataDxfId="42"/>
    <tableColumn id="6" name="CTR" dataDxfId="41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2" name="SumEnc24x3273" displayName="SumEnc24x3273" ref="H105:M109" totalsRowShown="0" headerRowDxfId="40" dataDxfId="38" headerRowBorderDxfId="39">
  <autoFilter ref="H105:M109"/>
  <tableColumns count="6">
    <tableColumn id="1" name="Metric"/>
    <tableColumn id="2" name="ECB" dataDxfId="37"/>
    <tableColumn id="3" name="CBC" dataDxfId="36"/>
    <tableColumn id="4" name="OFB" dataDxfId="35"/>
    <tableColumn id="5" name="CFB" dataDxfId="34"/>
    <tableColumn id="6" name="CTR" dataDxfId="33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3" name="SumEnc32x3274" displayName="SumEnc32x3274" ref="O105:T109" totalsRowShown="0" headerRowDxfId="32" dataDxfId="30" headerRowBorderDxfId="31">
  <autoFilter ref="O105:T109"/>
  <tableColumns count="6">
    <tableColumn id="1" name="Metric"/>
    <tableColumn id="2" name="ECB" dataDxfId="29"/>
    <tableColumn id="3" name="CBC" dataDxfId="28"/>
    <tableColumn id="4" name="OFB" dataDxfId="27"/>
    <tableColumn id="5" name="CFB" dataDxfId="26"/>
    <tableColumn id="6" name="CTR" dataDxfId="25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4" name="SumDec16x3275" displayName="SumDec16x3275" ref="V105:AA109" totalsRowShown="0" headerRowDxfId="24" dataDxfId="22" headerRowBorderDxfId="23" totalsRowBorderDxfId="21">
  <autoFilter ref="V105:AA109"/>
  <tableColumns count="6">
    <tableColumn id="1" name="Metric"/>
    <tableColumn id="2" name="ECB" dataDxfId="20"/>
    <tableColumn id="3" name="CBC" dataDxfId="19"/>
    <tableColumn id="4" name="OFB" dataDxfId="18"/>
    <tableColumn id="5" name="CFB" dataDxfId="17"/>
    <tableColumn id="6" name="CTR" dataDxfId="16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5" name="SumDec24x3276" displayName="SumDec24x3276" ref="AC105:AH109" totalsRowShown="0" headerRowDxfId="15" dataDxfId="13" headerRowBorderDxfId="14">
  <autoFilter ref="AC105:AH109"/>
  <tableColumns count="6">
    <tableColumn id="1" name="Metric"/>
    <tableColumn id="2" name="ECB" dataDxfId="12"/>
    <tableColumn id="3" name="CBC" dataDxfId="11"/>
    <tableColumn id="4" name="OFB" dataDxfId="10"/>
    <tableColumn id="5" name="CFB" dataDxfId="9"/>
    <tableColumn id="6" name="CTR" dataDxfId="8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6" name="SumDec32x3277" displayName="SumDec32x3277" ref="AJ105:AO109" totalsRowShown="0" headerRowDxfId="7" dataDxfId="5" headerRowBorderDxfId="6">
  <autoFilter ref="AJ105:AO109"/>
  <tableColumns count="6">
    <tableColumn id="1" name="Metric"/>
    <tableColumn id="2" name="ECB" dataDxfId="4"/>
    <tableColumn id="3" name="CBC" dataDxfId="3"/>
    <tableColumn id="4" name="OFB" dataDxfId="2"/>
    <tableColumn id="5" name="CFB" dataDxfId="1"/>
    <tableColumn id="6" name="CT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.xml"/><Relationship Id="rId12" Type="http://schemas.openxmlformats.org/officeDocument/2006/relationships/table" Target="../tables/table14.xml"/><Relationship Id="rId1" Type="http://schemas.openxmlformats.org/officeDocument/2006/relationships/table" Target="../tables/table3.xml"/><Relationship Id="rId2" Type="http://schemas.openxmlformats.org/officeDocument/2006/relationships/table" Target="../tables/table4.xml"/><Relationship Id="rId3" Type="http://schemas.openxmlformats.org/officeDocument/2006/relationships/table" Target="../tables/table5.xml"/><Relationship Id="rId4" Type="http://schemas.openxmlformats.org/officeDocument/2006/relationships/table" Target="../tables/table6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Relationship Id="rId8" Type="http://schemas.openxmlformats.org/officeDocument/2006/relationships/table" Target="../tables/table10.xml"/><Relationship Id="rId9" Type="http://schemas.openxmlformats.org/officeDocument/2006/relationships/table" Target="../tables/table11.xml"/><Relationship Id="rId10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5.xml"/><Relationship Id="rId12" Type="http://schemas.openxmlformats.org/officeDocument/2006/relationships/table" Target="../tables/table26.xml"/><Relationship Id="rId1" Type="http://schemas.openxmlformats.org/officeDocument/2006/relationships/table" Target="../tables/table15.xml"/><Relationship Id="rId2" Type="http://schemas.openxmlformats.org/officeDocument/2006/relationships/table" Target="../tables/table16.xml"/><Relationship Id="rId3" Type="http://schemas.openxmlformats.org/officeDocument/2006/relationships/table" Target="../tables/table17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Relationship Id="rId6" Type="http://schemas.openxmlformats.org/officeDocument/2006/relationships/table" Target="../tables/table20.xml"/><Relationship Id="rId7" Type="http://schemas.openxmlformats.org/officeDocument/2006/relationships/table" Target="../tables/table21.xml"/><Relationship Id="rId8" Type="http://schemas.openxmlformats.org/officeDocument/2006/relationships/table" Target="../tables/table22.xml"/><Relationship Id="rId9" Type="http://schemas.openxmlformats.org/officeDocument/2006/relationships/table" Target="../tables/table23.xml"/><Relationship Id="rId10" Type="http://schemas.openxmlformats.org/officeDocument/2006/relationships/table" Target="../tables/table24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7.xml"/><Relationship Id="rId12" Type="http://schemas.openxmlformats.org/officeDocument/2006/relationships/table" Target="../tables/table38.xml"/><Relationship Id="rId1" Type="http://schemas.openxmlformats.org/officeDocument/2006/relationships/table" Target="../tables/table27.xml"/><Relationship Id="rId2" Type="http://schemas.openxmlformats.org/officeDocument/2006/relationships/table" Target="../tables/table28.xml"/><Relationship Id="rId3" Type="http://schemas.openxmlformats.org/officeDocument/2006/relationships/table" Target="../tables/table29.xml"/><Relationship Id="rId4" Type="http://schemas.openxmlformats.org/officeDocument/2006/relationships/table" Target="../tables/table30.xml"/><Relationship Id="rId5" Type="http://schemas.openxmlformats.org/officeDocument/2006/relationships/table" Target="../tables/table31.xml"/><Relationship Id="rId6" Type="http://schemas.openxmlformats.org/officeDocument/2006/relationships/table" Target="../tables/table32.xml"/><Relationship Id="rId7" Type="http://schemas.openxmlformats.org/officeDocument/2006/relationships/table" Target="../tables/table33.xml"/><Relationship Id="rId8" Type="http://schemas.openxmlformats.org/officeDocument/2006/relationships/table" Target="../tables/table34.xml"/><Relationship Id="rId9" Type="http://schemas.openxmlformats.org/officeDocument/2006/relationships/table" Target="../tables/table35.xml"/><Relationship Id="rId10" Type="http://schemas.openxmlformats.org/officeDocument/2006/relationships/table" Target="../tables/table36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9.xml"/><Relationship Id="rId12" Type="http://schemas.openxmlformats.org/officeDocument/2006/relationships/table" Target="../tables/table50.xml"/><Relationship Id="rId1" Type="http://schemas.openxmlformats.org/officeDocument/2006/relationships/table" Target="../tables/table39.xml"/><Relationship Id="rId2" Type="http://schemas.openxmlformats.org/officeDocument/2006/relationships/table" Target="../tables/table40.xml"/><Relationship Id="rId3" Type="http://schemas.openxmlformats.org/officeDocument/2006/relationships/table" Target="../tables/table41.xml"/><Relationship Id="rId4" Type="http://schemas.openxmlformats.org/officeDocument/2006/relationships/table" Target="../tables/table42.xml"/><Relationship Id="rId5" Type="http://schemas.openxmlformats.org/officeDocument/2006/relationships/table" Target="../tables/table43.xml"/><Relationship Id="rId6" Type="http://schemas.openxmlformats.org/officeDocument/2006/relationships/table" Target="../tables/table44.xml"/><Relationship Id="rId7" Type="http://schemas.openxmlformats.org/officeDocument/2006/relationships/table" Target="../tables/table45.xml"/><Relationship Id="rId8" Type="http://schemas.openxmlformats.org/officeDocument/2006/relationships/table" Target="../tables/table46.xml"/><Relationship Id="rId9" Type="http://schemas.openxmlformats.org/officeDocument/2006/relationships/table" Target="../tables/table47.xml"/><Relationship Id="rId10" Type="http://schemas.openxmlformats.org/officeDocument/2006/relationships/table" Target="../tables/table4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_rels/sheet1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3.xml"/><Relationship Id="rId12" Type="http://schemas.openxmlformats.org/officeDocument/2006/relationships/table" Target="../tables/table64.xml"/><Relationship Id="rId1" Type="http://schemas.openxmlformats.org/officeDocument/2006/relationships/table" Target="../tables/table53.xml"/><Relationship Id="rId2" Type="http://schemas.openxmlformats.org/officeDocument/2006/relationships/table" Target="../tables/table54.xml"/><Relationship Id="rId3" Type="http://schemas.openxmlformats.org/officeDocument/2006/relationships/table" Target="../tables/table55.xml"/><Relationship Id="rId4" Type="http://schemas.openxmlformats.org/officeDocument/2006/relationships/table" Target="../tables/table56.xml"/><Relationship Id="rId5" Type="http://schemas.openxmlformats.org/officeDocument/2006/relationships/table" Target="../tables/table57.xml"/><Relationship Id="rId6" Type="http://schemas.openxmlformats.org/officeDocument/2006/relationships/table" Target="../tables/table58.xml"/><Relationship Id="rId7" Type="http://schemas.openxmlformats.org/officeDocument/2006/relationships/table" Target="../tables/table59.xml"/><Relationship Id="rId8" Type="http://schemas.openxmlformats.org/officeDocument/2006/relationships/table" Target="../tables/table60.xml"/><Relationship Id="rId9" Type="http://schemas.openxmlformats.org/officeDocument/2006/relationships/table" Target="../tables/table61.xml"/><Relationship Id="rId10" Type="http://schemas.openxmlformats.org/officeDocument/2006/relationships/table" Target="../tables/table62.xml"/></Relationships>
</file>

<file path=xl/worksheets/_rels/sheet1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5.xml"/><Relationship Id="rId12" Type="http://schemas.openxmlformats.org/officeDocument/2006/relationships/table" Target="../tables/table76.xml"/><Relationship Id="rId1" Type="http://schemas.openxmlformats.org/officeDocument/2006/relationships/table" Target="../tables/table65.xml"/><Relationship Id="rId2" Type="http://schemas.openxmlformats.org/officeDocument/2006/relationships/table" Target="../tables/table66.xml"/><Relationship Id="rId3" Type="http://schemas.openxmlformats.org/officeDocument/2006/relationships/table" Target="../tables/table67.xml"/><Relationship Id="rId4" Type="http://schemas.openxmlformats.org/officeDocument/2006/relationships/table" Target="../tables/table68.xml"/><Relationship Id="rId5" Type="http://schemas.openxmlformats.org/officeDocument/2006/relationships/table" Target="../tables/table69.xml"/><Relationship Id="rId6" Type="http://schemas.openxmlformats.org/officeDocument/2006/relationships/table" Target="../tables/table70.xml"/><Relationship Id="rId7" Type="http://schemas.openxmlformats.org/officeDocument/2006/relationships/table" Target="../tables/table71.xml"/><Relationship Id="rId8" Type="http://schemas.openxmlformats.org/officeDocument/2006/relationships/table" Target="../tables/table72.xml"/><Relationship Id="rId9" Type="http://schemas.openxmlformats.org/officeDocument/2006/relationships/table" Target="../tables/table73.xml"/><Relationship Id="rId10" Type="http://schemas.openxmlformats.org/officeDocument/2006/relationships/table" Target="../tables/table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8576"/>
  <sheetViews>
    <sheetView topLeftCell="O3" workbookViewId="0">
      <selection activeCell="O3" sqref="O3:X62"/>
    </sheetView>
  </sheetViews>
  <sheetFormatPr baseColWidth="10" defaultRowHeight="15" zeroHeight="1" x14ac:dyDescent="0.75"/>
  <cols>
    <col min="2" max="3" width="13.1640625" customWidth="1"/>
    <col min="4" max="4" width="15" bestFit="1" customWidth="1"/>
    <col min="5" max="5" width="20" bestFit="1" customWidth="1"/>
    <col min="6" max="6" width="14.83203125" bestFit="1" customWidth="1"/>
    <col min="7" max="8" width="11.83203125" bestFit="1" customWidth="1"/>
    <col min="9" max="10" width="15" bestFit="1" customWidth="1"/>
    <col min="11" max="12" width="11.83203125" bestFit="1" customWidth="1"/>
    <col min="13" max="13" width="14.6640625" bestFit="1" customWidth="1"/>
    <col min="14" max="14" width="15.6640625" bestFit="1" customWidth="1"/>
    <col min="18" max="18" width="15" bestFit="1" customWidth="1"/>
    <col min="19" max="19" width="20" bestFit="1" customWidth="1"/>
    <col min="20" max="20" width="13.33203125" bestFit="1" customWidth="1"/>
    <col min="21" max="21" width="13.33203125" customWidth="1"/>
    <col min="22" max="22" width="13.83203125" bestFit="1" customWidth="1"/>
    <col min="23" max="23" width="20" bestFit="1" customWidth="1"/>
    <col min="24" max="24" width="15" bestFit="1" customWidth="1"/>
    <col min="25" max="25" width="11.83203125" bestFit="1" customWidth="1"/>
    <col min="26" max="26" width="12.83203125" bestFit="1" customWidth="1"/>
    <col min="27" max="27" width="14.6640625" bestFit="1" customWidth="1"/>
    <col min="28" max="28" width="14.33203125" bestFit="1" customWidth="1"/>
  </cols>
  <sheetData>
    <row r="1" spans="1:24">
      <c r="A1" s="59" t="s">
        <v>41</v>
      </c>
      <c r="B1" s="59"/>
      <c r="C1" s="59"/>
      <c r="D1" s="59"/>
      <c r="E1" s="59"/>
      <c r="F1" s="59"/>
      <c r="G1" s="59"/>
      <c r="H1" s="59"/>
      <c r="I1" s="59"/>
      <c r="J1" s="59"/>
      <c r="O1" s="66" t="s">
        <v>42</v>
      </c>
      <c r="P1" s="66"/>
      <c r="Q1" s="66"/>
      <c r="R1" s="66"/>
      <c r="S1" s="66"/>
      <c r="T1" s="66"/>
      <c r="U1" s="66"/>
      <c r="V1" s="66"/>
      <c r="W1" s="66"/>
      <c r="X1" s="66"/>
    </row>
    <row r="2" spans="1:24" ht="16" thickBot="1">
      <c r="A2" s="21" t="s">
        <v>7</v>
      </c>
      <c r="B2" s="45" t="s">
        <v>12</v>
      </c>
      <c r="C2" s="45" t="s">
        <v>81</v>
      </c>
      <c r="D2" s="45" t="s">
        <v>64</v>
      </c>
      <c r="E2" s="45" t="s">
        <v>84</v>
      </c>
      <c r="F2" s="45" t="s">
        <v>69</v>
      </c>
      <c r="G2" s="45" t="s">
        <v>70</v>
      </c>
      <c r="H2" s="45" t="s">
        <v>71</v>
      </c>
      <c r="I2" s="45" t="s">
        <v>72</v>
      </c>
      <c r="J2" s="45" t="s">
        <v>74</v>
      </c>
      <c r="O2" s="21" t="s">
        <v>7</v>
      </c>
      <c r="P2" s="45" t="s">
        <v>12</v>
      </c>
      <c r="Q2" s="45" t="s">
        <v>81</v>
      </c>
      <c r="R2" s="45" t="s">
        <v>64</v>
      </c>
      <c r="S2" s="45" t="s">
        <v>84</v>
      </c>
      <c r="T2" s="45" t="s">
        <v>69</v>
      </c>
      <c r="U2" s="45" t="s">
        <v>70</v>
      </c>
      <c r="V2" s="45" t="s">
        <v>71</v>
      </c>
      <c r="W2" s="45" t="s">
        <v>72</v>
      </c>
      <c r="X2" s="45" t="s">
        <v>73</v>
      </c>
    </row>
    <row r="3" spans="1:24" ht="17" thickTop="1" thickBot="1">
      <c r="A3" s="46" t="s">
        <v>0</v>
      </c>
      <c r="B3" s="47" t="s">
        <v>13</v>
      </c>
      <c r="C3" s="47" t="str">
        <f>CONCATENATE(SummaryEncryption[[#This Row],[Mode]],"_",SummaryEncryption[[#This Row],[Key size (B)]])</f>
        <v>ECB_16B</v>
      </c>
      <c r="D3" s="47">
        <v>1000</v>
      </c>
      <c r="E3" s="47">
        <f>SummaryEncryption[[#This Row],[Test Size (KB)]]/SummaryEncryption[[#This Row],[Average (ms)]]/1000</f>
        <v>8.4988216808680548E-3</v>
      </c>
      <c r="F3" s="52">
        <f>HLOOKUP($A3,SumEnc16x16[#All],AVG,FALSE)</f>
        <v>117.66337000000003</v>
      </c>
      <c r="G3" s="52">
        <f>HLOOKUP($A3,SumEnc16x16[#All],MIN,FALSE)</f>
        <v>113.931</v>
      </c>
      <c r="H3" s="52">
        <f>HLOOKUP($A3,SumEnc16x16[#All],MAX,FALSE)</f>
        <v>150.25399999999999</v>
      </c>
      <c r="I3" s="52">
        <f>HLOOKUP($A3,SumEnc16x16[#All],MED,FALSE)</f>
        <v>116.059</v>
      </c>
      <c r="J3" s="47">
        <f>VLOOKUP(SummaryEncryption[[#This Row],[Mode]],EncFileSummary[#All],3,FALSE)</f>
        <v>64</v>
      </c>
      <c r="O3" s="46" t="s">
        <v>0</v>
      </c>
      <c r="P3" s="47" t="s">
        <v>13</v>
      </c>
      <c r="Q3" s="47" t="str">
        <f>CONCATENATE(SummaryDecryption[[#This Row],[Mode]],"_",SummaryDecryption[[#This Row],[Key size (B)]])</f>
        <v>ECB_16B</v>
      </c>
      <c r="R3" s="47">
        <v>1000</v>
      </c>
      <c r="S3" s="47">
        <f>SummaryDecryption[[#This Row],[Test Size (KB)]]/SummaryDecryption[[#This Row],[Average (ms)]]/1000</f>
        <v>1.5037813333517801E-2</v>
      </c>
      <c r="T3" s="52">
        <f>HLOOKUP($A3,SumDec16x16[#All],AVG,FALSE)</f>
        <v>66.499029999999991</v>
      </c>
      <c r="U3" s="52">
        <f>HLOOKUP($A3,SumDec16x16[#All],MIN,FALSE)</f>
        <v>63.61</v>
      </c>
      <c r="V3" s="52">
        <f>HLOOKUP($A3,SumDec16x16[#All],MAX,FALSE)</f>
        <v>99.171000000000006</v>
      </c>
      <c r="W3" s="52">
        <f>HLOOKUP($A3,SumDec16x16[#All],MED,FALSE)</f>
        <v>64.9435</v>
      </c>
      <c r="X3" s="47">
        <f>VLOOKUP(SummaryEncryption[[#This Row],[Mode]],DecFileSummary[#All],3,FALSE)</f>
        <v>16</v>
      </c>
    </row>
    <row r="4" spans="1:24" ht="17" thickTop="1" thickBot="1">
      <c r="A4" s="48" t="s">
        <v>1</v>
      </c>
      <c r="B4" s="13" t="s">
        <v>13</v>
      </c>
      <c r="C4" s="47" t="str">
        <f>CONCATENATE(SummaryEncryption[[#This Row],[Mode]],"_",SummaryEncryption[[#This Row],[Key size (B)]])</f>
        <v>CBC_16B</v>
      </c>
      <c r="D4" s="47">
        <v>1000</v>
      </c>
      <c r="E4" s="47">
        <f>SummaryEncryption[[#This Row],[Test Size (KB)]]/SummaryEncryption[[#This Row],[Average (ms)]]/1000</f>
        <v>8.5269708942080893</v>
      </c>
      <c r="F4" s="53">
        <f>HLOOKUP($A4,SumEnc16x16[#All],AVG,FALSE)</f>
        <v>0.11727493999999999</v>
      </c>
      <c r="G4" s="53">
        <f>HLOOKUP($A4,SumEnc16x16[#All],MIN,FALSE)</f>
        <v>0.113983</v>
      </c>
      <c r="H4" s="53">
        <f>HLOOKUP($A4,SumEnc16x16[#All],MAX,FALSE)</f>
        <v>0.16103500000000001</v>
      </c>
      <c r="I4" s="53">
        <f>HLOOKUP($A4,SumEnc16x16[#All],MED,FALSE)</f>
        <v>0.11547550000000001</v>
      </c>
      <c r="J4" s="47">
        <f>VLOOKUP(SummaryEncryption[[#This Row],[Mode]],EncFileSummary[#All],3,FALSE)</f>
        <v>64</v>
      </c>
      <c r="O4" s="48" t="s">
        <v>1</v>
      </c>
      <c r="P4" s="13" t="s">
        <v>13</v>
      </c>
      <c r="Q4" s="47" t="str">
        <f>CONCATENATE(SummaryDecryption[[#This Row],[Mode]],"_",SummaryDecryption[[#This Row],[Key size (B)]])</f>
        <v>CBC_16B</v>
      </c>
      <c r="R4" s="47">
        <v>1000</v>
      </c>
      <c r="S4" s="47">
        <f>SummaryDecryption[[#This Row],[Test Size (KB)]]/SummaryDecryption[[#This Row],[Average (ms)]]/1000</f>
        <v>1.5396686386742589E-2</v>
      </c>
      <c r="T4" s="53">
        <f>HLOOKUP($A4,SumDec16x16[#All],AVG,FALSE)</f>
        <v>64.949040000000011</v>
      </c>
      <c r="U4" s="53">
        <f>HLOOKUP($A4,SumDec16x16[#All],MIN,FALSE)</f>
        <v>63.256999999999998</v>
      </c>
      <c r="V4" s="53">
        <f>HLOOKUP($A4,SumDec16x16[#All],MAX,FALSE)</f>
        <v>90.796000000000006</v>
      </c>
      <c r="W4" s="53">
        <f>HLOOKUP($A4,SumDec16x16[#All],MED,FALSE)</f>
        <v>64.066000000000003</v>
      </c>
      <c r="X4" s="47">
        <f>VLOOKUP(SummaryEncryption[[#This Row],[Mode]],DecFileSummary[#All],3,FALSE)</f>
        <v>16</v>
      </c>
    </row>
    <row r="5" spans="1:24" ht="17" thickTop="1" thickBot="1">
      <c r="A5" s="49" t="s">
        <v>3</v>
      </c>
      <c r="B5" s="18" t="s">
        <v>13</v>
      </c>
      <c r="C5" s="47" t="str">
        <f>CONCATENATE(SummaryEncryption[[#This Row],[Mode]],"_",SummaryEncryption[[#This Row],[Key size (B)]])</f>
        <v>CFB_16B</v>
      </c>
      <c r="D5" s="47">
        <v>1000</v>
      </c>
      <c r="E5" s="47">
        <f>SummaryEncryption[[#This Row],[Test Size (KB)]]/SummaryEncryption[[#This Row],[Average (ms)]]/1000</f>
        <v>8.4848774877024429</v>
      </c>
      <c r="F5" s="54">
        <f>HLOOKUP($A5,SumEnc16x16[#All],AVG,FALSE)</f>
        <v>0.11785674</v>
      </c>
      <c r="G5" s="54">
        <f>HLOOKUP($A5,SumEnc16x16[#All],MIN,FALSE)</f>
        <v>0.114568</v>
      </c>
      <c r="H5" s="54">
        <f>HLOOKUP($A5,SumEnc16x16[#All],MAX,FALSE)</f>
        <v>0.158217</v>
      </c>
      <c r="I5" s="54">
        <f>HLOOKUP($A5,SumEnc16x16[#All],MED,FALSE)</f>
        <v>0.11572199999999999</v>
      </c>
      <c r="J5" s="47">
        <f>VLOOKUP(SummaryEncryption[[#This Row],[Mode]],EncFileSummary[#All],3,FALSE)</f>
        <v>32</v>
      </c>
      <c r="O5" s="49" t="s">
        <v>3</v>
      </c>
      <c r="P5" s="18" t="s">
        <v>13</v>
      </c>
      <c r="Q5" s="47" t="str">
        <f>CONCATENATE(SummaryDecryption[[#This Row],[Mode]],"_",SummaryDecryption[[#This Row],[Key size (B)]])</f>
        <v>CFB_16B</v>
      </c>
      <c r="R5" s="47">
        <v>1000</v>
      </c>
      <c r="S5" s="47">
        <f>SummaryDecryption[[#This Row],[Test Size (KB)]]/SummaryDecryption[[#This Row],[Average (ms)]]/1000</f>
        <v>6.5993223419859894E-3</v>
      </c>
      <c r="T5" s="54">
        <f>HLOOKUP($A5,SumDec16x16[#All],AVG,FALSE)</f>
        <v>151.53071000000003</v>
      </c>
      <c r="U5" s="54">
        <f>HLOOKUP($A5,SumDec16x16[#All],MIN,FALSE)</f>
        <v>144.74</v>
      </c>
      <c r="V5" s="54">
        <f>HLOOKUP($A5,SumDec16x16[#All],MAX,FALSE)</f>
        <v>228.22</v>
      </c>
      <c r="W5" s="54">
        <f>HLOOKUP($A5,SumDec16x16[#All],MED,FALSE)</f>
        <v>151.779</v>
      </c>
      <c r="X5" s="47">
        <f>VLOOKUP(SummaryEncryption[[#This Row],[Mode]],DecFileSummary[#All],3,FALSE)</f>
        <v>16</v>
      </c>
    </row>
    <row r="6" spans="1:24" ht="17" thickTop="1" thickBot="1">
      <c r="A6" s="48" t="s">
        <v>2</v>
      </c>
      <c r="B6" s="13" t="s">
        <v>13</v>
      </c>
      <c r="C6" s="47" t="str">
        <f>CONCATENATE(SummaryEncryption[[#This Row],[Mode]],"_",SummaryEncryption[[#This Row],[Key size (B)]])</f>
        <v>OFB_16B</v>
      </c>
      <c r="D6" s="47">
        <v>1000</v>
      </c>
      <c r="E6" s="47">
        <f>SummaryEncryption[[#This Row],[Test Size (KB)]]/SummaryEncryption[[#This Row],[Average (ms)]]/1000</f>
        <v>8.5368752031776296</v>
      </c>
      <c r="F6" s="53">
        <f>HLOOKUP($A6,SumEnc16x16[#All],AVG,FALSE)</f>
        <v>0.11713888</v>
      </c>
      <c r="G6" s="53">
        <f>HLOOKUP($A6,SumEnc16x16[#All],MIN,FALSE)</f>
        <v>0.114009</v>
      </c>
      <c r="H6" s="53">
        <f>HLOOKUP($A6,SumEnc16x16[#All],MAX,FALSE)</f>
        <v>0.14622599999999999</v>
      </c>
      <c r="I6" s="53">
        <f>HLOOKUP($A6,SumEnc16x16[#All],MED,FALSE)</f>
        <v>0.11551649999999999</v>
      </c>
      <c r="J6" s="47">
        <f>VLOOKUP(SummaryEncryption[[#This Row],[Mode]],EncFileSummary[#All],3,FALSE)</f>
        <v>32</v>
      </c>
      <c r="O6" s="48" t="s">
        <v>2</v>
      </c>
      <c r="P6" s="13" t="s">
        <v>13</v>
      </c>
      <c r="Q6" s="47" t="str">
        <f>CONCATENATE(SummaryDecryption[[#This Row],[Mode]],"_",SummaryDecryption[[#This Row],[Key size (B)]])</f>
        <v>OFB_16B</v>
      </c>
      <c r="R6" s="47">
        <v>1000</v>
      </c>
      <c r="S6" s="47">
        <f>SummaryDecryption[[#This Row],[Test Size (KB)]]/SummaryDecryption[[#This Row],[Average (ms)]]/1000</f>
        <v>6.9932158114091912E-3</v>
      </c>
      <c r="T6" s="53">
        <f>HLOOKUP($A6,SumDec16x16[#All],AVG,FALSE)</f>
        <v>142.99573000000004</v>
      </c>
      <c r="U6" s="53">
        <f>HLOOKUP($A6,SumDec16x16[#All],MIN,FALSE)</f>
        <v>138.886</v>
      </c>
      <c r="V6" s="53">
        <f>HLOOKUP($A6,SumDec16x16[#All],MAX,FALSE)</f>
        <v>211.75700000000001</v>
      </c>
      <c r="W6" s="53">
        <f>HLOOKUP($A6,SumDec16x16[#All],MED,FALSE)</f>
        <v>140.91800000000001</v>
      </c>
      <c r="X6" s="47">
        <f>VLOOKUP(SummaryEncryption[[#This Row],[Mode]],DecFileSummary[#All],3,FALSE)</f>
        <v>16</v>
      </c>
    </row>
    <row r="7" spans="1:24" ht="17" thickTop="1" thickBot="1">
      <c r="A7" s="49" t="s">
        <v>4</v>
      </c>
      <c r="B7" s="18" t="s">
        <v>13</v>
      </c>
      <c r="C7" s="47" t="str">
        <f>CONCATENATE(SummaryEncryption[[#This Row],[Mode]],"_",SummaryEncryption[[#This Row],[Key size (B)]])</f>
        <v>CTR_16B</v>
      </c>
      <c r="D7" s="47">
        <v>1000</v>
      </c>
      <c r="E7" s="47">
        <f>SummaryEncryption[[#This Row],[Test Size (KB)]]/SummaryEncryption[[#This Row],[Average (ms)]]/1000</f>
        <v>8.5391561725418494</v>
      </c>
      <c r="F7" s="54">
        <f>HLOOKUP($A7,SumEnc16x16[#All],AVG,FALSE)</f>
        <v>0.11710758999999998</v>
      </c>
      <c r="G7" s="54">
        <f>HLOOKUP($A7,SumEnc16x16[#All],MIN,FALSE)</f>
        <v>0.11405700000000001</v>
      </c>
      <c r="H7" s="54">
        <f>HLOOKUP($A7,SumEnc16x16[#All],MAX,FALSE)</f>
        <v>0.140622</v>
      </c>
      <c r="I7" s="54">
        <f>HLOOKUP($A7,SumEnc16x16[#All],MED,FALSE)</f>
        <v>0.11533499999999999</v>
      </c>
      <c r="J7" s="47">
        <f>VLOOKUP(SummaryEncryption[[#This Row],[Mode]],EncFileSummary[#All],3,FALSE)</f>
        <v>32</v>
      </c>
      <c r="O7" s="49" t="s">
        <v>4</v>
      </c>
      <c r="P7" s="18" t="s">
        <v>13</v>
      </c>
      <c r="Q7" s="47" t="str">
        <f>CONCATENATE(SummaryDecryption[[#This Row],[Mode]],"_",SummaryDecryption[[#This Row],[Key size (B)]])</f>
        <v>CTR_16B</v>
      </c>
      <c r="R7" s="47">
        <v>1000</v>
      </c>
      <c r="S7" s="47">
        <f>SummaryDecryption[[#This Row],[Test Size (KB)]]/SummaryDecryption[[#This Row],[Average (ms)]]/1000</f>
        <v>6.8013251974067624E-3</v>
      </c>
      <c r="T7" s="54">
        <f>HLOOKUP($A7,SumDec16x16[#All],AVG,FALSE)</f>
        <v>147.03017000000003</v>
      </c>
      <c r="U7" s="54">
        <f>HLOOKUP($A7,SumDec16x16[#All],MIN,FALSE)</f>
        <v>144.33600000000001</v>
      </c>
      <c r="V7" s="54">
        <f>HLOOKUP($A7,SumDec16x16[#All],MAX,FALSE)</f>
        <v>173.04900000000001</v>
      </c>
      <c r="W7" s="54">
        <f>HLOOKUP($A7,SumDec16x16[#All],MED,FALSE)</f>
        <v>145.4205</v>
      </c>
      <c r="X7" s="47">
        <f>VLOOKUP(SummaryEncryption[[#This Row],[Mode]],DecFileSummary[#All],3,FALSE)</f>
        <v>16</v>
      </c>
    </row>
    <row r="8" spans="1:24" ht="17" thickTop="1" thickBot="1">
      <c r="A8" s="48" t="s">
        <v>0</v>
      </c>
      <c r="B8" s="13" t="s">
        <v>13</v>
      </c>
      <c r="C8" s="47" t="str">
        <f>CONCATENATE(SummaryEncryption[[#This Row],[Mode]],"_",SummaryEncryption[[#This Row],[Key size (B)]])</f>
        <v>ECB_16B</v>
      </c>
      <c r="D8" s="13">
        <v>5000</v>
      </c>
      <c r="E8" s="47">
        <f>SummaryEncryption[[#This Row],[Test Size (KB)]]/SummaryEncryption[[#This Row],[Average (ms)]]/1000</f>
        <v>8.2182299011024779E-3</v>
      </c>
      <c r="F8" s="53">
        <f>HLOOKUP($A8,SumEnc16X32[#All],AVG,FALSE)</f>
        <v>608.40352000000007</v>
      </c>
      <c r="G8" s="53">
        <f>HLOOKUP($A8,SumEnc16x16[#All],MIN,FALSE)</f>
        <v>113.931</v>
      </c>
      <c r="H8" s="53">
        <f>HLOOKUP($A8,SumEnc16x16[#All],MAX,FALSE)</f>
        <v>150.25399999999999</v>
      </c>
      <c r="I8" s="53">
        <f>HLOOKUP($A8,SumEnc16x16[#All],MED,FALSE)</f>
        <v>116.059</v>
      </c>
      <c r="J8" s="47">
        <f>VLOOKUP(SummaryEncryption[[#This Row],[Mode]],EncFileSummary[#All],6,FALSE)</f>
        <v>96</v>
      </c>
      <c r="O8" s="48" t="s">
        <v>0</v>
      </c>
      <c r="P8" s="13" t="s">
        <v>13</v>
      </c>
      <c r="Q8" s="47" t="str">
        <f>CONCATENATE(SummaryDecryption[[#This Row],[Mode]],"_",SummaryDecryption[[#This Row],[Key size (B)]])</f>
        <v>ECB_16B</v>
      </c>
      <c r="R8" s="13">
        <v>5000</v>
      </c>
      <c r="S8" s="47">
        <f>SummaryDecryption[[#This Row],[Test Size (KB)]]/SummaryDecryption[[#This Row],[Average (ms)]]/1000</f>
        <v>1.4272329694926382E-2</v>
      </c>
      <c r="T8" s="53">
        <f>HLOOKUP($A8,SumDec16x32[#All],AVG,FALSE)</f>
        <v>350.32823000000002</v>
      </c>
      <c r="U8" s="53">
        <f>HLOOKUP($A8,SumDec16x16[#All],MIN,FALSE)</f>
        <v>63.61</v>
      </c>
      <c r="V8" s="53">
        <f>HLOOKUP($A8,SumDec16x16[#All],MAX,FALSE)</f>
        <v>99.171000000000006</v>
      </c>
      <c r="W8" s="53">
        <f>HLOOKUP($A8,SumDec16x16[#All],MED,FALSE)</f>
        <v>64.9435</v>
      </c>
      <c r="X8" s="47">
        <f>VLOOKUP(SummaryEncryption[[#This Row],[Mode]],DecFileSummary[#All],6,FALSE)</f>
        <v>32</v>
      </c>
    </row>
    <row r="9" spans="1:24" ht="17" thickTop="1" thickBot="1">
      <c r="A9" s="49" t="s">
        <v>1</v>
      </c>
      <c r="B9" s="18" t="s">
        <v>13</v>
      </c>
      <c r="C9" s="47" t="str">
        <f>CONCATENATE(SummaryEncryption[[#This Row],[Mode]],"_",SummaryEncryption[[#This Row],[Key size (B)]])</f>
        <v>CBC_16B</v>
      </c>
      <c r="D9" s="13">
        <v>5000</v>
      </c>
      <c r="E9" s="47">
        <f>SummaryEncryption[[#This Row],[Test Size (KB)]]/SummaryEncryption[[#This Row],[Average (ms)]]/1000</f>
        <v>8.2275437133922615</v>
      </c>
      <c r="F9" s="54">
        <f>HLOOKUP($A9,SumEnc16X32[#All],AVG,FALSE)</f>
        <v>0.60771479000000017</v>
      </c>
      <c r="G9" s="54">
        <f>HLOOKUP($A9,SumEnc16X32[#All],MIN,FALSE)</f>
        <v>0.58245800000000003</v>
      </c>
      <c r="H9" s="54">
        <f>HLOOKUP($A9,SumEnc16X32[#All],MAX,FALSE)</f>
        <v>0.70157999999999998</v>
      </c>
      <c r="I9" s="54">
        <f>HLOOKUP($A9,SumEnc16X32[#All],MED,FALSE)</f>
        <v>0.60118199999999999</v>
      </c>
      <c r="J9" s="47">
        <f>VLOOKUP(SummaryEncryption[[#This Row],[Mode]],EncFileSummary[#All],6,FALSE)</f>
        <v>96</v>
      </c>
      <c r="O9" s="49" t="s">
        <v>1</v>
      </c>
      <c r="P9" s="18" t="s">
        <v>13</v>
      </c>
      <c r="Q9" s="47" t="str">
        <f>CONCATENATE(SummaryDecryption[[#This Row],[Mode]],"_",SummaryDecryption[[#This Row],[Key size (B)]])</f>
        <v>CBC_16B</v>
      </c>
      <c r="R9" s="13">
        <v>5000</v>
      </c>
      <c r="S9" s="47">
        <f>SummaryDecryption[[#This Row],[Test Size (KB)]]/SummaryDecryption[[#This Row],[Average (ms)]]/1000</f>
        <v>1.3468276484860648E-2</v>
      </c>
      <c r="T9" s="54">
        <f>HLOOKUP($A9,SumDec16x32[#All],AVG,FALSE)</f>
        <v>371.24275</v>
      </c>
      <c r="U9" s="54">
        <f>HLOOKUP($A9,SumDec16x32[#All],MIN,FALSE)</f>
        <v>316.416</v>
      </c>
      <c r="V9" s="54">
        <f>HLOOKUP($A9,SumDec16x32[#All],MAX,FALSE)</f>
        <v>452.41500000000002</v>
      </c>
      <c r="W9" s="54">
        <f>HLOOKUP($A9,SumDec16x32[#All],MED,FALSE)</f>
        <v>361.887</v>
      </c>
      <c r="X9" s="47">
        <f>VLOOKUP(SummaryEncryption[[#This Row],[Mode]],DecFileSummary[#All],6,FALSE)</f>
        <v>32</v>
      </c>
    </row>
    <row r="10" spans="1:24" ht="17" thickTop="1" thickBot="1">
      <c r="A10" s="48" t="s">
        <v>3</v>
      </c>
      <c r="B10" s="13" t="s">
        <v>13</v>
      </c>
      <c r="C10" s="47" t="str">
        <f>CONCATENATE(SummaryEncryption[[#This Row],[Mode]],"_",SummaryEncryption[[#This Row],[Key size (B)]])</f>
        <v>CFB_16B</v>
      </c>
      <c r="D10" s="13">
        <v>5000</v>
      </c>
      <c r="E10" s="47">
        <f>SummaryEncryption[[#This Row],[Test Size (KB)]]/SummaryEncryption[[#This Row],[Average (ms)]]/1000</f>
        <v>8.2287773906375712</v>
      </c>
      <c r="F10" s="53">
        <f>HLOOKUP($A10,SumEnc16X32[#All],AVG,FALSE)</f>
        <v>0.60762368000000011</v>
      </c>
      <c r="G10" s="53">
        <f>HLOOKUP($A10,SumEnc16X32[#All],MIN,FALSE)</f>
        <v>0.58712900000000001</v>
      </c>
      <c r="H10" s="53">
        <f>HLOOKUP($A10,SumEnc16X32[#All],MAX,FALSE)</f>
        <v>0.694268</v>
      </c>
      <c r="I10" s="53">
        <f>HLOOKUP($A10,SumEnc16X32[#All],MED,FALSE)</f>
        <v>0.60056500000000002</v>
      </c>
      <c r="J10" s="47">
        <f>VLOOKUP(SummaryEncryption[[#This Row],[Mode]],EncFileSummary[#All],6,FALSE)</f>
        <v>64</v>
      </c>
      <c r="O10" s="48" t="s">
        <v>3</v>
      </c>
      <c r="P10" s="13" t="s">
        <v>13</v>
      </c>
      <c r="Q10" s="47" t="str">
        <f>CONCATENATE(SummaryDecryption[[#This Row],[Mode]],"_",SummaryDecryption[[#This Row],[Key size (B)]])</f>
        <v>CFB_16B</v>
      </c>
      <c r="R10" s="13">
        <v>5000</v>
      </c>
      <c r="S10" s="47">
        <f>SummaryDecryption[[#This Row],[Test Size (KB)]]/SummaryDecryption[[#This Row],[Average (ms)]]/1000</f>
        <v>4.8674063034508134E-3</v>
      </c>
      <c r="T10" s="53">
        <f>HLOOKUP($A10,SumDec16x32[#All],AVG,FALSE)</f>
        <v>1027.2411400000001</v>
      </c>
      <c r="U10" s="53">
        <f>HLOOKUP($A10,SumDec16x32[#All],MIN,FALSE)</f>
        <v>939.601</v>
      </c>
      <c r="V10" s="53">
        <f>HLOOKUP($A10,SumDec16x32[#All],MAX,FALSE)</f>
        <v>1218.31</v>
      </c>
      <c r="W10" s="53">
        <f>HLOOKUP($A10,SumDec16x32[#All],MED,FALSE)</f>
        <v>1011.89</v>
      </c>
      <c r="X10" s="47">
        <f>VLOOKUP(SummaryEncryption[[#This Row],[Mode]],DecFileSummary[#All],6,FALSE)</f>
        <v>32</v>
      </c>
    </row>
    <row r="11" spans="1:24" ht="17" thickTop="1" thickBot="1">
      <c r="A11" s="49" t="s">
        <v>2</v>
      </c>
      <c r="B11" s="18" t="s">
        <v>13</v>
      </c>
      <c r="C11" s="47" t="str">
        <f>CONCATENATE(SummaryEncryption[[#This Row],[Mode]],"_",SummaryEncryption[[#This Row],[Key size (B)]])</f>
        <v>OFB_16B</v>
      </c>
      <c r="D11" s="13">
        <v>5000</v>
      </c>
      <c r="E11" s="47">
        <f>SummaryEncryption[[#This Row],[Test Size (KB)]]/SummaryEncryption[[#This Row],[Average (ms)]]/1000</f>
        <v>8.245038045408851</v>
      </c>
      <c r="F11" s="54">
        <f>HLOOKUP($A11,SumEnc16X32[#All],AVG,FALSE)</f>
        <v>0.60642534000000015</v>
      </c>
      <c r="G11" s="54">
        <f>HLOOKUP($A11,SumEnc16X32[#All],MIN,FALSE)</f>
        <v>0.58478300000000005</v>
      </c>
      <c r="H11" s="54">
        <f>HLOOKUP($A11,SumEnc16X32[#All],MAX,FALSE)</f>
        <v>0.70856600000000003</v>
      </c>
      <c r="I11" s="54">
        <f>HLOOKUP($A11,SumEnc16X32[#All],MED,FALSE)</f>
        <v>0.59886050000000002</v>
      </c>
      <c r="J11" s="47">
        <f>VLOOKUP(SummaryEncryption[[#This Row],[Mode]],EncFileSummary[#All],6,FALSE)</f>
        <v>64</v>
      </c>
      <c r="O11" s="49" t="s">
        <v>2</v>
      </c>
      <c r="P11" s="18" t="s">
        <v>13</v>
      </c>
      <c r="Q11" s="47" t="str">
        <f>CONCATENATE(SummaryDecryption[[#This Row],[Mode]],"_",SummaryDecryption[[#This Row],[Key size (B)]])</f>
        <v>OFB_16B</v>
      </c>
      <c r="R11" s="13">
        <v>5000</v>
      </c>
      <c r="S11" s="47">
        <f>SummaryDecryption[[#This Row],[Test Size (KB)]]/SummaryDecryption[[#This Row],[Average (ms)]]/1000</f>
        <v>6.4178469129925302E-3</v>
      </c>
      <c r="T11" s="54">
        <f>HLOOKUP($A11,SumDec16x32[#All],AVG,FALSE)</f>
        <v>779.07748000000004</v>
      </c>
      <c r="U11" s="54">
        <f>HLOOKUP($A11,SumDec16x32[#All],MIN,FALSE)</f>
        <v>705.91200000000003</v>
      </c>
      <c r="V11" s="54">
        <f>HLOOKUP($A11,SumDec16x32[#All],MAX,FALSE)</f>
        <v>972.08799999999997</v>
      </c>
      <c r="W11" s="54">
        <f>HLOOKUP($A11,SumDec16x32[#All],MED,FALSE)</f>
        <v>771.86400000000003</v>
      </c>
      <c r="X11" s="47">
        <f>VLOOKUP(SummaryEncryption[[#This Row],[Mode]],DecFileSummary[#All],6,FALSE)</f>
        <v>32</v>
      </c>
    </row>
    <row r="12" spans="1:24" ht="17" thickTop="1" thickBot="1">
      <c r="A12" s="48" t="s">
        <v>4</v>
      </c>
      <c r="B12" s="13" t="s">
        <v>13</v>
      </c>
      <c r="C12" s="47" t="str">
        <f>CONCATENATE(SummaryEncryption[[#This Row],[Mode]],"_",SummaryEncryption[[#This Row],[Key size (B)]])</f>
        <v>CTR_16B</v>
      </c>
      <c r="D12" s="13">
        <v>5000</v>
      </c>
      <c r="E12" s="47">
        <f>SummaryEncryption[[#This Row],[Test Size (KB)]]/SummaryEncryption[[#This Row],[Average (ms)]]/1000</f>
        <v>8.2738431599369129</v>
      </c>
      <c r="F12" s="53">
        <f>HLOOKUP($A12,SumEnc16X32[#All],AVG,FALSE)</f>
        <v>0.60431409000000003</v>
      </c>
      <c r="G12" s="53">
        <f>HLOOKUP($A12,SumEnc16X32[#All],MIN,FALSE)</f>
        <v>0.58232399999999995</v>
      </c>
      <c r="H12" s="53">
        <f>HLOOKUP($A12,SumEnc16X32[#All],MAX,FALSE)</f>
        <v>0.71203099999999997</v>
      </c>
      <c r="I12" s="53">
        <f>HLOOKUP($A12,SumEnc16X32[#All],MED,FALSE)</f>
        <v>0.59882550000000001</v>
      </c>
      <c r="J12" s="47">
        <f>VLOOKUP(SummaryEncryption[[#This Row],[Mode]],EncFileSummary[#All],6,FALSE)</f>
        <v>64</v>
      </c>
      <c r="O12" s="48" t="s">
        <v>4</v>
      </c>
      <c r="P12" s="13" t="s">
        <v>13</v>
      </c>
      <c r="Q12" s="47" t="str">
        <f>CONCATENATE(SummaryDecryption[[#This Row],[Mode]],"_",SummaryDecryption[[#This Row],[Key size (B)]])</f>
        <v>CTR_16B</v>
      </c>
      <c r="R12" s="13">
        <v>5000</v>
      </c>
      <c r="S12" s="47">
        <f>SummaryDecryption[[#This Row],[Test Size (KB)]]/SummaryDecryption[[#This Row],[Average (ms)]]/1000</f>
        <v>6.3774463294205847E-3</v>
      </c>
      <c r="T12" s="53">
        <f>HLOOKUP($A12,SumDec16x32[#All],AVG,FALSE)</f>
        <v>784.01287000000025</v>
      </c>
      <c r="U12" s="53">
        <f>HLOOKUP($A12,SumDec16x32[#All],MIN,FALSE)</f>
        <v>716.91700000000003</v>
      </c>
      <c r="V12" s="53">
        <f>HLOOKUP($A12,SumDec16x32[#All],MAX,FALSE)</f>
        <v>957.846</v>
      </c>
      <c r="W12" s="53">
        <f>HLOOKUP($A12,SumDec16x32[#All],MED,FALSE)</f>
        <v>768.05</v>
      </c>
      <c r="X12" s="47">
        <f>VLOOKUP(SummaryEncryption[[#This Row],[Mode]],DecFileSummary[#All],6,FALSE)</f>
        <v>32</v>
      </c>
    </row>
    <row r="13" spans="1:24" ht="17" thickTop="1" thickBot="1">
      <c r="A13" s="49" t="s">
        <v>0</v>
      </c>
      <c r="B13" s="18" t="s">
        <v>13</v>
      </c>
      <c r="C13" s="47" t="str">
        <f>CONCATENATE(SummaryEncryption[[#This Row],[Mode]],"_",SummaryEncryption[[#This Row],[Key size (B)]])</f>
        <v>ECB_16B</v>
      </c>
      <c r="D13" s="18">
        <v>10000</v>
      </c>
      <c r="E13" s="47">
        <f>SummaryEncryption[[#This Row],[Test Size (KB)]]/SummaryEncryption[[#This Row],[Average (ms)]]/1000</f>
        <v>8.4600071351700196E-3</v>
      </c>
      <c r="F13" s="54">
        <f>HLOOKUP($A13,SumEnc16x10[#All],AVG,FALSE)</f>
        <v>1182.0320999999997</v>
      </c>
      <c r="G13" s="54">
        <f>HLOOKUP($A13,SumEnc16x10[#All],MIN,FALSE)</f>
        <v>1149.2</v>
      </c>
      <c r="H13" s="54">
        <f>HLOOKUP($A13,SumEnc16x10[#All],MAX,FALSE)</f>
        <v>1678.15</v>
      </c>
      <c r="I13" s="54">
        <f>HLOOKUP($A13,SumEnc16x10[#All],MED,FALSE)</f>
        <v>1174.585</v>
      </c>
      <c r="J13" s="47">
        <f>VLOOKUP(SummaryEncryption[[#This Row],[Mode]],EncFileSummary[#All],9,FALSE)</f>
        <v>20971552</v>
      </c>
      <c r="O13" s="49" t="s">
        <v>0</v>
      </c>
      <c r="P13" s="18" t="s">
        <v>13</v>
      </c>
      <c r="Q13" s="47" t="str">
        <f>CONCATENATE(SummaryDecryption[[#This Row],[Mode]],"_",SummaryDecryption[[#This Row],[Key size (B)]])</f>
        <v>ECB_16B</v>
      </c>
      <c r="R13" s="18">
        <v>10000</v>
      </c>
      <c r="S13" s="47">
        <f>SummaryDecryption[[#This Row],[Test Size (KB)]]/SummaryDecryption[[#This Row],[Average (ms)]]/1000</f>
        <v>1.3656387749422655E-2</v>
      </c>
      <c r="T13" s="54">
        <f>HLOOKUP($A13,SumDec16x10[#All],AVG,FALSE)</f>
        <v>732.25806000000011</v>
      </c>
      <c r="U13" s="54">
        <f>HLOOKUP($A13,SumDec16x10[#All],MIN,FALSE)</f>
        <v>623.67899999999997</v>
      </c>
      <c r="V13" s="54">
        <f>HLOOKUP($A13,SumDec16x10[#All],MAX,FALSE)</f>
        <v>921.03200000000004</v>
      </c>
      <c r="W13" s="54">
        <f>HLOOKUP($A13,SumDec16x10[#All],MED,FALSE)</f>
        <v>729.69399999999996</v>
      </c>
      <c r="X13" s="47">
        <f>VLOOKUP(SummaryEncryption[[#This Row],[Mode]],DecFileSummary[#All],9,FALSE)</f>
        <v>10485760</v>
      </c>
    </row>
    <row r="14" spans="1:24" ht="17" thickTop="1" thickBot="1">
      <c r="A14" s="48" t="s">
        <v>1</v>
      </c>
      <c r="B14" s="13" t="s">
        <v>13</v>
      </c>
      <c r="C14" s="47" t="str">
        <f>CONCATENATE(SummaryEncryption[[#This Row],[Mode]],"_",SummaryEncryption[[#This Row],[Key size (B)]])</f>
        <v>CBC_16B</v>
      </c>
      <c r="D14" s="13">
        <v>10000</v>
      </c>
      <c r="E14" s="47">
        <f>SummaryEncryption[[#This Row],[Test Size (KB)]]/SummaryEncryption[[#This Row],[Average (ms)]]/1000</f>
        <v>8.4005376344086056</v>
      </c>
      <c r="F14" s="53">
        <f>HLOOKUP($A14,SumEnc16x10[#All],AVG,FALSE)</f>
        <v>1.1903999999999997</v>
      </c>
      <c r="G14" s="53">
        <f>HLOOKUP($A14,SumEnc16x10[#All],MIN,FALSE)</f>
        <v>1.1532800000000001</v>
      </c>
      <c r="H14" s="53">
        <f>HLOOKUP($A14,SumEnc16x10[#All],MAX,FALSE)</f>
        <v>1.64988</v>
      </c>
      <c r="I14" s="53">
        <f>HLOOKUP($A14,SumEnc16x10[#All],MED,FALSE)</f>
        <v>1.1769350000000001</v>
      </c>
      <c r="J14" s="47">
        <f>VLOOKUP(SummaryEncryption[[#This Row],[Mode]],EncFileSummary[#All],9,FALSE)</f>
        <v>20971552</v>
      </c>
      <c r="O14" s="48" t="s">
        <v>1</v>
      </c>
      <c r="P14" s="13" t="s">
        <v>13</v>
      </c>
      <c r="Q14" s="47" t="str">
        <f>CONCATENATE(SummaryDecryption[[#This Row],[Mode]],"_",SummaryDecryption[[#This Row],[Key size (B)]])</f>
        <v>CBC_16B</v>
      </c>
      <c r="R14" s="13">
        <v>10000</v>
      </c>
      <c r="S14" s="47">
        <f>SummaryDecryption[[#This Row],[Test Size (KB)]]/SummaryDecryption[[#This Row],[Average (ms)]]/1000</f>
        <v>1.4015001713894564E-2</v>
      </c>
      <c r="T14" s="53">
        <f>HLOOKUP($A14,SumDec16x10[#All],AVG,FALSE)</f>
        <v>713.52113999999972</v>
      </c>
      <c r="U14" s="53">
        <f>HLOOKUP($A14,SumDec16x10[#All],MIN,FALSE)</f>
        <v>626.50599999999997</v>
      </c>
      <c r="V14" s="53">
        <f>HLOOKUP($A14,SumDec16x10[#All],MAX,FALSE)</f>
        <v>961.84100000000001</v>
      </c>
      <c r="W14" s="53">
        <f>HLOOKUP($A14,SumDec16x10[#All],MED,FALSE)</f>
        <v>711.55549999999994</v>
      </c>
      <c r="X14" s="47">
        <f>VLOOKUP(SummaryEncryption[[#This Row],[Mode]],DecFileSummary[#All],9,FALSE)</f>
        <v>10485760</v>
      </c>
    </row>
    <row r="15" spans="1:24" ht="17" thickTop="1" thickBot="1">
      <c r="A15" s="49" t="s">
        <v>3</v>
      </c>
      <c r="B15" s="18" t="s">
        <v>13</v>
      </c>
      <c r="C15" s="47" t="str">
        <f>CONCATENATE(SummaryEncryption[[#This Row],[Mode]],"_",SummaryEncryption[[#This Row],[Key size (B)]])</f>
        <v>CFB_16B</v>
      </c>
      <c r="D15" s="18">
        <v>10000</v>
      </c>
      <c r="E15" s="47">
        <f>SummaryEncryption[[#This Row],[Test Size (KB)]]/SummaryEncryption[[#This Row],[Average (ms)]]/1000</f>
        <v>8.3144546711313083</v>
      </c>
      <c r="F15" s="54">
        <f>HLOOKUP($A15,SumEnc16x10[#All],AVG,FALSE)</f>
        <v>1.2027246999999999</v>
      </c>
      <c r="G15" s="54">
        <f>HLOOKUP($A15,SumEnc16x10[#All],MIN,FALSE)</f>
        <v>1.1598299999999999</v>
      </c>
      <c r="H15" s="54">
        <f>HLOOKUP($A15,SumEnc16x10[#All],MAX,FALSE)</f>
        <v>2.1463399999999999</v>
      </c>
      <c r="I15" s="54">
        <f>HLOOKUP($A15,SumEnc16x10[#All],MED,FALSE)</f>
        <v>1.18519</v>
      </c>
      <c r="J15" s="47">
        <f>VLOOKUP(SummaryEncryption[[#This Row],[Mode]],EncFileSummary[#All],9,FALSE)</f>
        <v>20971520</v>
      </c>
      <c r="O15" s="49" t="s">
        <v>3</v>
      </c>
      <c r="P15" s="18" t="s">
        <v>13</v>
      </c>
      <c r="Q15" s="47" t="str">
        <f>CONCATENATE(SummaryDecryption[[#This Row],[Mode]],"_",SummaryDecryption[[#This Row],[Key size (B)]])</f>
        <v>CFB_16B</v>
      </c>
      <c r="R15" s="18">
        <v>10000</v>
      </c>
      <c r="S15" s="47">
        <f>SummaryDecryption[[#This Row],[Test Size (KB)]]/SummaryDecryption[[#This Row],[Average (ms)]]/1000</f>
        <v>6.1789643091899387E-3</v>
      </c>
      <c r="T15" s="54">
        <f>HLOOKUP($A15,SumDec16x10[#All],AVG,FALSE)</f>
        <v>1618.3941999999993</v>
      </c>
      <c r="U15" s="54">
        <f>HLOOKUP($A15,SumDec16x10[#All],MIN,FALSE)</f>
        <v>1453.66</v>
      </c>
      <c r="V15" s="54">
        <f>HLOOKUP($A15,SumDec16x10[#All],MAX,FALSE)</f>
        <v>1872.27</v>
      </c>
      <c r="W15" s="54">
        <f>HLOOKUP($A15,SumDec16x10[#All],MED,FALSE)</f>
        <v>1592.42</v>
      </c>
      <c r="X15" s="47">
        <f>VLOOKUP(SummaryEncryption[[#This Row],[Mode]],DecFileSummary[#All],9,FALSE)</f>
        <v>10485760</v>
      </c>
    </row>
    <row r="16" spans="1:24" ht="17" thickTop="1" thickBot="1">
      <c r="A16" s="48" t="s">
        <v>2</v>
      </c>
      <c r="B16" s="13" t="s">
        <v>13</v>
      </c>
      <c r="C16" s="47" t="str">
        <f>CONCATENATE(SummaryEncryption[[#This Row],[Mode]],"_",SummaryEncryption[[#This Row],[Key size (B)]])</f>
        <v>OFB_16B</v>
      </c>
      <c r="D16" s="13">
        <v>10000</v>
      </c>
      <c r="E16" s="47">
        <f>SummaryEncryption[[#This Row],[Test Size (KB)]]/SummaryEncryption[[#This Row],[Average (ms)]]/1000</f>
        <v>8.193829964098736</v>
      </c>
      <c r="F16" s="53">
        <f>HLOOKUP($A16,SumEnc16x10[#All],AVG,FALSE)</f>
        <v>1.2204304999999998</v>
      </c>
      <c r="G16" s="53">
        <f>HLOOKUP($A16,SumEnc16x10[#All],MIN,FALSE)</f>
        <v>1.1619299999999999</v>
      </c>
      <c r="H16" s="53">
        <f>HLOOKUP($A16,SumEnc16x10[#All],MAX,FALSE)</f>
        <v>3.12236</v>
      </c>
      <c r="I16" s="53">
        <f>HLOOKUP($A16,SumEnc16x10[#All],MED,FALSE)</f>
        <v>1.184145</v>
      </c>
      <c r="J16" s="47">
        <f>VLOOKUP(SummaryEncryption[[#This Row],[Mode]],EncFileSummary[#All],9,FALSE)</f>
        <v>20971520</v>
      </c>
      <c r="O16" s="48" t="s">
        <v>2</v>
      </c>
      <c r="P16" s="13" t="s">
        <v>13</v>
      </c>
      <c r="Q16" s="47" t="str">
        <f>CONCATENATE(SummaryDecryption[[#This Row],[Mode]],"_",SummaryDecryption[[#This Row],[Key size (B)]])</f>
        <v>OFB_16B</v>
      </c>
      <c r="R16" s="13">
        <v>10000</v>
      </c>
      <c r="S16" s="47">
        <f>SummaryDecryption[[#This Row],[Test Size (KB)]]/SummaryDecryption[[#This Row],[Average (ms)]]/1000</f>
        <v>6.4538367704639393E-3</v>
      </c>
      <c r="T16" s="53">
        <f>HLOOKUP($A16,SumDec16x10[#All],AVG,FALSE)</f>
        <v>1549.4658999999997</v>
      </c>
      <c r="U16" s="53">
        <f>HLOOKUP($A16,SumDec16x10[#All],MIN,FALSE)</f>
        <v>1363.03</v>
      </c>
      <c r="V16" s="53">
        <f>HLOOKUP($A16,SumDec16x10[#All],MAX,FALSE)</f>
        <v>1814.28</v>
      </c>
      <c r="W16" s="53">
        <f>HLOOKUP($A16,SumDec16x10[#All],MED,FALSE)</f>
        <v>1533.3600000000001</v>
      </c>
      <c r="X16" s="47">
        <f>VLOOKUP(SummaryEncryption[[#This Row],[Mode]],DecFileSummary[#All],9,FALSE)</f>
        <v>10485760</v>
      </c>
    </row>
    <row r="17" spans="1:24" ht="17" thickTop="1" thickBot="1">
      <c r="A17" s="49" t="s">
        <v>4</v>
      </c>
      <c r="B17" s="18" t="s">
        <v>13</v>
      </c>
      <c r="C17" s="47" t="str">
        <f>CONCATENATE(SummaryEncryption[[#This Row],[Mode]],"_",SummaryEncryption[[#This Row],[Key size (B)]])</f>
        <v>CTR_16B</v>
      </c>
      <c r="D17" s="18">
        <v>10000</v>
      </c>
      <c r="E17" s="47">
        <f>SummaryEncryption[[#This Row],[Test Size (KB)]]/SummaryEncryption[[#This Row],[Average (ms)]]/1000</f>
        <v>8.478188841821753</v>
      </c>
      <c r="F17" s="54">
        <f>HLOOKUP($A17,SumEnc16x10[#All],AVG,FALSE)</f>
        <v>1.1794971999999999</v>
      </c>
      <c r="G17" s="54">
        <f>HLOOKUP($A17,SumEnc16x10[#All],MIN,FALSE)</f>
        <v>1.1511800000000001</v>
      </c>
      <c r="H17" s="54">
        <f>HLOOKUP($A17,SumEnc16x10[#All],MAX,FALSE)</f>
        <v>1.3801600000000001</v>
      </c>
      <c r="I17" s="54">
        <f>HLOOKUP($A17,SumEnc16x10[#All],MED,FALSE)</f>
        <v>1.1743649999999999</v>
      </c>
      <c r="J17" s="47">
        <f>VLOOKUP(SummaryEncryption[[#This Row],[Mode]],EncFileSummary[#All],9,FALSE)</f>
        <v>20971520</v>
      </c>
      <c r="O17" s="49" t="s">
        <v>4</v>
      </c>
      <c r="P17" s="18" t="s">
        <v>13</v>
      </c>
      <c r="Q17" s="47" t="str">
        <f>CONCATENATE(SummaryDecryption[[#This Row],[Mode]],"_",SummaryDecryption[[#This Row],[Key size (B)]])</f>
        <v>CTR_16B</v>
      </c>
      <c r="R17" s="18">
        <v>10000</v>
      </c>
      <c r="S17" s="47">
        <f>SummaryDecryption[[#This Row],[Test Size (KB)]]/SummaryDecryption[[#This Row],[Average (ms)]]/1000</f>
        <v>6.4894606940179723E-3</v>
      </c>
      <c r="T17" s="54">
        <f>HLOOKUP($A17,SumDec16x10[#All],AVG,FALSE)</f>
        <v>1540.9600999999993</v>
      </c>
      <c r="U17" s="54">
        <f>HLOOKUP($A17,SumDec16x10[#All],MIN,FALSE)</f>
        <v>1389.71</v>
      </c>
      <c r="V17" s="54">
        <f>HLOOKUP($A17,SumDec16x10[#All],MAX,FALSE)</f>
        <v>1834.94</v>
      </c>
      <c r="W17" s="54">
        <f>HLOOKUP($A17,SumDec16x10[#All],MED,FALSE)</f>
        <v>1537.71</v>
      </c>
      <c r="X17" s="47">
        <f>VLOOKUP(SummaryEncryption[[#This Row],[Mode]],DecFileSummary[#All],9,FALSE)</f>
        <v>10485760</v>
      </c>
    </row>
    <row r="18" spans="1:24" ht="17" thickTop="1" thickBot="1">
      <c r="A18" s="48" t="s">
        <v>0</v>
      </c>
      <c r="B18" s="13" t="s">
        <v>13</v>
      </c>
      <c r="C18" s="47" t="str">
        <f>CONCATENATE(SummaryEncryption[[#This Row],[Mode]],"_",SummaryEncryption[[#This Row],[Key size (B)]])</f>
        <v>ECB_16B</v>
      </c>
      <c r="D18" s="13">
        <v>256000</v>
      </c>
      <c r="E18" s="47">
        <f>SummaryEncryption[[#This Row],[Test Size (KB)]]/SummaryEncryption[[#This Row],[Average (ms)]]/1000</f>
        <v>8.306916629383489E-3</v>
      </c>
      <c r="F18" s="53">
        <f>HLOOKUP($A18,SumEnc16x256[#All],AVG,FALSE)</f>
        <v>30817.692222222224</v>
      </c>
      <c r="G18" s="53">
        <f>HLOOKUP($A18,SumEnc16x256[#All],MIN,FALSE)</f>
        <v>30033.9</v>
      </c>
      <c r="H18" s="53">
        <f>HLOOKUP($A18,SumEnc16x256[#All],MAX,FALSE)</f>
        <v>34696.300000000003</v>
      </c>
      <c r="I18" s="53">
        <f>HLOOKUP($A18,SumEnc16x256[#All],MED,FALSE)</f>
        <v>30651.5</v>
      </c>
      <c r="J18" s="47">
        <f>VLOOKUP(SummaryEncryption[[#This Row],[Mode]],EncFileSummary[#All],12,FALSE)</f>
        <v>536870944</v>
      </c>
      <c r="O18" s="48" t="s">
        <v>0</v>
      </c>
      <c r="P18" s="13" t="s">
        <v>13</v>
      </c>
      <c r="Q18" s="47" t="str">
        <f>CONCATENATE(SummaryDecryption[[#This Row],[Mode]],"_",SummaryDecryption[[#This Row],[Key size (B)]])</f>
        <v>ECB_16B</v>
      </c>
      <c r="R18" s="13">
        <v>256000</v>
      </c>
      <c r="S18" s="47">
        <f>SummaryDecryption[[#This Row],[Test Size (KB)]]/SummaryDecryption[[#This Row],[Average (ms)]]/1000</f>
        <v>1.2420113442211157E-2</v>
      </c>
      <c r="T18" s="53">
        <f>HLOOKUP($A18,SumDec16x256[#All],AVG,FALSE)</f>
        <v>20611.727999999992</v>
      </c>
      <c r="U18" s="53">
        <f>HLOOKUP($A18,SumDec16x256[#All],MIN,FALSE)</f>
        <v>17906.099999999999</v>
      </c>
      <c r="V18" s="53">
        <f>HLOOKUP($A18,SumDec16x256[#All],MAX,FALSE)</f>
        <v>39386.5</v>
      </c>
      <c r="W18" s="53">
        <f>HLOOKUP($A18,SumDec16x256[#All],MED,FALSE)</f>
        <v>19718.650000000001</v>
      </c>
      <c r="X18" s="47">
        <f>VLOOKUP(SummaryEncryption[[#This Row],[Mode]],DecFileSummary[#All],12,FALSE)</f>
        <v>268435456</v>
      </c>
    </row>
    <row r="19" spans="1:24" ht="17" thickTop="1" thickBot="1">
      <c r="A19" s="49" t="s">
        <v>1</v>
      </c>
      <c r="B19" s="18" t="s">
        <v>13</v>
      </c>
      <c r="C19" s="47" t="str">
        <f>CONCATENATE(SummaryEncryption[[#This Row],[Mode]],"_",SummaryEncryption[[#This Row],[Key size (B)]])</f>
        <v>CBC_16B</v>
      </c>
      <c r="D19" s="18">
        <v>256000</v>
      </c>
      <c r="E19" s="47">
        <f>SummaryEncryption[[#This Row],[Test Size (KB)]]/SummaryEncryption[[#This Row],[Average (ms)]]/1000</f>
        <v>8.1011627636888921</v>
      </c>
      <c r="F19" s="54">
        <f>HLOOKUP($A19,SumEnc16x256[#All],AVG,FALSE)</f>
        <v>31.600402000000003</v>
      </c>
      <c r="G19" s="54">
        <f>HLOOKUP($A19,SumEnc16x256[#All],MIN,FALSE)</f>
        <v>30.0107</v>
      </c>
      <c r="H19" s="54">
        <f>HLOOKUP($A19,SumEnc16x256[#All],MAX,FALSE)</f>
        <v>41.776200000000003</v>
      </c>
      <c r="I19" s="54">
        <f>HLOOKUP($A19,SumEnc16x256[#All],MED,FALSE)</f>
        <v>30.8565</v>
      </c>
      <c r="J19" s="47">
        <f>VLOOKUP(SummaryEncryption[[#This Row],[Mode]],EncFileSummary[#All],12,FALSE)</f>
        <v>536870944</v>
      </c>
      <c r="O19" s="49" t="s">
        <v>1</v>
      </c>
      <c r="P19" s="18" t="s">
        <v>13</v>
      </c>
      <c r="Q19" s="47" t="str">
        <f>CONCATENATE(SummaryDecryption[[#This Row],[Mode]],"_",SummaryDecryption[[#This Row],[Key size (B)]])</f>
        <v>CBC_16B</v>
      </c>
      <c r="R19" s="18">
        <v>256000</v>
      </c>
      <c r="S19" s="47">
        <f>SummaryDecryption[[#This Row],[Test Size (KB)]]/SummaryDecryption[[#This Row],[Average (ms)]]/1000</f>
        <v>1.2452524749392941E-2</v>
      </c>
      <c r="T19" s="54">
        <f>HLOOKUP($A19,SumDec16x256[#All],AVG,FALSE)</f>
        <v>20558.079999999998</v>
      </c>
      <c r="U19" s="54">
        <f>HLOOKUP($A19,SumDec16x256[#All],MIN,FALSE)</f>
        <v>17678.099999999999</v>
      </c>
      <c r="V19" s="54">
        <f>HLOOKUP($A19,SumDec16x256[#All],MAX,FALSE)</f>
        <v>71460.600000000006</v>
      </c>
      <c r="W19" s="54">
        <f>HLOOKUP($A19,SumDec16x256[#All],MED,FALSE)</f>
        <v>19202.650000000001</v>
      </c>
      <c r="X19" s="47">
        <f>VLOOKUP(SummaryEncryption[[#This Row],[Mode]],DecFileSummary[#All],12,FALSE)</f>
        <v>268435456</v>
      </c>
    </row>
    <row r="20" spans="1:24" ht="17" thickTop="1" thickBot="1">
      <c r="A20" s="48" t="s">
        <v>3</v>
      </c>
      <c r="B20" s="13" t="s">
        <v>13</v>
      </c>
      <c r="C20" s="47" t="str">
        <f>CONCATENATE(SummaryEncryption[[#This Row],[Mode]],"_",SummaryEncryption[[#This Row],[Key size (B)]])</f>
        <v>CFB_16B</v>
      </c>
      <c r="D20" s="13">
        <v>256000</v>
      </c>
      <c r="E20" s="47">
        <f>SummaryEncryption[[#This Row],[Test Size (KB)]]/SummaryEncryption[[#This Row],[Average (ms)]]/1000</f>
        <v>8.0806894722031437</v>
      </c>
      <c r="F20" s="53">
        <f>HLOOKUP($A20,SumEnc16x256[#All],AVG,FALSE)</f>
        <v>31.680464999999984</v>
      </c>
      <c r="G20" s="53">
        <f>HLOOKUP($A20,SumEnc16x256[#All],MIN,FALSE)</f>
        <v>30.071400000000001</v>
      </c>
      <c r="H20" s="53">
        <f>HLOOKUP($A20,SumEnc16x256[#All],MAX,FALSE)</f>
        <v>40.6218</v>
      </c>
      <c r="I20" s="53">
        <f>HLOOKUP($A20,SumEnc16x256[#All],MED,FALSE)</f>
        <v>30.867599999999999</v>
      </c>
      <c r="J20" s="47">
        <f>VLOOKUP(SummaryEncryption[[#This Row],[Mode]],EncFileSummary[#All],12,FALSE)</f>
        <v>536870912</v>
      </c>
      <c r="O20" s="48" t="s">
        <v>3</v>
      </c>
      <c r="P20" s="13" t="s">
        <v>13</v>
      </c>
      <c r="Q20" s="47" t="str">
        <f>CONCATENATE(SummaryDecryption[[#This Row],[Mode]],"_",SummaryDecryption[[#This Row],[Key size (B)]])</f>
        <v>CFB_16B</v>
      </c>
      <c r="R20" s="13">
        <v>256000</v>
      </c>
      <c r="S20" s="47">
        <f>SummaryDecryption[[#This Row],[Test Size (KB)]]/SummaryDecryption[[#This Row],[Average (ms)]]/1000</f>
        <v>6.2237951784015668E-3</v>
      </c>
      <c r="T20" s="53">
        <f>HLOOKUP($A20,SumDec16x256[#All],AVG,FALSE)</f>
        <v>41132.458999999981</v>
      </c>
      <c r="U20" s="53">
        <f>HLOOKUP($A20,SumDec16x256[#All],MIN,FALSE)</f>
        <v>39002</v>
      </c>
      <c r="V20" s="53">
        <f>HLOOKUP($A20,SumDec16x256[#All],MAX,FALSE)</f>
        <v>57089</v>
      </c>
      <c r="W20" s="53">
        <f>HLOOKUP($A20,SumDec16x256[#All],MED,FALSE)</f>
        <v>40251.800000000003</v>
      </c>
      <c r="X20" s="47">
        <f>VLOOKUP(SummaryEncryption[[#This Row],[Mode]],DecFileSummary[#All],12,FALSE)</f>
        <v>268435456</v>
      </c>
    </row>
    <row r="21" spans="1:24" ht="17" thickTop="1" thickBot="1">
      <c r="A21" s="49" t="s">
        <v>2</v>
      </c>
      <c r="B21" s="18" t="s">
        <v>13</v>
      </c>
      <c r="C21" s="47" t="str">
        <f>CONCATENATE(SummaryEncryption[[#This Row],[Mode]],"_",SummaryEncryption[[#This Row],[Key size (B)]])</f>
        <v>OFB_16B</v>
      </c>
      <c r="D21" s="18">
        <v>256000</v>
      </c>
      <c r="E21" s="47">
        <f>SummaryEncryption[[#This Row],[Test Size (KB)]]/SummaryEncryption[[#This Row],[Average (ms)]]/1000</f>
        <v>8.1351864610159339</v>
      </c>
      <c r="F21" s="54">
        <f>HLOOKUP($A21,SumEnc16x256[#All],AVG,FALSE)</f>
        <v>31.468239999999994</v>
      </c>
      <c r="G21" s="54">
        <f>HLOOKUP($A21,SumEnc16x256[#All],MIN,FALSE)</f>
        <v>30.116099999999999</v>
      </c>
      <c r="H21" s="54">
        <f>HLOOKUP($A21,SumEnc16x256[#All],MAX,FALSE)</f>
        <v>37.515999999999998</v>
      </c>
      <c r="I21" s="54">
        <f>HLOOKUP($A21,SumEnc16x256[#All],MED,FALSE)</f>
        <v>30.9191</v>
      </c>
      <c r="J21" s="47">
        <f>VLOOKUP(SummaryEncryption[[#This Row],[Mode]],EncFileSummary[#All],12,FALSE)</f>
        <v>536870912</v>
      </c>
      <c r="O21" s="49" t="s">
        <v>2</v>
      </c>
      <c r="P21" s="18" t="s">
        <v>13</v>
      </c>
      <c r="Q21" s="47" t="str">
        <f>CONCATENATE(SummaryDecryption[[#This Row],[Mode]],"_",SummaryDecryption[[#This Row],[Key size (B)]])</f>
        <v>OFB_16B</v>
      </c>
      <c r="R21" s="18">
        <v>256000</v>
      </c>
      <c r="S21" s="47">
        <f>SummaryDecryption[[#This Row],[Test Size (KB)]]/SummaryDecryption[[#This Row],[Average (ms)]]/1000</f>
        <v>6.3693922042321709E-3</v>
      </c>
      <c r="T21" s="54">
        <f>HLOOKUP($A21,SumDec16x256[#All],AVG,FALSE)</f>
        <v>40192.218000000008</v>
      </c>
      <c r="U21" s="54">
        <f>HLOOKUP($A21,SumDec16x256[#All],MIN,FALSE)</f>
        <v>37372.5</v>
      </c>
      <c r="V21" s="54">
        <f>HLOOKUP($A21,SumDec16x256[#All],MAX,FALSE)</f>
        <v>84828.4</v>
      </c>
      <c r="W21" s="54">
        <f>HLOOKUP($A21,SumDec16x256[#All],MED,FALSE)</f>
        <v>38461.199999999997</v>
      </c>
      <c r="X21" s="47">
        <f>VLOOKUP(SummaryEncryption[[#This Row],[Mode]],DecFileSummary[#All],12,FALSE)</f>
        <v>268435456</v>
      </c>
    </row>
    <row r="22" spans="1:24" ht="17" thickTop="1" thickBot="1">
      <c r="A22" s="48" t="s">
        <v>4</v>
      </c>
      <c r="B22" s="13" t="s">
        <v>13</v>
      </c>
      <c r="C22" s="47" t="str">
        <f>CONCATENATE(SummaryEncryption[[#This Row],[Mode]],"_",SummaryEncryption[[#This Row],[Key size (B)]])</f>
        <v>CTR_16B</v>
      </c>
      <c r="D22" s="13">
        <v>256000</v>
      </c>
      <c r="E22" s="47">
        <f>SummaryEncryption[[#This Row],[Test Size (KB)]]/SummaryEncryption[[#This Row],[Average (ms)]]/1000</f>
        <v>8.1456298616245189</v>
      </c>
      <c r="F22" s="53">
        <f>HLOOKUP($A22,SumEnc16x256[#All],AVG,FALSE)</f>
        <v>31.427895000000014</v>
      </c>
      <c r="G22" s="53">
        <f>HLOOKUP($A22,SumEnc16x256[#All],MIN,FALSE)</f>
        <v>29.929300000000001</v>
      </c>
      <c r="H22" s="53">
        <f>HLOOKUP($A22,SumEnc16x256[#All],MAX,FALSE)</f>
        <v>42.012300000000003</v>
      </c>
      <c r="I22" s="53">
        <f>HLOOKUP($A22,SumEnc16x256[#All],MED,FALSE)</f>
        <v>30.824449999999999</v>
      </c>
      <c r="J22" s="47">
        <f>VLOOKUP(SummaryEncryption[[#This Row],[Mode]],EncFileSummary[#All],12,FALSE)</f>
        <v>536870912</v>
      </c>
      <c r="O22" s="48" t="s">
        <v>4</v>
      </c>
      <c r="P22" s="13" t="s">
        <v>13</v>
      </c>
      <c r="Q22" s="47" t="str">
        <f>CONCATENATE(SummaryDecryption[[#This Row],[Mode]],"_",SummaryDecryption[[#This Row],[Key size (B)]])</f>
        <v>CTR_16B</v>
      </c>
      <c r="R22" s="13">
        <v>256000</v>
      </c>
      <c r="S22" s="47">
        <f>SummaryDecryption[[#This Row],[Test Size (KB)]]/SummaryDecryption[[#This Row],[Average (ms)]]/1000</f>
        <v>6.3782333220534946E-3</v>
      </c>
      <c r="T22" s="53">
        <f>HLOOKUP($A22,SumDec16x256[#All],AVG,FALSE)</f>
        <v>40136.505999999994</v>
      </c>
      <c r="U22" s="53">
        <f>HLOOKUP($A22,SumDec16x256[#All],MIN,FALSE)</f>
        <v>37443.199999999997</v>
      </c>
      <c r="V22" s="53">
        <f>HLOOKUP($A22,SumDec16x256[#All],MAX,FALSE)</f>
        <v>60407.4</v>
      </c>
      <c r="W22" s="53">
        <f>HLOOKUP($A22,SumDec16x256[#All],MED,FALSE)</f>
        <v>38712.699999999997</v>
      </c>
      <c r="X22" s="47">
        <f>VLOOKUP(SummaryEncryption[[#This Row],[Mode]],DecFileSummary[#All],12,FALSE)</f>
        <v>268435456</v>
      </c>
    </row>
    <row r="23" spans="1:24" ht="17" thickTop="1" thickBot="1">
      <c r="A23" s="49" t="s">
        <v>0</v>
      </c>
      <c r="B23" s="18" t="s">
        <v>15</v>
      </c>
      <c r="C23" s="47" t="str">
        <f>CONCATENATE(SummaryEncryption[[#This Row],[Mode]],"_",SummaryEncryption[[#This Row],[Key size (B)]])</f>
        <v>ECB_24B</v>
      </c>
      <c r="D23" s="47">
        <v>1000</v>
      </c>
      <c r="E23" s="47">
        <f>SummaryEncryption[[#This Row],[Test Size (KB)]]/SummaryEncryption[[#This Row],[Average (ms)]]/1000</f>
        <v>8.380059146457456E-3</v>
      </c>
      <c r="F23" s="54">
        <f>HLOOKUP($A23,SumEnc24x16[#All],AVG,FALSE)</f>
        <v>119.3309</v>
      </c>
      <c r="G23" s="54">
        <f>HLOOKUP($A23,SumEnc24x16[#All],MIN,FALSE)</f>
        <v>114.81</v>
      </c>
      <c r="H23" s="54">
        <f>HLOOKUP($A23,SumEnc24x16[#All],MAX,FALSE)</f>
        <v>147.434</v>
      </c>
      <c r="I23" s="54">
        <f>HLOOKUP($A23,SumEnc24x16[#All],MED,FALSE)</f>
        <v>116.18600000000001</v>
      </c>
      <c r="J23" s="47">
        <f>VLOOKUP(SummaryEncryption[[#This Row],[Mode]],EncFileSummary[#All],4,FALSE)</f>
        <v>64</v>
      </c>
      <c r="O23" s="49" t="s">
        <v>0</v>
      </c>
      <c r="P23" s="18" t="s">
        <v>15</v>
      </c>
      <c r="Q23" s="47" t="str">
        <f>CONCATENATE(SummaryDecryption[[#This Row],[Mode]],"_",SummaryDecryption[[#This Row],[Key size (B)]])</f>
        <v>ECB_24B</v>
      </c>
      <c r="R23" s="47">
        <v>1000</v>
      </c>
      <c r="S23" s="47">
        <f>SummaryDecryption[[#This Row],[Test Size (KB)]]/SummaryDecryption[[#This Row],[Average (ms)]]/1000</f>
        <v>1.5298089391019782E-2</v>
      </c>
      <c r="T23" s="54">
        <f>HLOOKUP($A23,SumDec24x16[#All],AVG,FALSE)</f>
        <v>65.36763999999998</v>
      </c>
      <c r="U23" s="54">
        <f>HLOOKUP($A23,SumDec24x16[#All],MIN,FALSE)</f>
        <v>63.582999999999998</v>
      </c>
      <c r="V23" s="54">
        <f>HLOOKUP($A23,SumDec24x16[#All],MAX,FALSE)</f>
        <v>91.540999999999997</v>
      </c>
      <c r="W23" s="54">
        <f>HLOOKUP($A23,SumDec24x16[#All],MED,FALSE)</f>
        <v>64.298500000000004</v>
      </c>
      <c r="X23" s="47">
        <f>VLOOKUP(SummaryEncryption[[#This Row],[Mode]],DecFileSummary[#All],4,FALSE)</f>
        <v>16</v>
      </c>
    </row>
    <row r="24" spans="1:24" ht="17" thickTop="1" thickBot="1">
      <c r="A24" s="48" t="s">
        <v>1</v>
      </c>
      <c r="B24" s="13" t="s">
        <v>15</v>
      </c>
      <c r="C24" s="47" t="str">
        <f>CONCATENATE(SummaryEncryption[[#This Row],[Mode]],"_",SummaryEncryption[[#This Row],[Key size (B)]])</f>
        <v>CBC_24B</v>
      </c>
      <c r="D24" s="47">
        <v>1000</v>
      </c>
      <c r="E24" s="47">
        <f>SummaryEncryption[[#This Row],[Test Size (KB)]]/SummaryEncryption[[#This Row],[Average (ms)]]/1000</f>
        <v>8.3744259435695998</v>
      </c>
      <c r="F24" s="53">
        <f>HLOOKUP($A24,SumEnc24x16[#All],AVG,FALSE)</f>
        <v>0.11941117</v>
      </c>
      <c r="G24" s="53">
        <f>HLOOKUP($A24,SumEnc24x16[#All],MIN,FALSE)</f>
        <v>0.11464000000000001</v>
      </c>
      <c r="H24" s="53">
        <f>HLOOKUP($A24,SumEnc24x16[#All],MAX,FALSE)</f>
        <v>0.153276</v>
      </c>
      <c r="I24" s="53">
        <f>HLOOKUP($A24,SumEnc24x16[#All],MED,FALSE)</f>
        <v>0.11586150000000001</v>
      </c>
      <c r="J24" s="47">
        <f>VLOOKUP(SummaryEncryption[[#This Row],[Mode]],EncFileSummary[#All],4,FALSE)</f>
        <v>64</v>
      </c>
      <c r="O24" s="48" t="s">
        <v>1</v>
      </c>
      <c r="P24" s="13" t="s">
        <v>15</v>
      </c>
      <c r="Q24" s="47" t="str">
        <f>CONCATENATE(SummaryDecryption[[#This Row],[Mode]],"_",SummaryDecryption[[#This Row],[Key size (B)]])</f>
        <v>CBC_24B</v>
      </c>
      <c r="R24" s="47">
        <v>1000</v>
      </c>
      <c r="S24" s="47">
        <f>SummaryDecryption[[#This Row],[Test Size (KB)]]/SummaryDecryption[[#This Row],[Average (ms)]]/1000</f>
        <v>1.5334142464917397E-2</v>
      </c>
      <c r="T24" s="53">
        <f>HLOOKUP($A24,SumDec24x16[#All],AVG,FALSE)</f>
        <v>65.213950000000011</v>
      </c>
      <c r="U24" s="53">
        <f>HLOOKUP($A24,SumDec24x16[#All],MIN,FALSE)</f>
        <v>63.917000000000002</v>
      </c>
      <c r="V24" s="53">
        <f>HLOOKUP($A24,SumDec24x16[#All],MAX,FALSE)</f>
        <v>92.831000000000003</v>
      </c>
      <c r="W24" s="53">
        <f>HLOOKUP($A24,SumDec24x16[#All],MED,FALSE)</f>
        <v>64.37</v>
      </c>
      <c r="X24" s="47">
        <f>VLOOKUP(SummaryEncryption[[#This Row],[Mode]],DecFileSummary[#All],4,FALSE)</f>
        <v>16</v>
      </c>
    </row>
    <row r="25" spans="1:24" ht="17" thickTop="1" thickBot="1">
      <c r="A25" s="49" t="s">
        <v>3</v>
      </c>
      <c r="B25" s="18" t="s">
        <v>15</v>
      </c>
      <c r="C25" s="47" t="str">
        <f>CONCATENATE(SummaryEncryption[[#This Row],[Mode]],"_",SummaryEncryption[[#This Row],[Key size (B)]])</f>
        <v>CFB_24B</v>
      </c>
      <c r="D25" s="47">
        <v>1000</v>
      </c>
      <c r="E25" s="47">
        <f>SummaryEncryption[[#This Row],[Test Size (KB)]]/SummaryEncryption[[#This Row],[Average (ms)]]/1000</f>
        <v>8.3161210418070493</v>
      </c>
      <c r="F25" s="54">
        <f>HLOOKUP($A25,SumEnc24x16[#All],AVG,FALSE)</f>
        <v>0.12024837000000005</v>
      </c>
      <c r="G25" s="54">
        <f>HLOOKUP($A25,SumEnc24x16[#All],MIN,FALSE)</f>
        <v>0.11505899999999999</v>
      </c>
      <c r="H25" s="54">
        <f>HLOOKUP($A25,SumEnc24x16[#All],MAX,FALSE)</f>
        <v>0.164382</v>
      </c>
      <c r="I25" s="54">
        <f>HLOOKUP($A25,SumEnc24x16[#All],MED,FALSE)</f>
        <v>0.116275</v>
      </c>
      <c r="J25" s="47">
        <f>VLOOKUP(SummaryEncryption[[#This Row],[Mode]],EncFileSummary[#All],4,FALSE)</f>
        <v>32</v>
      </c>
      <c r="O25" s="49" t="s">
        <v>3</v>
      </c>
      <c r="P25" s="18" t="s">
        <v>15</v>
      </c>
      <c r="Q25" s="47" t="str">
        <f>CONCATENATE(SummaryDecryption[[#This Row],[Mode]],"_",SummaryDecryption[[#This Row],[Key size (B)]])</f>
        <v>CFB_24B</v>
      </c>
      <c r="R25" s="47">
        <v>1000</v>
      </c>
      <c r="S25" s="47">
        <f>SummaryDecryption[[#This Row],[Test Size (KB)]]/SummaryDecryption[[#This Row],[Average (ms)]]/1000</f>
        <v>5.2430771850694577E-3</v>
      </c>
      <c r="T25" s="54">
        <f>HLOOKUP($A25,SumDec24x16[#All],AVG,FALSE)</f>
        <v>190.72768999999997</v>
      </c>
      <c r="U25" s="54">
        <f>HLOOKUP($A25,SumDec24x16[#All],MIN,FALSE)</f>
        <v>186.77099999999999</v>
      </c>
      <c r="V25" s="54">
        <f>HLOOKUP($A25,SumDec24x16[#All],MAX,FALSE)</f>
        <v>217.685</v>
      </c>
      <c r="W25" s="54">
        <f>HLOOKUP($A25,SumDec24x16[#All],MED,FALSE)</f>
        <v>187.98050000000001</v>
      </c>
      <c r="X25" s="47">
        <f>VLOOKUP(SummaryEncryption[[#This Row],[Mode]],DecFileSummary[#All],4,FALSE)</f>
        <v>16</v>
      </c>
    </row>
    <row r="26" spans="1:24" ht="17" thickTop="1" thickBot="1">
      <c r="A26" s="48" t="s">
        <v>2</v>
      </c>
      <c r="B26" s="13" t="s">
        <v>15</v>
      </c>
      <c r="C26" s="47" t="str">
        <f>CONCATENATE(SummaryEncryption[[#This Row],[Mode]],"_",SummaryEncryption[[#This Row],[Key size (B)]])</f>
        <v>OFB_24B</v>
      </c>
      <c r="D26" s="47">
        <v>1000</v>
      </c>
      <c r="E26" s="47">
        <f>SummaryEncryption[[#This Row],[Test Size (KB)]]/SummaryEncryption[[#This Row],[Average (ms)]]/1000</f>
        <v>8.3812405040545102</v>
      </c>
      <c r="F26" s="53">
        <f>HLOOKUP($A26,SumEnc24x16[#All],AVG,FALSE)</f>
        <v>0.11931407999999998</v>
      </c>
      <c r="G26" s="53">
        <f>HLOOKUP($A26,SumEnc24x16[#All],MIN,FALSE)</f>
        <v>0.11518299999999999</v>
      </c>
      <c r="H26" s="53">
        <f>HLOOKUP($A26,SumEnc24x16[#All],MAX,FALSE)</f>
        <v>0.138544</v>
      </c>
      <c r="I26" s="53">
        <f>HLOOKUP($A26,SumEnc24x16[#All],MED,FALSE)</f>
        <v>0.11622650000000001</v>
      </c>
      <c r="J26" s="47">
        <f>VLOOKUP(SummaryEncryption[[#This Row],[Mode]],EncFileSummary[#All],4,FALSE)</f>
        <v>32</v>
      </c>
      <c r="O26" s="48" t="s">
        <v>2</v>
      </c>
      <c r="P26" s="13" t="s">
        <v>15</v>
      </c>
      <c r="Q26" s="47" t="str">
        <f>CONCATENATE(SummaryDecryption[[#This Row],[Mode]],"_",SummaryDecryption[[#This Row],[Key size (B)]])</f>
        <v>OFB_24B</v>
      </c>
      <c r="R26" s="47">
        <v>1000</v>
      </c>
      <c r="S26" s="47">
        <f>SummaryDecryption[[#This Row],[Test Size (KB)]]/SummaryDecryption[[#This Row],[Average (ms)]]/1000</f>
        <v>7.0415969665926946E-3</v>
      </c>
      <c r="T26" s="53">
        <f>HLOOKUP($A26,SumDec24x16[#All],AVG,FALSE)</f>
        <v>142.01323999999994</v>
      </c>
      <c r="U26" s="53">
        <f>HLOOKUP($A26,SumDec24x16[#All],MIN,FALSE)</f>
        <v>138.87700000000001</v>
      </c>
      <c r="V26" s="53">
        <f>HLOOKUP($A26,SumDec24x16[#All],MAX,FALSE)</f>
        <v>175.601</v>
      </c>
      <c r="W26" s="53">
        <f>HLOOKUP($A26,SumDec24x16[#All],MED,FALSE)</f>
        <v>140.697</v>
      </c>
      <c r="X26" s="47">
        <f>VLOOKUP(SummaryEncryption[[#This Row],[Mode]],DecFileSummary[#All],4,FALSE)</f>
        <v>16</v>
      </c>
    </row>
    <row r="27" spans="1:24" ht="17" thickTop="1" thickBot="1">
      <c r="A27" s="49" t="s">
        <v>4</v>
      </c>
      <c r="B27" s="18" t="s">
        <v>15</v>
      </c>
      <c r="C27" s="47" t="str">
        <f>CONCATENATE(SummaryEncryption[[#This Row],[Mode]],"_",SummaryEncryption[[#This Row],[Key size (B)]])</f>
        <v>CTR_24B</v>
      </c>
      <c r="D27" s="47">
        <v>1000</v>
      </c>
      <c r="E27" s="47">
        <f>SummaryEncryption[[#This Row],[Test Size (KB)]]/SummaryEncryption[[#This Row],[Average (ms)]]/1000</f>
        <v>8.4033740555237806</v>
      </c>
      <c r="F27" s="54">
        <f>HLOOKUP($A27,SumEnc24x16[#All],AVG,FALSE)</f>
        <v>0.11899982000000002</v>
      </c>
      <c r="G27" s="54">
        <f>HLOOKUP($A27,SumEnc24x16[#All],MIN,FALSE)</f>
        <v>0.11458500000000001</v>
      </c>
      <c r="H27" s="54">
        <f>HLOOKUP($A27,SumEnc24x16[#All],MAX,FALSE)</f>
        <v>0.15845200000000001</v>
      </c>
      <c r="I27" s="54">
        <f>HLOOKUP($A27,SumEnc24x16[#All],MED,FALSE)</f>
        <v>0.115901</v>
      </c>
      <c r="J27" s="47">
        <f>VLOOKUP(SummaryEncryption[[#This Row],[Mode]],EncFileSummary[#All],4,FALSE)</f>
        <v>32</v>
      </c>
      <c r="O27" s="49" t="s">
        <v>4</v>
      </c>
      <c r="P27" s="18" t="s">
        <v>15</v>
      </c>
      <c r="Q27" s="47" t="str">
        <f>CONCATENATE(SummaryDecryption[[#This Row],[Mode]],"_",SummaryDecryption[[#This Row],[Key size (B)]])</f>
        <v>CTR_24B</v>
      </c>
      <c r="R27" s="47">
        <v>1000</v>
      </c>
      <c r="S27" s="47">
        <f>SummaryDecryption[[#This Row],[Test Size (KB)]]/SummaryDecryption[[#This Row],[Average (ms)]]/1000</f>
        <v>7.0645411534601306E-3</v>
      </c>
      <c r="T27" s="54">
        <f>HLOOKUP($A27,SumDec24x16[#All],AVG,FALSE)</f>
        <v>141.55201</v>
      </c>
      <c r="U27" s="54">
        <f>HLOOKUP($A27,SumDec24x16[#All],MIN,FALSE)</f>
        <v>139.572</v>
      </c>
      <c r="V27" s="54">
        <f>HLOOKUP($A27,SumDec24x16[#All],MAX,FALSE)</f>
        <v>164.38499999999999</v>
      </c>
      <c r="W27" s="54">
        <f>HLOOKUP($A27,SumDec24x16[#All],MED,FALSE)</f>
        <v>140.42449999999999</v>
      </c>
      <c r="X27" s="47">
        <f>VLOOKUP(SummaryEncryption[[#This Row],[Mode]],DecFileSummary[#All],4,FALSE)</f>
        <v>16</v>
      </c>
    </row>
    <row r="28" spans="1:24" ht="17" thickTop="1" thickBot="1">
      <c r="A28" s="48" t="s">
        <v>0</v>
      </c>
      <c r="B28" s="13" t="s">
        <v>15</v>
      </c>
      <c r="C28" s="47" t="str">
        <f>CONCATENATE(SummaryEncryption[[#This Row],[Mode]],"_",SummaryEncryption[[#This Row],[Key size (B)]])</f>
        <v>ECB_24B</v>
      </c>
      <c r="D28" s="13">
        <v>5000</v>
      </c>
      <c r="E28" s="47">
        <f>SummaryEncryption[[#This Row],[Test Size (KB)]]/SummaryEncryption[[#This Row],[Average (ms)]]/1000</f>
        <v>8.4529993456364146E-3</v>
      </c>
      <c r="F28" s="53">
        <f>HLOOKUP($A28,SumEnc24x32[#All],AVG,FALSE)</f>
        <v>591.50602000000003</v>
      </c>
      <c r="G28" s="53">
        <f>HLOOKUP($A28,SumEnc24x32[#All],MIN,FALSE)</f>
        <v>580.42399999999998</v>
      </c>
      <c r="H28" s="53">
        <f>HLOOKUP($A28,SumEnc24x32[#All],MAX,FALSE)</f>
        <v>677.19299999999998</v>
      </c>
      <c r="I28" s="53">
        <f>HLOOKUP($A28,SumEnc24x32[#All],MED,FALSE)</f>
        <v>583.22299999999996</v>
      </c>
      <c r="J28" s="47">
        <f>VLOOKUP(SummaryEncryption[[#This Row],[Mode]],EncFileSummary[#All],7,FALSE)</f>
        <v>96</v>
      </c>
      <c r="O28" s="48" t="s">
        <v>0</v>
      </c>
      <c r="P28" s="13" t="s">
        <v>15</v>
      </c>
      <c r="Q28" s="47" t="str">
        <f>CONCATENATE(SummaryDecryption[[#This Row],[Mode]],"_",SummaryDecryption[[#This Row],[Key size (B)]])</f>
        <v>ECB_24B</v>
      </c>
      <c r="R28" s="13">
        <v>5000</v>
      </c>
      <c r="S28" s="47">
        <f>SummaryDecryption[[#This Row],[Test Size (KB)]]/SummaryDecryption[[#This Row],[Average (ms)]]/1000</f>
        <v>1.4030893220693326E-2</v>
      </c>
      <c r="T28" s="53">
        <f>HLOOKUP($A28,SumDec24x32[#All],AVG,FALSE)</f>
        <v>356.35649999999993</v>
      </c>
      <c r="U28" s="53">
        <f>HLOOKUP($A28,SumDec24x32[#All],MIN,FALSE)</f>
        <v>320.31299999999999</v>
      </c>
      <c r="V28" s="53">
        <f>HLOOKUP($A28,SumDec24x32[#All],MAX,FALSE)</f>
        <v>469.678</v>
      </c>
      <c r="W28" s="53">
        <f>HLOOKUP($A28,SumDec24x32[#All],MED,FALSE)</f>
        <v>344.21800000000002</v>
      </c>
      <c r="X28" s="47">
        <f>VLOOKUP(SummaryEncryption[[#This Row],[Mode]],DecFileSummary[#All],7,FALSE)</f>
        <v>32</v>
      </c>
    </row>
    <row r="29" spans="1:24" ht="17" thickTop="1" thickBot="1">
      <c r="A29" s="49" t="s">
        <v>1</v>
      </c>
      <c r="B29" s="18" t="s">
        <v>15</v>
      </c>
      <c r="C29" s="47" t="str">
        <f>CONCATENATE(SummaryEncryption[[#This Row],[Mode]],"_",SummaryEncryption[[#This Row],[Key size (B)]])</f>
        <v>CBC_24B</v>
      </c>
      <c r="D29" s="13">
        <v>5000</v>
      </c>
      <c r="E29" s="47">
        <f>SummaryEncryption[[#This Row],[Test Size (KB)]]/SummaryEncryption[[#This Row],[Average (ms)]]/1000</f>
        <v>8.4598552627050658</v>
      </c>
      <c r="F29" s="54">
        <f>HLOOKUP($A29,SumEnc24x32[#All],AVG,FALSE)</f>
        <v>0.59102666000000026</v>
      </c>
      <c r="G29" s="54">
        <f>HLOOKUP($A29,SumEnc24x32[#All],MIN,FALSE)</f>
        <v>0.58119699999999996</v>
      </c>
      <c r="H29" s="54">
        <f>HLOOKUP($A29,SumEnc24x32[#All],MAX,FALSE)</f>
        <v>0.65286299999999997</v>
      </c>
      <c r="I29" s="54">
        <f>HLOOKUP($A29,SumEnc24x32[#All],MED,FALSE)</f>
        <v>0.58416950000000001</v>
      </c>
      <c r="J29" s="47">
        <f>VLOOKUP(SummaryEncryption[[#This Row],[Mode]],EncFileSummary[#All],7,FALSE)</f>
        <v>96</v>
      </c>
      <c r="O29" s="49" t="s">
        <v>1</v>
      </c>
      <c r="P29" s="18" t="s">
        <v>15</v>
      </c>
      <c r="Q29" s="47" t="str">
        <f>CONCATENATE(SummaryDecryption[[#This Row],[Mode]],"_",SummaryDecryption[[#This Row],[Key size (B)]])</f>
        <v>CBC_24B</v>
      </c>
      <c r="R29" s="13">
        <v>5000</v>
      </c>
      <c r="S29" s="47">
        <f>SummaryDecryption[[#This Row],[Test Size (KB)]]/SummaryDecryption[[#This Row],[Average (ms)]]/1000</f>
        <v>1.4081942938615347E-2</v>
      </c>
      <c r="T29" s="54">
        <f>HLOOKUP($A29,SumDec24x32[#All],AVG,FALSE)</f>
        <v>355.06464</v>
      </c>
      <c r="U29" s="54">
        <f>HLOOKUP($A29,SumDec24x32[#All],MIN,FALSE)</f>
        <v>326.17399999999998</v>
      </c>
      <c r="V29" s="54">
        <f>HLOOKUP($A29,SumDec24x32[#All],MAX,FALSE)</f>
        <v>538.86300000000006</v>
      </c>
      <c r="W29" s="54">
        <f>HLOOKUP($A29,SumDec24x32[#All],MED,FALSE)</f>
        <v>346.00799999999998</v>
      </c>
      <c r="X29" s="47">
        <f>VLOOKUP(SummaryEncryption[[#This Row],[Mode]],DecFileSummary[#All],7,FALSE)</f>
        <v>32</v>
      </c>
    </row>
    <row r="30" spans="1:24" ht="17" thickTop="1" thickBot="1">
      <c r="A30" s="48" t="s">
        <v>3</v>
      </c>
      <c r="B30" s="13" t="s">
        <v>15</v>
      </c>
      <c r="C30" s="47" t="str">
        <f>CONCATENATE(SummaryEncryption[[#This Row],[Mode]],"_",SummaryEncryption[[#This Row],[Key size (B)]])</f>
        <v>CFB_24B</v>
      </c>
      <c r="D30" s="13">
        <v>5000</v>
      </c>
      <c r="E30" s="47">
        <f>SummaryEncryption[[#This Row],[Test Size (KB)]]/SummaryEncryption[[#This Row],[Average (ms)]]/1000</f>
        <v>8.4336456447253898</v>
      </c>
      <c r="F30" s="53">
        <f>HLOOKUP($A30,SumEnc24x32[#All],AVG,FALSE)</f>
        <v>0.59286342000000003</v>
      </c>
      <c r="G30" s="53">
        <f>HLOOKUP($A30,SumEnc24x32[#All],MIN,FALSE)</f>
        <v>0.581399</v>
      </c>
      <c r="H30" s="53">
        <f>HLOOKUP($A30,SumEnc24x32[#All],MAX,FALSE)</f>
        <v>0.67401299999999997</v>
      </c>
      <c r="I30" s="53">
        <f>HLOOKUP($A30,SumEnc24x32[#All],MED,FALSE)</f>
        <v>0.58432949999999995</v>
      </c>
      <c r="J30" s="47">
        <f>VLOOKUP(SummaryEncryption[[#This Row],[Mode]],EncFileSummary[#All],7,FALSE)</f>
        <v>64</v>
      </c>
      <c r="O30" s="48" t="s">
        <v>3</v>
      </c>
      <c r="P30" s="13" t="s">
        <v>15</v>
      </c>
      <c r="Q30" s="47" t="str">
        <f>CONCATENATE(SummaryDecryption[[#This Row],[Mode]],"_",SummaryDecryption[[#This Row],[Key size (B)]])</f>
        <v>CFB_24B</v>
      </c>
      <c r="R30" s="13">
        <v>5000</v>
      </c>
      <c r="S30" s="47">
        <f>SummaryDecryption[[#This Row],[Test Size (KB)]]/SummaryDecryption[[#This Row],[Average (ms)]]/1000</f>
        <v>6.2846106865304943E-3</v>
      </c>
      <c r="T30" s="53">
        <f>HLOOKUP($A30,SumDec24x32[#All],AVG,FALSE)</f>
        <v>795.59422999999992</v>
      </c>
      <c r="U30" s="53">
        <f>HLOOKUP($A30,SumDec24x32[#All],MIN,FALSE)</f>
        <v>730.33600000000001</v>
      </c>
      <c r="V30" s="53">
        <f>HLOOKUP($A30,SumDec24x32[#All],MAX,FALSE)</f>
        <v>1150.8499999999999</v>
      </c>
      <c r="W30" s="53">
        <f>HLOOKUP($A30,SumDec24x32[#All],MED,FALSE)</f>
        <v>779.39750000000004</v>
      </c>
      <c r="X30" s="47">
        <f>VLOOKUP(SummaryEncryption[[#This Row],[Mode]],DecFileSummary[#All],7,FALSE)</f>
        <v>32</v>
      </c>
    </row>
    <row r="31" spans="1:24" ht="17" thickTop="1" thickBot="1">
      <c r="A31" s="49" t="s">
        <v>2</v>
      </c>
      <c r="B31" s="18" t="s">
        <v>15</v>
      </c>
      <c r="C31" s="47" t="str">
        <f>CONCATENATE(SummaryEncryption[[#This Row],[Mode]],"_",SummaryEncryption[[#This Row],[Key size (B)]])</f>
        <v>OFB_24B</v>
      </c>
      <c r="D31" s="13">
        <v>5000</v>
      </c>
      <c r="E31" s="47">
        <f>SummaryEncryption[[#This Row],[Test Size (KB)]]/SummaryEncryption[[#This Row],[Average (ms)]]/1000</f>
        <v>8.458785152998189</v>
      </c>
      <c r="F31" s="54">
        <f>HLOOKUP($A31,SumEnc24x32[#All],AVG,FALSE)</f>
        <v>0.59110143000000015</v>
      </c>
      <c r="G31" s="54">
        <f>HLOOKUP($A31,SumEnc24x32[#All],MIN,FALSE)</f>
        <v>0.580627</v>
      </c>
      <c r="H31" s="54">
        <f>HLOOKUP($A31,SumEnc24x32[#All],MAX,FALSE)</f>
        <v>0.66195300000000001</v>
      </c>
      <c r="I31" s="54">
        <f>HLOOKUP($A31,SumEnc24x32[#All],MED,FALSE)</f>
        <v>0.58389000000000002</v>
      </c>
      <c r="J31" s="47">
        <f>VLOOKUP(SummaryEncryption[[#This Row],[Mode]],EncFileSummary[#All],7,FALSE)</f>
        <v>64</v>
      </c>
      <c r="O31" s="49" t="s">
        <v>2</v>
      </c>
      <c r="P31" s="18" t="s">
        <v>15</v>
      </c>
      <c r="Q31" s="47" t="str">
        <f>CONCATENATE(SummaryDecryption[[#This Row],[Mode]],"_",SummaryDecryption[[#This Row],[Key size (B)]])</f>
        <v>OFB_24B</v>
      </c>
      <c r="R31" s="13">
        <v>5000</v>
      </c>
      <c r="S31" s="47">
        <f>SummaryDecryption[[#This Row],[Test Size (KB)]]/SummaryDecryption[[#This Row],[Average (ms)]]/1000</f>
        <v>6.6333574831768114E-3</v>
      </c>
      <c r="T31" s="54">
        <f>HLOOKUP($A31,SumDec24x32[#All],AVG,FALSE)</f>
        <v>753.76609999999982</v>
      </c>
      <c r="U31" s="54">
        <f>HLOOKUP($A31,SumDec24x32[#All],MIN,FALSE)</f>
        <v>687.13599999999997</v>
      </c>
      <c r="V31" s="54">
        <f>HLOOKUP($A31,SumDec24x32[#All],MAX,FALSE)</f>
        <v>1381.15</v>
      </c>
      <c r="W31" s="54">
        <f>HLOOKUP($A31,SumDec24x32[#All],MED,FALSE)</f>
        <v>733.75299999999993</v>
      </c>
      <c r="X31" s="47">
        <f>VLOOKUP(SummaryEncryption[[#This Row],[Mode]],DecFileSummary[#All],7,FALSE)</f>
        <v>32</v>
      </c>
    </row>
    <row r="32" spans="1:24" ht="17" thickTop="1" thickBot="1">
      <c r="A32" s="48" t="s">
        <v>4</v>
      </c>
      <c r="B32" s="13" t="s">
        <v>15</v>
      </c>
      <c r="C32" s="47" t="str">
        <f>CONCATENATE(SummaryEncryption[[#This Row],[Mode]],"_",SummaryEncryption[[#This Row],[Key size (B)]])</f>
        <v>CTR_24B</v>
      </c>
      <c r="D32" s="13">
        <v>5000</v>
      </c>
      <c r="E32" s="47">
        <f>SummaryEncryption[[#This Row],[Test Size (KB)]]/SummaryEncryption[[#This Row],[Average (ms)]]/1000</f>
        <v>8.4675335795285651</v>
      </c>
      <c r="F32" s="53">
        <f>HLOOKUP($A32,SumEnc24x32[#All],AVG,FALSE)</f>
        <v>0.59049072000000014</v>
      </c>
      <c r="G32" s="53">
        <f>HLOOKUP($A32,SumEnc24x32[#All],MIN,FALSE)</f>
        <v>0.57942099999999996</v>
      </c>
      <c r="H32" s="53">
        <f>HLOOKUP($A32,SumEnc24x32[#All],MAX,FALSE)</f>
        <v>0.69999900000000004</v>
      </c>
      <c r="I32" s="53">
        <f>HLOOKUP($A32,SumEnc24x32[#All],MED,FALSE)</f>
        <v>0.58318249999999994</v>
      </c>
      <c r="J32" s="47">
        <f>VLOOKUP(SummaryEncryption[[#This Row],[Mode]],EncFileSummary[#All],7,FALSE)</f>
        <v>64</v>
      </c>
      <c r="O32" s="48" t="s">
        <v>4</v>
      </c>
      <c r="P32" s="13" t="s">
        <v>15</v>
      </c>
      <c r="Q32" s="47" t="str">
        <f>CONCATENATE(SummaryDecryption[[#This Row],[Mode]],"_",SummaryDecryption[[#This Row],[Key size (B)]])</f>
        <v>CTR_24B</v>
      </c>
      <c r="R32" s="13">
        <v>5000</v>
      </c>
      <c r="S32" s="47">
        <f>SummaryDecryption[[#This Row],[Test Size (KB)]]/SummaryDecryption[[#This Row],[Average (ms)]]/1000</f>
        <v>6.5378578779271878E-3</v>
      </c>
      <c r="T32" s="53">
        <f>HLOOKUP($A32,SumDec24x32[#All],AVG,FALSE)</f>
        <v>764.77648999999951</v>
      </c>
      <c r="U32" s="53">
        <f>HLOOKUP($A32,SumDec24x32[#All],MIN,FALSE)</f>
        <v>698.52</v>
      </c>
      <c r="V32" s="53">
        <f>HLOOKUP($A32,SumDec24x32[#All],MAX,FALSE)</f>
        <v>966.98699999999997</v>
      </c>
      <c r="W32" s="53">
        <f>HLOOKUP($A32,SumDec24x32[#All],MED,FALSE)</f>
        <v>751.2</v>
      </c>
      <c r="X32" s="47">
        <f>VLOOKUP(SummaryEncryption[[#This Row],[Mode]],DecFileSummary[#All],7,FALSE)</f>
        <v>32</v>
      </c>
    </row>
    <row r="33" spans="1:24" ht="17" thickTop="1" thickBot="1">
      <c r="A33" s="49" t="s">
        <v>0</v>
      </c>
      <c r="B33" s="18" t="s">
        <v>15</v>
      </c>
      <c r="C33" s="47" t="str">
        <f>CONCATENATE(SummaryEncryption[[#This Row],[Mode]],"_",SummaryEncryption[[#This Row],[Key size (B)]])</f>
        <v>ECB_24B</v>
      </c>
      <c r="D33" s="18">
        <v>10000</v>
      </c>
      <c r="E33" s="47">
        <f>SummaryEncryption[[#This Row],[Test Size (KB)]]/SummaryEncryption[[#This Row],[Average (ms)]]/1000</f>
        <v>8.3813156670844175E-3</v>
      </c>
      <c r="F33" s="54">
        <f>HLOOKUP($A33,SumEnc24x10[#All],AVG,FALSE)</f>
        <v>1193.1301000000003</v>
      </c>
      <c r="G33" s="54">
        <f>HLOOKUP($A33,SumEnc24x10[#All],MIN,FALSE)</f>
        <v>1161.1199999999999</v>
      </c>
      <c r="H33" s="54">
        <f>HLOOKUP($A33,SumEnc24x10[#All],MAX,FALSE)</f>
        <v>1454.54</v>
      </c>
      <c r="I33" s="54">
        <f>HLOOKUP($A33,SumEnc24x10[#All],MED,FALSE)</f>
        <v>1186.9949999999999</v>
      </c>
      <c r="J33" s="47">
        <f>VLOOKUP(SummaryEncryption[[#This Row],[Mode]],EncFileSummary[#All],10,FALSE)</f>
        <v>20971552</v>
      </c>
      <c r="O33" s="49" t="s">
        <v>0</v>
      </c>
      <c r="P33" s="18" t="s">
        <v>15</v>
      </c>
      <c r="Q33" s="47" t="str">
        <f>CONCATENATE(SummaryDecryption[[#This Row],[Mode]],"_",SummaryDecryption[[#This Row],[Key size (B)]])</f>
        <v>ECB_24B</v>
      </c>
      <c r="R33" s="18">
        <v>10000</v>
      </c>
      <c r="S33" s="47">
        <f>SummaryDecryption[[#This Row],[Test Size (KB)]]/SummaryDecryption[[#This Row],[Average (ms)]]/1000</f>
        <v>1.3958281710954805E-2</v>
      </c>
      <c r="T33" s="54">
        <f>HLOOKUP($A33,SumDec24x10[#All],AVG,FALSE)</f>
        <v>716.42056000000002</v>
      </c>
      <c r="U33" s="54">
        <f>HLOOKUP($A33,SumDec24x10[#All],MIN,FALSE)</f>
        <v>641.78</v>
      </c>
      <c r="V33" s="54">
        <f>HLOOKUP($A33,SumDec24x10[#All],MAX,FALSE)</f>
        <v>874.65099999999995</v>
      </c>
      <c r="W33" s="54">
        <f>HLOOKUP($A33,SumDec24x10[#All],MED,FALSE)</f>
        <v>702.2405</v>
      </c>
      <c r="X33" s="47">
        <f>VLOOKUP(SummaryEncryption[[#This Row],[Mode]],DecFileSummary[#All],10,FALSE)</f>
        <v>10485760</v>
      </c>
    </row>
    <row r="34" spans="1:24" ht="17" thickTop="1" thickBot="1">
      <c r="A34" s="48" t="s">
        <v>1</v>
      </c>
      <c r="B34" s="13" t="s">
        <v>15</v>
      </c>
      <c r="C34" s="47" t="str">
        <f>CONCATENATE(SummaryEncryption[[#This Row],[Mode]],"_",SummaryEncryption[[#This Row],[Key size (B)]])</f>
        <v>CBC_24B</v>
      </c>
      <c r="D34" s="13">
        <v>10000</v>
      </c>
      <c r="E34" s="47">
        <f>SummaryEncryption[[#This Row],[Test Size (KB)]]/SummaryEncryption[[#This Row],[Average (ms)]]/1000</f>
        <v>8.3930703118554355</v>
      </c>
      <c r="F34" s="53">
        <f>HLOOKUP($A34,SumEnc24x10[#All],AVG,FALSE)</f>
        <v>1.1914591000000003</v>
      </c>
      <c r="G34" s="53">
        <f>HLOOKUP($A34,SumEnc24x10[#All],MIN,FALSE)</f>
        <v>1.1619999999999999</v>
      </c>
      <c r="H34" s="53">
        <f>HLOOKUP($A34,SumEnc24x10[#All],MAX,FALSE)</f>
        <v>1.35043</v>
      </c>
      <c r="I34" s="53">
        <f>HLOOKUP($A34,SumEnc24x10[#All],MED,FALSE)</f>
        <v>1.1863000000000001</v>
      </c>
      <c r="J34" s="47">
        <f>VLOOKUP(SummaryEncryption[[#This Row],[Mode]],EncFileSummary[#All],10,FALSE)</f>
        <v>20971552</v>
      </c>
      <c r="O34" s="48" t="s">
        <v>1</v>
      </c>
      <c r="P34" s="13" t="s">
        <v>15</v>
      </c>
      <c r="Q34" s="47" t="str">
        <f>CONCATENATE(SummaryDecryption[[#This Row],[Mode]],"_",SummaryDecryption[[#This Row],[Key size (B)]])</f>
        <v>CBC_24B</v>
      </c>
      <c r="R34" s="13">
        <v>10000</v>
      </c>
      <c r="S34" s="47">
        <f>SummaryDecryption[[#This Row],[Test Size (KB)]]/SummaryDecryption[[#This Row],[Average (ms)]]/1000</f>
        <v>1.4017849404253314E-2</v>
      </c>
      <c r="T34" s="53">
        <f>HLOOKUP($A34,SumDec24x10[#All],AVG,FALSE)</f>
        <v>713.37619000000007</v>
      </c>
      <c r="U34" s="53">
        <f>HLOOKUP($A34,SumDec24x10[#All],MIN,FALSE)</f>
        <v>642.07000000000005</v>
      </c>
      <c r="V34" s="53">
        <f>HLOOKUP($A34,SumDec24x10[#All],MAX,FALSE)</f>
        <v>910.12099999999998</v>
      </c>
      <c r="W34" s="53">
        <f>HLOOKUP($A34,SumDec24x10[#All],MED,FALSE)</f>
        <v>705.43949999999995</v>
      </c>
      <c r="X34" s="47">
        <f>VLOOKUP(SummaryEncryption[[#This Row],[Mode]],DecFileSummary[#All],10,FALSE)</f>
        <v>10485760</v>
      </c>
    </row>
    <row r="35" spans="1:24" ht="17" thickTop="1" thickBot="1">
      <c r="A35" s="49" t="s">
        <v>3</v>
      </c>
      <c r="B35" s="18" t="s">
        <v>15</v>
      </c>
      <c r="C35" s="47" t="str">
        <f>CONCATENATE(SummaryEncryption[[#This Row],[Mode]],"_",SummaryEncryption[[#This Row],[Key size (B)]])</f>
        <v>CFB_24B</v>
      </c>
      <c r="D35" s="18">
        <v>10000</v>
      </c>
      <c r="E35" s="47">
        <f>SummaryEncryption[[#This Row],[Test Size (KB)]]/SummaryEncryption[[#This Row],[Average (ms)]]/1000</f>
        <v>8.4238702831801966</v>
      </c>
      <c r="F35" s="54">
        <f>HLOOKUP($A35,SumEnc24x10[#All],AVG,FALSE)</f>
        <v>1.1871027999999995</v>
      </c>
      <c r="G35" s="54">
        <f>HLOOKUP($A35,SumEnc24x10[#All],MIN,FALSE)</f>
        <v>1.1625099999999999</v>
      </c>
      <c r="H35" s="54">
        <f>HLOOKUP($A35,SumEnc24x10[#All],MAX,FALSE)</f>
        <v>1.34371</v>
      </c>
      <c r="I35" s="54">
        <f>HLOOKUP($A35,SumEnc24x10[#All],MED,FALSE)</f>
        <v>1.18682</v>
      </c>
      <c r="J35" s="47">
        <f>VLOOKUP(SummaryEncryption[[#This Row],[Mode]],EncFileSummary[#All],10,FALSE)</f>
        <v>20971520</v>
      </c>
      <c r="O35" s="49" t="s">
        <v>3</v>
      </c>
      <c r="P35" s="18" t="s">
        <v>15</v>
      </c>
      <c r="Q35" s="47" t="str">
        <f>CONCATENATE(SummaryDecryption[[#This Row],[Mode]],"_",SummaryDecryption[[#This Row],[Key size (B)]])</f>
        <v>CFB_24B</v>
      </c>
      <c r="R35" s="18">
        <v>10000</v>
      </c>
      <c r="S35" s="47">
        <f>SummaryDecryption[[#This Row],[Test Size (KB)]]/SummaryDecryption[[#This Row],[Average (ms)]]/1000</f>
        <v>4.8946571879998676E-3</v>
      </c>
      <c r="T35" s="54">
        <f>HLOOKUP($A35,SumDec24x10[#All],AVG,FALSE)</f>
        <v>2043.0439999999996</v>
      </c>
      <c r="U35" s="54">
        <f>HLOOKUP($A35,SumDec24x10[#All],MIN,FALSE)</f>
        <v>1873.78</v>
      </c>
      <c r="V35" s="54">
        <f>HLOOKUP($A35,SumDec24x10[#All],MAX,FALSE)</f>
        <v>2434.65</v>
      </c>
      <c r="W35" s="54">
        <f>HLOOKUP($A35,SumDec24x10[#All],MED,FALSE)</f>
        <v>2020.48</v>
      </c>
      <c r="X35" s="47">
        <f>VLOOKUP(SummaryEncryption[[#This Row],[Mode]],DecFileSummary[#All],10,FALSE)</f>
        <v>10485760</v>
      </c>
    </row>
    <row r="36" spans="1:24" ht="17" thickTop="1" thickBot="1">
      <c r="A36" s="48" t="s">
        <v>2</v>
      </c>
      <c r="B36" s="13" t="s">
        <v>15</v>
      </c>
      <c r="C36" s="47" t="str">
        <f>CONCATENATE(SummaryEncryption[[#This Row],[Mode]],"_",SummaryEncryption[[#This Row],[Key size (B)]])</f>
        <v>OFB_24B</v>
      </c>
      <c r="D36" s="13">
        <v>10000</v>
      </c>
      <c r="E36" s="47">
        <f>SummaryEncryption[[#This Row],[Test Size (KB)]]/SummaryEncryption[[#This Row],[Average (ms)]]/1000</f>
        <v>8.3999258454546357</v>
      </c>
      <c r="F36" s="53">
        <f>HLOOKUP($A36,SumEnc24x10[#All],AVG,FALSE)</f>
        <v>1.1904866999999999</v>
      </c>
      <c r="G36" s="53">
        <f>HLOOKUP($A36,SumEnc24x10[#All],MIN,FALSE)</f>
        <v>1.1652899999999999</v>
      </c>
      <c r="H36" s="53">
        <f>HLOOKUP($A36,SumEnc24x10[#All],MAX,FALSE)</f>
        <v>1.4149099999999999</v>
      </c>
      <c r="I36" s="53">
        <f>HLOOKUP($A36,SumEnc24x10[#All],MED,FALSE)</f>
        <v>1.18479</v>
      </c>
      <c r="J36" s="47">
        <f>VLOOKUP(SummaryEncryption[[#This Row],[Mode]],EncFileSummary[#All],10,FALSE)</f>
        <v>20971520</v>
      </c>
      <c r="O36" s="48" t="s">
        <v>2</v>
      </c>
      <c r="P36" s="13" t="s">
        <v>15</v>
      </c>
      <c r="Q36" s="47" t="str">
        <f>CONCATENATE(SummaryDecryption[[#This Row],[Mode]],"_",SummaryDecryption[[#This Row],[Key size (B)]])</f>
        <v>OFB_24B</v>
      </c>
      <c r="R36" s="13">
        <v>10000</v>
      </c>
      <c r="S36" s="47">
        <f>SummaryDecryption[[#This Row],[Test Size (KB)]]/SummaryDecryption[[#This Row],[Average (ms)]]/1000</f>
        <v>6.6559647627900701E-3</v>
      </c>
      <c r="T36" s="53">
        <f>HLOOKUP($A36,SumDec24x10[#All],AVG,FALSE)</f>
        <v>1502.4117999999996</v>
      </c>
      <c r="U36" s="53">
        <f>HLOOKUP($A36,SumDec24x10[#All],MIN,FALSE)</f>
        <v>1376.31</v>
      </c>
      <c r="V36" s="53">
        <f>HLOOKUP($A36,SumDec24x10[#All],MAX,FALSE)</f>
        <v>1733.52</v>
      </c>
      <c r="W36" s="53">
        <f>HLOOKUP($A36,SumDec24x10[#All],MED,FALSE)</f>
        <v>1473.9099999999999</v>
      </c>
      <c r="X36" s="47">
        <f>VLOOKUP(SummaryEncryption[[#This Row],[Mode]],DecFileSummary[#All],10,FALSE)</f>
        <v>10485760</v>
      </c>
    </row>
    <row r="37" spans="1:24" ht="17" thickTop="1" thickBot="1">
      <c r="A37" s="49" t="s">
        <v>4</v>
      </c>
      <c r="B37" s="18" t="s">
        <v>15</v>
      </c>
      <c r="C37" s="47" t="str">
        <f>CONCATENATE(SummaryEncryption[[#This Row],[Mode]],"_",SummaryEncryption[[#This Row],[Key size (B)]])</f>
        <v>CTR_24B</v>
      </c>
      <c r="D37" s="18">
        <v>10000</v>
      </c>
      <c r="E37" s="47">
        <f>SummaryEncryption[[#This Row],[Test Size (KB)]]/SummaryEncryption[[#This Row],[Average (ms)]]/1000</f>
        <v>8.4188258078431648</v>
      </c>
      <c r="F37" s="54">
        <f>HLOOKUP($A37,SumEnc24x10[#All],AVG,FALSE)</f>
        <v>1.1878140999999998</v>
      </c>
      <c r="G37" s="54">
        <f>HLOOKUP($A37,SumEnc24x10[#All],MIN,FALSE)</f>
        <v>1.1628799999999999</v>
      </c>
      <c r="H37" s="54">
        <f>HLOOKUP($A37,SumEnc24x10[#All],MAX,FALSE)</f>
        <v>1.3167500000000001</v>
      </c>
      <c r="I37" s="54">
        <f>HLOOKUP($A37,SumEnc24x10[#All],MED,FALSE)</f>
        <v>1.1839500000000001</v>
      </c>
      <c r="J37" s="47">
        <f>VLOOKUP(SummaryEncryption[[#This Row],[Mode]],EncFileSummary[#All],10,FALSE)</f>
        <v>20971520</v>
      </c>
      <c r="O37" s="49" t="s">
        <v>4</v>
      </c>
      <c r="P37" s="18" t="s">
        <v>15</v>
      </c>
      <c r="Q37" s="47" t="str">
        <f>CONCATENATE(SummaryDecryption[[#This Row],[Mode]],"_",SummaryDecryption[[#This Row],[Key size (B)]])</f>
        <v>CTR_24B</v>
      </c>
      <c r="R37" s="18">
        <v>10000</v>
      </c>
      <c r="S37" s="47">
        <f>SummaryDecryption[[#This Row],[Test Size (KB)]]/SummaryDecryption[[#This Row],[Average (ms)]]/1000</f>
        <v>6.5011347730746377E-3</v>
      </c>
      <c r="T37" s="54">
        <f>HLOOKUP($A37,SumDec24x10[#All],AVG,FALSE)</f>
        <v>1538.1930000000007</v>
      </c>
      <c r="U37" s="54">
        <f>HLOOKUP($A37,SumDec24x10[#All],MIN,FALSE)</f>
        <v>1396.6</v>
      </c>
      <c r="V37" s="54">
        <f>HLOOKUP($A37,SumDec24x10[#All],MAX,FALSE)</f>
        <v>1809.69</v>
      </c>
      <c r="W37" s="54">
        <f>HLOOKUP($A37,SumDec24x10[#All],MED,FALSE)</f>
        <v>1520.94</v>
      </c>
      <c r="X37" s="47">
        <f>VLOOKUP(SummaryEncryption[[#This Row],[Mode]],DecFileSummary[#All],10,FALSE)</f>
        <v>10485760</v>
      </c>
    </row>
    <row r="38" spans="1:24" ht="17" thickTop="1" thickBot="1">
      <c r="A38" s="48" t="s">
        <v>0</v>
      </c>
      <c r="B38" s="13" t="s">
        <v>15</v>
      </c>
      <c r="C38" s="47" t="str">
        <f>CONCATENATE(SummaryEncryption[[#This Row],[Mode]],"_",SummaryEncryption[[#This Row],[Key size (B)]])</f>
        <v>ECB_24B</v>
      </c>
      <c r="D38" s="13">
        <v>256000</v>
      </c>
      <c r="E38" s="47">
        <f>SummaryEncryption[[#This Row],[Test Size (KB)]]/SummaryEncryption[[#This Row],[Average (ms)]]/1000</f>
        <v>7.487358574837448E-3</v>
      </c>
      <c r="F38" s="53">
        <f>HLOOKUP($A38,SumEnc24x256[#All],AVG,FALSE)</f>
        <v>34190.963000000011</v>
      </c>
      <c r="G38" s="53">
        <f>HLOOKUP($A38,SumEnc24x256[#All],MIN,FALSE)</f>
        <v>29876.9</v>
      </c>
      <c r="H38" s="53">
        <f>HLOOKUP($A38,SumEnc24x256[#All],MAX,FALSE)</f>
        <v>73095.7</v>
      </c>
      <c r="I38" s="53">
        <f>HLOOKUP($A38,SumEnc24x256[#All],MED,FALSE)</f>
        <v>32678.55</v>
      </c>
      <c r="J38" s="47">
        <f>VLOOKUP(SummaryEncryption[[#This Row],[Mode]],EncFileSummary[#All],13,FALSE)</f>
        <v>536870944</v>
      </c>
      <c r="O38" s="48" t="s">
        <v>0</v>
      </c>
      <c r="P38" s="13" t="s">
        <v>15</v>
      </c>
      <c r="Q38" s="47" t="str">
        <f>CONCATENATE(SummaryDecryption[[#This Row],[Mode]],"_",SummaryDecryption[[#This Row],[Key size (B)]])</f>
        <v>ECB_24B</v>
      </c>
      <c r="R38" s="13">
        <v>256000</v>
      </c>
      <c r="S38" s="47">
        <f>SummaryDecryption[[#This Row],[Test Size (KB)]]/SummaryDecryption[[#This Row],[Average (ms)]]/1000</f>
        <v>1.2024838619385058E-2</v>
      </c>
      <c r="T38" s="53">
        <f>HLOOKUP($A38,SumDec24x256[#All],AVG,FALSE)</f>
        <v>21289.267000000011</v>
      </c>
      <c r="U38" s="53">
        <f>HLOOKUP($A38,SumDec24x256[#All],MIN,FALSE)</f>
        <v>17306.3</v>
      </c>
      <c r="V38" s="53">
        <f>HLOOKUP($A38,SumDec24x256[#All],MAX,FALSE)</f>
        <v>78748.899999999994</v>
      </c>
      <c r="W38" s="53">
        <f>HLOOKUP($A38,SumDec24x256[#All],MED,FALSE)</f>
        <v>20025.449999999997</v>
      </c>
      <c r="X38" s="47">
        <f>VLOOKUP(SummaryEncryption[[#This Row],[Mode]],DecFileSummary[#All],13,FALSE)</f>
        <v>268435456</v>
      </c>
    </row>
    <row r="39" spans="1:24" ht="17" thickTop="1" thickBot="1">
      <c r="A39" s="49" t="s">
        <v>1</v>
      </c>
      <c r="B39" s="18" t="s">
        <v>15</v>
      </c>
      <c r="C39" s="47" t="str">
        <f>CONCATENATE(SummaryEncryption[[#This Row],[Mode]],"_",SummaryEncryption[[#This Row],[Key size (B)]])</f>
        <v>CBC_24B</v>
      </c>
      <c r="D39" s="18">
        <v>256000</v>
      </c>
      <c r="E39" s="47">
        <f>SummaryEncryption[[#This Row],[Test Size (KB)]]/SummaryEncryption[[#This Row],[Average (ms)]]/1000</f>
        <v>7.6472523243166242</v>
      </c>
      <c r="F39" s="54">
        <f>HLOOKUP($A39,SumEnc24x256[#All],AVG,FALSE)</f>
        <v>33.476076000000006</v>
      </c>
      <c r="G39" s="54">
        <f>HLOOKUP($A39,SumEnc24x256[#All],MIN,FALSE)</f>
        <v>29.899100000000001</v>
      </c>
      <c r="H39" s="54">
        <f>HLOOKUP($A39,SumEnc24x256[#All],MAX,FALSE)</f>
        <v>51.094200000000001</v>
      </c>
      <c r="I39" s="54">
        <f>HLOOKUP($A39,SumEnc24x256[#All],MED,FALSE)</f>
        <v>32.844349999999999</v>
      </c>
      <c r="J39" s="47">
        <f>VLOOKUP(SummaryEncryption[[#This Row],[Mode]],EncFileSummary[#All],13,FALSE)</f>
        <v>536870944</v>
      </c>
      <c r="O39" s="49" t="s">
        <v>1</v>
      </c>
      <c r="P39" s="18" t="s">
        <v>15</v>
      </c>
      <c r="Q39" s="47" t="str">
        <f>CONCATENATE(SummaryDecryption[[#This Row],[Mode]],"_",SummaryDecryption[[#This Row],[Key size (B)]])</f>
        <v>CBC_24B</v>
      </c>
      <c r="R39" s="18">
        <v>256000</v>
      </c>
      <c r="S39" s="47">
        <f>SummaryDecryption[[#This Row],[Test Size (KB)]]/SummaryDecryption[[#This Row],[Average (ms)]]/1000</f>
        <v>1.2092160019710226E-2</v>
      </c>
      <c r="T39" s="54">
        <f>HLOOKUP($A39,SumDec24x256[#All],AVG,FALSE)</f>
        <v>21170.741999999991</v>
      </c>
      <c r="U39" s="54">
        <f>HLOOKUP($A39,SumDec24x256[#All],MIN,FALSE)</f>
        <v>17021.900000000001</v>
      </c>
      <c r="V39" s="54">
        <f>HLOOKUP($A39,SumDec24x256[#All],MAX,FALSE)</f>
        <v>43876.5</v>
      </c>
      <c r="W39" s="54">
        <f>HLOOKUP($A39,SumDec24x256[#All],MED,FALSE)</f>
        <v>19691.7</v>
      </c>
      <c r="X39" s="47">
        <f>VLOOKUP(SummaryEncryption[[#This Row],[Mode]],DecFileSummary[#All],13,FALSE)</f>
        <v>268435456</v>
      </c>
    </row>
    <row r="40" spans="1:24" ht="17" thickTop="1" thickBot="1">
      <c r="A40" s="48" t="s">
        <v>3</v>
      </c>
      <c r="B40" s="13" t="s">
        <v>15</v>
      </c>
      <c r="C40" s="47" t="str">
        <f>CONCATENATE(SummaryEncryption[[#This Row],[Mode]],"_",SummaryEncryption[[#This Row],[Key size (B)]])</f>
        <v>CFB_24B</v>
      </c>
      <c r="D40" s="13">
        <v>256000</v>
      </c>
      <c r="E40" s="47">
        <f>SummaryEncryption[[#This Row],[Test Size (KB)]]/SummaryEncryption[[#This Row],[Average (ms)]]/1000</f>
        <v>7.4738515916121662</v>
      </c>
      <c r="F40" s="53">
        <f>HLOOKUP($A40,SumEnc24x256[#All],AVG,FALSE)</f>
        <v>34.252754000000003</v>
      </c>
      <c r="G40" s="53">
        <f>HLOOKUP($A40,SumEnc24x256[#All],MIN,FALSE)</f>
        <v>30.0639</v>
      </c>
      <c r="H40" s="53">
        <f>HLOOKUP($A40,SumEnc24x256[#All],MAX,FALSE)</f>
        <v>63.636899999999997</v>
      </c>
      <c r="I40" s="53">
        <f>HLOOKUP($A40,SumEnc24x256[#All],MED,FALSE)</f>
        <v>32.954599999999999</v>
      </c>
      <c r="J40" s="47">
        <f>VLOOKUP(SummaryEncryption[[#This Row],[Mode]],EncFileSummary[#All],13,FALSE)</f>
        <v>536870912</v>
      </c>
      <c r="O40" s="48" t="s">
        <v>3</v>
      </c>
      <c r="P40" s="13" t="s">
        <v>15</v>
      </c>
      <c r="Q40" s="47" t="str">
        <f>CONCATENATE(SummaryDecryption[[#This Row],[Mode]],"_",SummaryDecryption[[#This Row],[Key size (B)]])</f>
        <v>CFB_24B</v>
      </c>
      <c r="R40" s="13">
        <v>256000</v>
      </c>
      <c r="S40" s="47">
        <f>SummaryDecryption[[#This Row],[Test Size (KB)]]/SummaryDecryption[[#This Row],[Average (ms)]]/1000</f>
        <v>5.6301203167707977E-3</v>
      </c>
      <c r="T40" s="53">
        <f>HLOOKUP($A40,SumDec24x256[#All],AVG,FALSE)</f>
        <v>45469.721000000034</v>
      </c>
      <c r="U40" s="53">
        <f>HLOOKUP($A40,SumDec24x256[#All],MIN,FALSE)</f>
        <v>38894.1</v>
      </c>
      <c r="V40" s="53">
        <f>HLOOKUP($A40,SumDec24x256[#All],MAX,FALSE)</f>
        <v>96371.199999999997</v>
      </c>
      <c r="W40" s="53">
        <f>HLOOKUP($A40,SumDec24x256[#All],MED,FALSE)</f>
        <v>43647.1</v>
      </c>
      <c r="X40" s="47">
        <f>VLOOKUP(SummaryEncryption[[#This Row],[Mode]],DecFileSummary[#All],13,FALSE)</f>
        <v>268435456</v>
      </c>
    </row>
    <row r="41" spans="1:24" ht="17" thickTop="1" thickBot="1">
      <c r="A41" s="49" t="s">
        <v>2</v>
      </c>
      <c r="B41" s="18" t="s">
        <v>15</v>
      </c>
      <c r="C41" s="47" t="str">
        <f>CONCATENATE(SummaryEncryption[[#This Row],[Mode]],"_",SummaryEncryption[[#This Row],[Key size (B)]])</f>
        <v>OFB_24B</v>
      </c>
      <c r="D41" s="18">
        <v>256000</v>
      </c>
      <c r="E41" s="47">
        <f>SummaryEncryption[[#This Row],[Test Size (KB)]]/SummaryEncryption[[#This Row],[Average (ms)]]/1000</f>
        <v>7.4878084000867053</v>
      </c>
      <c r="F41" s="54">
        <f>HLOOKUP($A41,SumEnc24x256[#All],AVG,FALSE)</f>
        <v>34.188909000000002</v>
      </c>
      <c r="G41" s="54">
        <f>HLOOKUP($A41,SumEnc24x256[#All],MIN,FALSE)</f>
        <v>30.096299999999999</v>
      </c>
      <c r="H41" s="54">
        <f>HLOOKUP($A41,SumEnc24x256[#All],MAX,FALSE)</f>
        <v>54.861600000000003</v>
      </c>
      <c r="I41" s="54">
        <f>HLOOKUP($A41,SumEnc24x256[#All],MED,FALSE)</f>
        <v>33.129350000000002</v>
      </c>
      <c r="J41" s="47">
        <f>VLOOKUP(SummaryEncryption[[#This Row],[Mode]],EncFileSummary[#All],13,FALSE)</f>
        <v>536870912</v>
      </c>
      <c r="O41" s="49" t="s">
        <v>2</v>
      </c>
      <c r="P41" s="18" t="s">
        <v>15</v>
      </c>
      <c r="Q41" s="47" t="str">
        <f>CONCATENATE(SummaryDecryption[[#This Row],[Mode]],"_",SummaryDecryption[[#This Row],[Key size (B)]])</f>
        <v>OFB_24B</v>
      </c>
      <c r="R41" s="18">
        <v>256000</v>
      </c>
      <c r="S41" s="47">
        <f>SummaryDecryption[[#This Row],[Test Size (KB)]]/SummaryDecryption[[#This Row],[Average (ms)]]/1000</f>
        <v>6.0568285726345285E-3</v>
      </c>
      <c r="T41" s="54">
        <f>HLOOKUP($A41,SumDec24x256[#All],AVG,FALSE)</f>
        <v>42266.344000000005</v>
      </c>
      <c r="U41" s="54">
        <f>HLOOKUP($A41,SumDec24x256[#All],MIN,FALSE)</f>
        <v>36379.5</v>
      </c>
      <c r="V41" s="54">
        <f>HLOOKUP($A41,SumDec24x256[#All],MAX,FALSE)</f>
        <v>63659.7</v>
      </c>
      <c r="W41" s="54">
        <f>HLOOKUP($A41,SumDec24x256[#All],MED,FALSE)</f>
        <v>40055.65</v>
      </c>
      <c r="X41" s="47">
        <f>VLOOKUP(SummaryEncryption[[#This Row],[Mode]],DecFileSummary[#All],13,FALSE)</f>
        <v>268435456</v>
      </c>
    </row>
    <row r="42" spans="1:24" ht="17" thickTop="1" thickBot="1">
      <c r="A42" s="48" t="s">
        <v>4</v>
      </c>
      <c r="B42" s="13" t="s">
        <v>15</v>
      </c>
      <c r="C42" s="47" t="str">
        <f>CONCATENATE(SummaryEncryption[[#This Row],[Mode]],"_",SummaryEncryption[[#This Row],[Key size (B)]])</f>
        <v>CTR_24B</v>
      </c>
      <c r="D42" s="13">
        <v>256000</v>
      </c>
      <c r="E42" s="47">
        <f>SummaryEncryption[[#This Row],[Test Size (KB)]]/SummaryEncryption[[#This Row],[Average (ms)]]/1000</f>
        <v>7.4540476162814695</v>
      </c>
      <c r="F42" s="53">
        <f>HLOOKUP($A42,SumEnc24x256[#All],AVG,FALSE)</f>
        <v>34.343756999999997</v>
      </c>
      <c r="G42" s="53">
        <f>HLOOKUP($A42,SumEnc24x256[#All],MIN,FALSE)</f>
        <v>30.009399999999999</v>
      </c>
      <c r="H42" s="53">
        <f>HLOOKUP($A42,SumEnc24x256[#All],MAX,FALSE)</f>
        <v>51.603299999999997</v>
      </c>
      <c r="I42" s="53">
        <f>HLOOKUP($A42,SumEnc24x256[#All],MED,FALSE)</f>
        <v>32.502099999999999</v>
      </c>
      <c r="J42" s="47">
        <f>VLOOKUP(SummaryEncryption[[#This Row],[Mode]],EncFileSummary[#All],13,FALSE)</f>
        <v>536870912</v>
      </c>
      <c r="O42" s="48" t="s">
        <v>4</v>
      </c>
      <c r="P42" s="13" t="s">
        <v>15</v>
      </c>
      <c r="Q42" s="47" t="str">
        <f>CONCATENATE(SummaryDecryption[[#This Row],[Mode]],"_",SummaryDecryption[[#This Row],[Key size (B)]])</f>
        <v>CTR_24B</v>
      </c>
      <c r="R42" s="13">
        <v>256000</v>
      </c>
      <c r="S42" s="47">
        <f>SummaryDecryption[[#This Row],[Test Size (KB)]]/SummaryDecryption[[#This Row],[Average (ms)]]/1000</f>
        <v>5.9060070967134962E-3</v>
      </c>
      <c r="T42" s="53">
        <f>HLOOKUP($A42,SumDec24x256[#All],AVG,FALSE)</f>
        <v>43345.697999999997</v>
      </c>
      <c r="U42" s="53">
        <f>HLOOKUP($A42,SumDec24x256[#All],MIN,FALSE)</f>
        <v>36682.1</v>
      </c>
      <c r="V42" s="53">
        <f>HLOOKUP($A42,SumDec24x256[#All],MAX,FALSE)</f>
        <v>73567.399999999994</v>
      </c>
      <c r="W42" s="53">
        <f>HLOOKUP($A42,SumDec24x256[#All],MED,FALSE)</f>
        <v>40513.199999999997</v>
      </c>
      <c r="X42" s="47">
        <f>VLOOKUP(SummaryEncryption[[#This Row],[Mode]],DecFileSummary[#All],13,FALSE)</f>
        <v>268435456</v>
      </c>
    </row>
    <row r="43" spans="1:24" ht="17" thickTop="1" thickBot="1">
      <c r="A43" s="49" t="s">
        <v>0</v>
      </c>
      <c r="B43" s="18" t="s">
        <v>14</v>
      </c>
      <c r="C43" s="47" t="str">
        <f>CONCATENATE(SummaryEncryption[[#This Row],[Mode]],"_",SummaryEncryption[[#This Row],[Key size (B)]])</f>
        <v>ECB_32B</v>
      </c>
      <c r="D43" s="47">
        <v>1000</v>
      </c>
      <c r="E43" s="47">
        <f>SummaryEncryption[[#This Row],[Test Size (KB)]]/SummaryEncryption[[#This Row],[Average (ms)]]/1000</f>
        <v>8.4876508499576002E-3</v>
      </c>
      <c r="F43" s="54">
        <f>HLOOKUP($A43,SumEnc32x16[#All],AVG,FALSE)</f>
        <v>117.81823</v>
      </c>
      <c r="G43" s="54">
        <f>HLOOKUP($A43,SumEnc32x16[#All],MIN,FALSE)</f>
        <v>115.19</v>
      </c>
      <c r="H43" s="54">
        <f>HLOOKUP($A43,SumEnc32x16[#All],MAX,FALSE)</f>
        <v>149.911</v>
      </c>
      <c r="I43" s="54">
        <f>HLOOKUP($A43,SumEnc32x16[#All],MED,FALSE)</f>
        <v>116.15</v>
      </c>
      <c r="J43" s="47">
        <f>VLOOKUP(SummaryEncryption[[#This Row],[Mode]],EncFileSummary[#All],4,FALSE)</f>
        <v>64</v>
      </c>
      <c r="O43" s="49" t="s">
        <v>0</v>
      </c>
      <c r="P43" s="18" t="s">
        <v>14</v>
      </c>
      <c r="Q43" s="47" t="str">
        <f>CONCATENATE(SummaryDecryption[[#This Row],[Mode]],"_",SummaryDecryption[[#This Row],[Key size (B)]])</f>
        <v>ECB_32B</v>
      </c>
      <c r="R43" s="47">
        <v>1000</v>
      </c>
      <c r="S43" s="47">
        <f>SummaryDecryption[[#This Row],[Test Size (KB)]]/SummaryDecryption[[#This Row],[Average (ms)]]/1000</f>
        <v>1.4940588004769634E-2</v>
      </c>
      <c r="T43" s="54">
        <f>HLOOKUP($A43,SumDec32x16[#All],AVG,FALSE)</f>
        <v>66.93177</v>
      </c>
      <c r="U43" s="54">
        <f>HLOOKUP($A43,SumDec32x16[#All],MIN,FALSE)</f>
        <v>64.852000000000004</v>
      </c>
      <c r="V43" s="54">
        <f>HLOOKUP($A43,SumDec32x16[#All],MAX,FALSE)</f>
        <v>113.285</v>
      </c>
      <c r="W43" s="54">
        <f>HLOOKUP($A43,SumDec32x16[#All],MED,FALSE)</f>
        <v>65.754500000000007</v>
      </c>
      <c r="X43" s="47">
        <f>VLOOKUP(SummaryEncryption[[#This Row],[Mode]],DecFileSummary[#All],4,FALSE)</f>
        <v>16</v>
      </c>
    </row>
    <row r="44" spans="1:24" ht="17" thickTop="1" thickBot="1">
      <c r="A44" s="48" t="s">
        <v>1</v>
      </c>
      <c r="B44" s="13" t="s">
        <v>14</v>
      </c>
      <c r="C44" s="47" t="str">
        <f>CONCATENATE(SummaryEncryption[[#This Row],[Mode]],"_",SummaryEncryption[[#This Row],[Key size (B)]])</f>
        <v>CBC_32B</v>
      </c>
      <c r="D44" s="47">
        <v>1000</v>
      </c>
      <c r="E44" s="47">
        <f>SummaryEncryption[[#This Row],[Test Size (KB)]]/SummaryEncryption[[#This Row],[Average (ms)]]/1000</f>
        <v>8.4796065462562549</v>
      </c>
      <c r="F44" s="53">
        <f>HLOOKUP($A44,SumEnc32x16[#All],AVG,FALSE)</f>
        <v>0.11792999999999998</v>
      </c>
      <c r="G44" s="53">
        <f>HLOOKUP($A44,SumEnc32x16[#All],MIN,FALSE)</f>
        <v>0.11490599999999999</v>
      </c>
      <c r="H44" s="53">
        <f>HLOOKUP($A44,SumEnc32x16[#All],MAX,FALSE)</f>
        <v>0.15098</v>
      </c>
      <c r="I44" s="53">
        <f>HLOOKUP($A44,SumEnc32x16[#All],MED,FALSE)</f>
        <v>0.1158555</v>
      </c>
      <c r="J44" s="47">
        <f>VLOOKUP(SummaryEncryption[[#This Row],[Mode]],EncFileSummary[#All],4,FALSE)</f>
        <v>64</v>
      </c>
      <c r="O44" s="48" t="s">
        <v>1</v>
      </c>
      <c r="P44" s="13" t="s">
        <v>14</v>
      </c>
      <c r="Q44" s="47" t="str">
        <f>CONCATENATE(SummaryDecryption[[#This Row],[Mode]],"_",SummaryDecryption[[#This Row],[Key size (B)]])</f>
        <v>CBC_32B</v>
      </c>
      <c r="R44" s="47">
        <v>1000</v>
      </c>
      <c r="S44" s="47">
        <f>SummaryDecryption[[#This Row],[Test Size (KB)]]/SummaryDecryption[[#This Row],[Average (ms)]]/1000</f>
        <v>1.4744549935146104E-2</v>
      </c>
      <c r="T44" s="53">
        <f>HLOOKUP($A44,SumDec32x16[#All],AVG,FALSE)</f>
        <v>67.821669999999969</v>
      </c>
      <c r="U44" s="53">
        <f>HLOOKUP($A44,SumDec32x16[#All],MIN,FALSE)</f>
        <v>65.936999999999998</v>
      </c>
      <c r="V44" s="53">
        <f>HLOOKUP($A44,SumDec32x16[#All],MAX,FALSE)</f>
        <v>102.129</v>
      </c>
      <c r="W44" s="53">
        <f>HLOOKUP($A44,SumDec32x16[#All],MED,FALSE)</f>
        <v>66.4285</v>
      </c>
      <c r="X44" s="47">
        <f>VLOOKUP(SummaryEncryption[[#This Row],[Mode]],DecFileSummary[#All],4,FALSE)</f>
        <v>16</v>
      </c>
    </row>
    <row r="45" spans="1:24" ht="17" thickTop="1" thickBot="1">
      <c r="A45" s="49" t="s">
        <v>3</v>
      </c>
      <c r="B45" s="18" t="s">
        <v>14</v>
      </c>
      <c r="C45" s="47" t="str">
        <f>CONCATENATE(SummaryEncryption[[#This Row],[Mode]],"_",SummaryEncryption[[#This Row],[Key size (B)]])</f>
        <v>CFB_32B</v>
      </c>
      <c r="D45" s="47">
        <v>1000</v>
      </c>
      <c r="E45" s="47">
        <f>SummaryEncryption[[#This Row],[Test Size (KB)]]/SummaryEncryption[[#This Row],[Average (ms)]]/1000</f>
        <v>8.4815778856087896</v>
      </c>
      <c r="F45" s="54">
        <f>HLOOKUP($A45,SumEnc32x16[#All],AVG,FALSE)</f>
        <v>0.11790259</v>
      </c>
      <c r="G45" s="54">
        <f>HLOOKUP($A45,SumEnc32x16[#All],MIN,FALSE)</f>
        <v>0.115645</v>
      </c>
      <c r="H45" s="54">
        <f>HLOOKUP($A45,SumEnc32x16[#All],MAX,FALSE)</f>
        <v>0.15065100000000001</v>
      </c>
      <c r="I45" s="54">
        <f>HLOOKUP($A45,SumEnc32x16[#All],MED,FALSE)</f>
        <v>0.11651</v>
      </c>
      <c r="J45" s="47">
        <f>VLOOKUP(SummaryEncryption[[#This Row],[Mode]],EncFileSummary[#All],4,FALSE)</f>
        <v>32</v>
      </c>
      <c r="O45" s="49" t="s">
        <v>3</v>
      </c>
      <c r="P45" s="18" t="s">
        <v>14</v>
      </c>
      <c r="Q45" s="47" t="str">
        <f>CONCATENATE(SummaryDecryption[[#This Row],[Mode]],"_",SummaryDecryption[[#This Row],[Key size (B)]])</f>
        <v>CFB_32B</v>
      </c>
      <c r="R45" s="47">
        <v>1000</v>
      </c>
      <c r="S45" s="47">
        <f>SummaryDecryption[[#This Row],[Test Size (KB)]]/SummaryDecryption[[#This Row],[Average (ms)]]/1000</f>
        <v>6.6279057898866404E-3</v>
      </c>
      <c r="T45" s="54">
        <f>HLOOKUP($A45,SumDec32x16[#All],AVG,FALSE)</f>
        <v>150.87721999999994</v>
      </c>
      <c r="U45" s="54">
        <f>HLOOKUP($A45,SumDec32x16[#All],MIN,FALSE)</f>
        <v>147.58600000000001</v>
      </c>
      <c r="V45" s="54">
        <f>HLOOKUP($A45,SumDec32x16[#All],MAX,FALSE)</f>
        <v>184.19300000000001</v>
      </c>
      <c r="W45" s="54">
        <f>HLOOKUP($A45,SumDec32x16[#All],MED,FALSE)</f>
        <v>148.32400000000001</v>
      </c>
      <c r="X45" s="47">
        <f>VLOOKUP(SummaryEncryption[[#This Row],[Mode]],DecFileSummary[#All],4,FALSE)</f>
        <v>16</v>
      </c>
    </row>
    <row r="46" spans="1:24" ht="17" thickTop="1" thickBot="1">
      <c r="A46" s="48" t="s">
        <v>2</v>
      </c>
      <c r="B46" s="13" t="s">
        <v>14</v>
      </c>
      <c r="C46" s="47" t="str">
        <f>CONCATENATE(SummaryEncryption[[#This Row],[Mode]],"_",SummaryEncryption[[#This Row],[Key size (B)]])</f>
        <v>OFB_32B</v>
      </c>
      <c r="D46" s="47">
        <v>1000</v>
      </c>
      <c r="E46" s="47">
        <f>SummaryEncryption[[#This Row],[Test Size (KB)]]/SummaryEncryption[[#This Row],[Average (ms)]]/1000</f>
        <v>8.4245785393971193</v>
      </c>
      <c r="F46" s="53">
        <f>HLOOKUP($A46,SumEnc32x16[#All],AVG,FALSE)</f>
        <v>0.11870029999999999</v>
      </c>
      <c r="G46" s="53">
        <f>HLOOKUP($A46,SumEnc32x16[#All],MIN,FALSE)</f>
        <v>0.115715</v>
      </c>
      <c r="H46" s="53">
        <f>HLOOKUP($A46,SumEnc32x16[#All],MAX,FALSE)</f>
        <v>0.14982100000000001</v>
      </c>
      <c r="I46" s="53">
        <f>HLOOKUP($A46,SumEnc32x16[#All],MED,FALSE)</f>
        <v>0.1165535</v>
      </c>
      <c r="J46" s="47">
        <f>VLOOKUP(SummaryEncryption[[#This Row],[Mode]],EncFileSummary[#All],4,FALSE)</f>
        <v>32</v>
      </c>
      <c r="O46" s="48" t="s">
        <v>2</v>
      </c>
      <c r="P46" s="13" t="s">
        <v>14</v>
      </c>
      <c r="Q46" s="47" t="str">
        <f>CONCATENATE(SummaryDecryption[[#This Row],[Mode]],"_",SummaryDecryption[[#This Row],[Key size (B)]])</f>
        <v>OFB_32B</v>
      </c>
      <c r="R46" s="47">
        <v>1000</v>
      </c>
      <c r="S46" s="47">
        <f>SummaryDecryption[[#This Row],[Test Size (KB)]]/SummaryDecryption[[#This Row],[Average (ms)]]/1000</f>
        <v>7.0234119819689361E-3</v>
      </c>
      <c r="T46" s="53">
        <f>HLOOKUP($A46,SumDec32x16[#All],AVG,FALSE)</f>
        <v>142.38093999999998</v>
      </c>
      <c r="U46" s="53">
        <f>HLOOKUP($A46,SumDec32x16[#All],MIN,FALSE)</f>
        <v>139.316</v>
      </c>
      <c r="V46" s="53">
        <f>HLOOKUP($A46,SumDec32x16[#All],MAX,FALSE)</f>
        <v>174.239</v>
      </c>
      <c r="W46" s="53">
        <f>HLOOKUP($A46,SumDec32x16[#All],MED,FALSE)</f>
        <v>140.596</v>
      </c>
      <c r="X46" s="47">
        <f>VLOOKUP(SummaryEncryption[[#This Row],[Mode]],DecFileSummary[#All],4,FALSE)</f>
        <v>16</v>
      </c>
    </row>
    <row r="47" spans="1:24" ht="17" thickTop="1" thickBot="1">
      <c r="A47" s="49" t="s">
        <v>4</v>
      </c>
      <c r="B47" s="18" t="s">
        <v>14</v>
      </c>
      <c r="C47" s="47" t="str">
        <f>CONCATENATE(SummaryEncryption[[#This Row],[Mode]],"_",SummaryEncryption[[#This Row],[Key size (B)]])</f>
        <v>CTR_32B</v>
      </c>
      <c r="D47" s="47">
        <v>1000</v>
      </c>
      <c r="E47" s="47">
        <f>SummaryEncryption[[#This Row],[Test Size (KB)]]/SummaryEncryption[[#This Row],[Average (ms)]]/1000</f>
        <v>8.5731522649282379</v>
      </c>
      <c r="F47" s="54">
        <f>HLOOKUP($A47,SumEnc32x16[#All],AVG,FALSE)</f>
        <v>0.11664321</v>
      </c>
      <c r="G47" s="54">
        <f>HLOOKUP($A47,SumEnc32x16[#All],MIN,FALSE)</f>
        <v>0.114708</v>
      </c>
      <c r="H47" s="54">
        <f>HLOOKUP($A47,SumEnc32x16[#All],MAX,FALSE)</f>
        <v>0.14487800000000001</v>
      </c>
      <c r="I47" s="54">
        <f>HLOOKUP($A47,SumEnc32x16[#All],MED,FALSE)</f>
        <v>0.11544550000000001</v>
      </c>
      <c r="J47" s="47">
        <f>VLOOKUP(SummaryEncryption[[#This Row],[Mode]],EncFileSummary[#All],4,FALSE)</f>
        <v>32</v>
      </c>
      <c r="O47" s="49" t="s">
        <v>4</v>
      </c>
      <c r="P47" s="18" t="s">
        <v>14</v>
      </c>
      <c r="Q47" s="47" t="str">
        <f>CONCATENATE(SummaryDecryption[[#This Row],[Mode]],"_",SummaryDecryption[[#This Row],[Key size (B)]])</f>
        <v>CTR_32B</v>
      </c>
      <c r="R47" s="47">
        <v>1000</v>
      </c>
      <c r="S47" s="47">
        <f>SummaryDecryption[[#This Row],[Test Size (KB)]]/SummaryDecryption[[#This Row],[Average (ms)]]/1000</f>
        <v>6.8736104566861156E-3</v>
      </c>
      <c r="T47" s="54">
        <f>HLOOKUP($A47,SumDec32x16[#All],AVG,FALSE)</f>
        <v>145.48394999999999</v>
      </c>
      <c r="U47" s="54">
        <f>HLOOKUP($A47,SumDec32x16[#All],MIN,FALSE)</f>
        <v>141.429</v>
      </c>
      <c r="V47" s="54">
        <f>HLOOKUP($A47,SumDec32x16[#All],MAX,FALSE)</f>
        <v>224.48599999999999</v>
      </c>
      <c r="W47" s="54">
        <f>HLOOKUP($A47,SumDec32x16[#All],MED,FALSE)</f>
        <v>142.35599999999999</v>
      </c>
      <c r="X47" s="47">
        <f>VLOOKUP(SummaryEncryption[[#This Row],[Mode]],DecFileSummary[#All],4,FALSE)</f>
        <v>16</v>
      </c>
    </row>
    <row r="48" spans="1:24" ht="17" thickTop="1" thickBot="1">
      <c r="A48" s="48" t="s">
        <v>0</v>
      </c>
      <c r="B48" s="13" t="s">
        <v>14</v>
      </c>
      <c r="C48" s="47" t="str">
        <f>CONCATENATE(SummaryEncryption[[#This Row],[Mode]],"_",SummaryEncryption[[#This Row],[Key size (B)]])</f>
        <v>ECB_32B</v>
      </c>
      <c r="D48" s="13">
        <v>5000</v>
      </c>
      <c r="E48" s="47">
        <f>SummaryEncryption[[#This Row],[Test Size (KB)]]/SummaryEncryption[[#This Row],[Average (ms)]]/1000</f>
        <v>8.3269326977330124E-3</v>
      </c>
      <c r="F48" s="53">
        <f>HLOOKUP($A48,SumEnc32x32[#All],AVG,FALSE)</f>
        <v>600.46119999999974</v>
      </c>
      <c r="G48" s="53">
        <f>HLOOKUP($A48,SumEnc32x16[#All],MIN,FALSE)</f>
        <v>115.19</v>
      </c>
      <c r="H48" s="53">
        <f>HLOOKUP($A48,SumEnc32x16[#All],MAX,FALSE)</f>
        <v>149.911</v>
      </c>
      <c r="I48" s="53">
        <f>HLOOKUP($A48,SumEnc32x16[#All],MED,FALSE)</f>
        <v>116.15</v>
      </c>
      <c r="J48" s="47">
        <f>VLOOKUP(SummaryEncryption[[#This Row],[Mode]],EncFileSummary[#All],8,FALSE)</f>
        <v>96</v>
      </c>
      <c r="O48" s="48" t="s">
        <v>0</v>
      </c>
      <c r="P48" s="13" t="s">
        <v>14</v>
      </c>
      <c r="Q48" s="47" t="str">
        <f>CONCATENATE(SummaryDecryption[[#This Row],[Mode]],"_",SummaryDecryption[[#This Row],[Key size (B)]])</f>
        <v>ECB_32B</v>
      </c>
      <c r="R48" s="13">
        <v>5000</v>
      </c>
      <c r="S48" s="47">
        <f>SummaryDecryption[[#This Row],[Test Size (KB)]]/SummaryDecryption[[#This Row],[Average (ms)]]/1000</f>
        <v>1.3821493749644096E-2</v>
      </c>
      <c r="T48" s="53">
        <f>HLOOKUP($A48,SumDec32x32[#All],AVG,FALSE)</f>
        <v>361.75540000000001</v>
      </c>
      <c r="U48" s="53">
        <f>HLOOKUP($A48,SumDec32x16[#All],MIN,FALSE)</f>
        <v>64.852000000000004</v>
      </c>
      <c r="V48" s="53">
        <f>HLOOKUP($A48,SumDec32x16[#All],MAX,FALSE)</f>
        <v>113.285</v>
      </c>
      <c r="W48" s="53">
        <f>HLOOKUP($A48,SumDec32x16[#All],MED,FALSE)</f>
        <v>65.754500000000007</v>
      </c>
      <c r="X48" s="47">
        <f>VLOOKUP(SummaryEncryption[[#This Row],[Mode]],DecFileSummary[#All],8,FALSE)</f>
        <v>32</v>
      </c>
    </row>
    <row r="49" spans="1:24" ht="17" thickTop="1" thickBot="1">
      <c r="A49" s="49" t="s">
        <v>1</v>
      </c>
      <c r="B49" s="18" t="s">
        <v>14</v>
      </c>
      <c r="C49" s="47" t="str">
        <f>CONCATENATE(SummaryEncryption[[#This Row],[Mode]],"_",SummaryEncryption[[#This Row],[Key size (B)]])</f>
        <v>CBC_32B</v>
      </c>
      <c r="D49" s="13">
        <v>5000</v>
      </c>
      <c r="E49" s="47">
        <f>SummaryEncryption[[#This Row],[Test Size (KB)]]/SummaryEncryption[[#This Row],[Average (ms)]]/1000</f>
        <v>8.289429200515718</v>
      </c>
      <c r="F49" s="54">
        <f>HLOOKUP($A49,SumEnc32x32[#All],AVG,FALSE)</f>
        <v>0.6031778400000003</v>
      </c>
      <c r="G49" s="54">
        <f>HLOOKUP($A49,SumEnc32x32[#All],MIN,FALSE)</f>
        <v>0.58796000000000004</v>
      </c>
      <c r="H49" s="54">
        <f>HLOOKUP($A49,SumEnc32x32[#All],MAX,FALSE)</f>
        <v>0.77242599999999995</v>
      </c>
      <c r="I49" s="54">
        <f>HLOOKUP($A49,SumEnc32x32[#All],MED,FALSE)</f>
        <v>0.59198400000000007</v>
      </c>
      <c r="J49" s="47">
        <f>VLOOKUP(SummaryEncryption[[#This Row],[Mode]],EncFileSummary[#All],8,FALSE)</f>
        <v>96</v>
      </c>
      <c r="O49" s="49" t="s">
        <v>1</v>
      </c>
      <c r="P49" s="18" t="s">
        <v>14</v>
      </c>
      <c r="Q49" s="47" t="str">
        <f>CONCATENATE(SummaryDecryption[[#This Row],[Mode]],"_",SummaryDecryption[[#This Row],[Key size (B)]])</f>
        <v>CBC_32B</v>
      </c>
      <c r="R49" s="13">
        <v>5000</v>
      </c>
      <c r="S49" s="47">
        <f>SummaryDecryption[[#This Row],[Test Size (KB)]]/SummaryDecryption[[#This Row],[Average (ms)]]/1000</f>
        <v>1.4042760092138482E-2</v>
      </c>
      <c r="T49" s="54">
        <f>HLOOKUP($A49,SumDec32x32[#All],AVG,FALSE)</f>
        <v>356.05535999999995</v>
      </c>
      <c r="U49" s="54">
        <f>HLOOKUP($A49,SumDec32x32[#All],MIN,FALSE)</f>
        <v>326.92599999999999</v>
      </c>
      <c r="V49" s="54">
        <f>HLOOKUP($A49,SumDec32x32[#All],MAX,FALSE)</f>
        <v>469.15800000000002</v>
      </c>
      <c r="W49" s="54">
        <f>HLOOKUP($A49,SumDec32x32[#All],MED,FALSE)</f>
        <v>344.70799999999997</v>
      </c>
      <c r="X49" s="47">
        <f>VLOOKUP(SummaryEncryption[[#This Row],[Mode]],DecFileSummary[#All],8,FALSE)</f>
        <v>32</v>
      </c>
    </row>
    <row r="50" spans="1:24" ht="17" thickTop="1" thickBot="1">
      <c r="A50" s="48" t="s">
        <v>3</v>
      </c>
      <c r="B50" s="13" t="s">
        <v>14</v>
      </c>
      <c r="C50" s="47" t="str">
        <f>CONCATENATE(SummaryEncryption[[#This Row],[Mode]],"_",SummaryEncryption[[#This Row],[Key size (B)]])</f>
        <v>CFB_32B</v>
      </c>
      <c r="D50" s="13">
        <v>5000</v>
      </c>
      <c r="E50" s="47">
        <f>SummaryEncryption[[#This Row],[Test Size (KB)]]/SummaryEncryption[[#This Row],[Average (ms)]]/1000</f>
        <v>8.2575573081909024</v>
      </c>
      <c r="F50" s="53">
        <f>HLOOKUP($A50,SumEnc32x32[#All],AVG,FALSE)</f>
        <v>0.6055059399999998</v>
      </c>
      <c r="G50" s="53">
        <f>HLOOKUP($A50,SumEnc32x32[#All],MIN,FALSE)</f>
        <v>0.59153100000000003</v>
      </c>
      <c r="H50" s="53">
        <f>HLOOKUP($A50,SumEnc32x32[#All],MAX,FALSE)</f>
        <v>0.78078099999999995</v>
      </c>
      <c r="I50" s="53">
        <f>HLOOKUP($A50,SumEnc32x32[#All],MED,FALSE)</f>
        <v>0.59525150000000004</v>
      </c>
      <c r="J50" s="47">
        <f>VLOOKUP(SummaryEncryption[[#This Row],[Mode]],EncFileSummary[#All],8,FALSE)</f>
        <v>64</v>
      </c>
      <c r="O50" s="48" t="s">
        <v>3</v>
      </c>
      <c r="P50" s="13" t="s">
        <v>14</v>
      </c>
      <c r="Q50" s="47" t="str">
        <f>CONCATENATE(SummaryDecryption[[#This Row],[Mode]],"_",SummaryDecryption[[#This Row],[Key size (B)]])</f>
        <v>CFB_32B</v>
      </c>
      <c r="R50" s="13">
        <v>5000</v>
      </c>
      <c r="S50" s="47">
        <f>SummaryDecryption[[#This Row],[Test Size (KB)]]/SummaryDecryption[[#This Row],[Average (ms)]]/1000</f>
        <v>6.2882300808050117E-3</v>
      </c>
      <c r="T50" s="53">
        <f>HLOOKUP($A50,SumDec32x32[#All],AVG,FALSE)</f>
        <v>795.13630000000023</v>
      </c>
      <c r="U50" s="53">
        <f>HLOOKUP($A50,SumDec32x32[#All],MIN,FALSE)</f>
        <v>735.66</v>
      </c>
      <c r="V50" s="53">
        <f>HLOOKUP($A50,SumDec32x32[#All],MAX,FALSE)</f>
        <v>1070.53</v>
      </c>
      <c r="W50" s="53">
        <f>HLOOKUP($A50,SumDec32x32[#All],MED,FALSE)</f>
        <v>771.58899999999994</v>
      </c>
      <c r="X50" s="47">
        <f>VLOOKUP(SummaryEncryption[[#This Row],[Mode]],DecFileSummary[#All],8,FALSE)</f>
        <v>32</v>
      </c>
    </row>
    <row r="51" spans="1:24" ht="17" thickTop="1" thickBot="1">
      <c r="A51" s="49" t="s">
        <v>2</v>
      </c>
      <c r="B51" s="18" t="s">
        <v>14</v>
      </c>
      <c r="C51" s="47" t="str">
        <f>CONCATENATE(SummaryEncryption[[#This Row],[Mode]],"_",SummaryEncryption[[#This Row],[Key size (B)]])</f>
        <v>OFB_32B</v>
      </c>
      <c r="D51" s="13">
        <v>5000</v>
      </c>
      <c r="E51" s="47">
        <f>SummaryEncryption[[#This Row],[Test Size (KB)]]/SummaryEncryption[[#This Row],[Average (ms)]]/1000</f>
        <v>8.2649772876771124</v>
      </c>
      <c r="F51" s="54">
        <f>HLOOKUP($A51,SumEnc32x32[#All],AVG,FALSE)</f>
        <v>0.60496234000000004</v>
      </c>
      <c r="G51" s="54">
        <f>HLOOKUP($A51,SumEnc32x32[#All],MIN,FALSE)</f>
        <v>0.59041500000000002</v>
      </c>
      <c r="H51" s="54">
        <f>HLOOKUP($A51,SumEnc32x32[#All],MAX,FALSE)</f>
        <v>0.72878299999999996</v>
      </c>
      <c r="I51" s="54">
        <f>HLOOKUP($A51,SumEnc32x32[#All],MED,FALSE)</f>
        <v>0.59503649999999997</v>
      </c>
      <c r="J51" s="47">
        <f>VLOOKUP(SummaryEncryption[[#This Row],[Mode]],EncFileSummary[#All],8,FALSE)</f>
        <v>64</v>
      </c>
      <c r="O51" s="49" t="s">
        <v>2</v>
      </c>
      <c r="P51" s="18" t="s">
        <v>14</v>
      </c>
      <c r="Q51" s="47" t="str">
        <f>CONCATENATE(SummaryDecryption[[#This Row],[Mode]],"_",SummaryDecryption[[#This Row],[Key size (B)]])</f>
        <v>OFB_32B</v>
      </c>
      <c r="R51" s="13">
        <v>5000</v>
      </c>
      <c r="S51" s="47">
        <f>SummaryDecryption[[#This Row],[Test Size (KB)]]/SummaryDecryption[[#This Row],[Average (ms)]]/1000</f>
        <v>6.6336002039540194E-3</v>
      </c>
      <c r="T51" s="54">
        <f>HLOOKUP($A51,SumDec32x32[#All],AVG,FALSE)</f>
        <v>753.73851999999988</v>
      </c>
      <c r="U51" s="54">
        <f>HLOOKUP($A51,SumDec32x32[#All],MIN,FALSE)</f>
        <v>694.51099999999997</v>
      </c>
      <c r="V51" s="54">
        <f>HLOOKUP($A51,SumDec32x32[#All],MAX,FALSE)</f>
        <v>1072.6600000000001</v>
      </c>
      <c r="W51" s="54">
        <f>HLOOKUP($A51,SumDec32x32[#All],MED,FALSE)</f>
        <v>730.149</v>
      </c>
      <c r="X51" s="47">
        <f>VLOOKUP(SummaryEncryption[[#This Row],[Mode]],DecFileSummary[#All],8,FALSE)</f>
        <v>32</v>
      </c>
    </row>
    <row r="52" spans="1:24" ht="17" thickTop="1" thickBot="1">
      <c r="A52" s="48" t="s">
        <v>4</v>
      </c>
      <c r="B52" s="13" t="s">
        <v>14</v>
      </c>
      <c r="C52" s="47" t="str">
        <f>CONCATENATE(SummaryEncryption[[#This Row],[Mode]],"_",SummaryEncryption[[#This Row],[Key size (B)]])</f>
        <v>CTR_32B</v>
      </c>
      <c r="D52" s="13">
        <v>5000</v>
      </c>
      <c r="E52" s="47">
        <f>SummaryEncryption[[#This Row],[Test Size (KB)]]/SummaryEncryption[[#This Row],[Average (ms)]]/1000</f>
        <v>8.3225093550830955</v>
      </c>
      <c r="F52" s="53">
        <f>HLOOKUP($A52,SumEnc32x32[#All],AVG,FALSE)</f>
        <v>0.60078033999999969</v>
      </c>
      <c r="G52" s="53">
        <f>HLOOKUP($A52,SumEnc32x32[#All],MIN,FALSE)</f>
        <v>0.58655500000000005</v>
      </c>
      <c r="H52" s="53">
        <f>HLOOKUP($A52,SumEnc32x32[#All],MAX,FALSE)</f>
        <v>0.78129000000000004</v>
      </c>
      <c r="I52" s="53">
        <f>HLOOKUP($A52,SumEnc32x32[#All],MED,FALSE)</f>
        <v>0.59082250000000003</v>
      </c>
      <c r="J52" s="47">
        <f>VLOOKUP(SummaryEncryption[[#This Row],[Mode]],EncFileSummary[#All],8,FALSE)</f>
        <v>64</v>
      </c>
      <c r="O52" s="48" t="s">
        <v>4</v>
      </c>
      <c r="P52" s="13" t="s">
        <v>14</v>
      </c>
      <c r="Q52" s="47" t="str">
        <f>CONCATENATE(SummaryDecryption[[#This Row],[Mode]],"_",SummaryDecryption[[#This Row],[Key size (B)]])</f>
        <v>CTR_32B</v>
      </c>
      <c r="R52" s="13">
        <v>5000</v>
      </c>
      <c r="S52" s="47">
        <f>SummaryDecryption[[#This Row],[Test Size (KB)]]/SummaryDecryption[[#This Row],[Average (ms)]]/1000</f>
        <v>6.4865248025638075E-3</v>
      </c>
      <c r="T52" s="53">
        <f>HLOOKUP($A52,SumDec32x32[#All],AVG,FALSE)</f>
        <v>770.82877999999994</v>
      </c>
      <c r="U52" s="53">
        <f>HLOOKUP($A52,SumDec32x32[#All],MIN,FALSE)</f>
        <v>707.04</v>
      </c>
      <c r="V52" s="53">
        <f>HLOOKUP($A52,SumDec32x32[#All],MAX,FALSE)</f>
        <v>1093.83</v>
      </c>
      <c r="W52" s="53">
        <f>HLOOKUP($A52,SumDec32x32[#All],MED,FALSE)</f>
        <v>741.85300000000007</v>
      </c>
      <c r="X52" s="47">
        <f>VLOOKUP(SummaryEncryption[[#This Row],[Mode]],DecFileSummary[#All],8,FALSE)</f>
        <v>32</v>
      </c>
    </row>
    <row r="53" spans="1:24" ht="17" thickTop="1" thickBot="1">
      <c r="A53" s="49" t="s">
        <v>0</v>
      </c>
      <c r="B53" s="18" t="s">
        <v>14</v>
      </c>
      <c r="C53" s="47" t="str">
        <f>CONCATENATE(SummaryEncryption[[#This Row],[Mode]],"_",SummaryEncryption[[#This Row],[Key size (B)]])</f>
        <v>ECB_32B</v>
      </c>
      <c r="D53" s="18">
        <v>10000</v>
      </c>
      <c r="E53" s="47">
        <f>SummaryEncryption[[#This Row],[Test Size (KB)]]/SummaryEncryption[[#This Row],[Average (ms)]]/1000</f>
        <v>8.4363353639030133E-3</v>
      </c>
      <c r="F53" s="54">
        <f>HLOOKUP($A53,SumEnc32x10[#All],AVG,FALSE)</f>
        <v>1185.3488</v>
      </c>
      <c r="G53" s="54">
        <f>HLOOKUP($A53,SumEnc32x10[#All],MIN,FALSE)</f>
        <v>1153.4000000000001</v>
      </c>
      <c r="H53" s="54">
        <f>HLOOKUP($A53,SumEnc32x10[#All],MAX,FALSE)</f>
        <v>1385.54</v>
      </c>
      <c r="I53" s="54">
        <f>HLOOKUP($A53,SumEnc32x10[#All],MED,FALSE)</f>
        <v>1179.395</v>
      </c>
      <c r="J53" s="47">
        <f>VLOOKUP(SummaryEncryption[[#This Row],[Mode]],EncFileSummary[#All],10,FALSE)</f>
        <v>20971552</v>
      </c>
      <c r="O53" s="49" t="s">
        <v>0</v>
      </c>
      <c r="P53" s="18" t="s">
        <v>14</v>
      </c>
      <c r="Q53" s="47" t="str">
        <f>CONCATENATE(SummaryDecryption[[#This Row],[Mode]],"_",SummaryDecryption[[#This Row],[Key size (B)]])</f>
        <v>ECB_32B</v>
      </c>
      <c r="R53" s="18">
        <v>10000</v>
      </c>
      <c r="S53" s="47">
        <f>SummaryDecryption[[#This Row],[Test Size (KB)]]/SummaryDecryption[[#This Row],[Average (ms)]]/1000</f>
        <v>1.3480331131932352E-2</v>
      </c>
      <c r="T53" s="54">
        <f>HLOOKUP($A53,SumDec32x10[#All],AVG,FALSE)</f>
        <v>741.82153999999991</v>
      </c>
      <c r="U53" s="54">
        <f>HLOOKUP($A53,SumDec32x10[#All],MIN,FALSE)</f>
        <v>658.14</v>
      </c>
      <c r="V53" s="54">
        <f>HLOOKUP($A53,SumDec32x10[#All],MAX,FALSE)</f>
        <v>973.351</v>
      </c>
      <c r="W53" s="54">
        <f>HLOOKUP($A53,SumDec32x10[#All],MED,FALSE)</f>
        <v>739.97149999999999</v>
      </c>
      <c r="X53" s="47">
        <f>VLOOKUP(SummaryEncryption[[#This Row],[Mode]],DecFileSummary[#All],10,FALSE)</f>
        <v>10485760</v>
      </c>
    </row>
    <row r="54" spans="1:24" ht="17" thickTop="1" thickBot="1">
      <c r="A54" s="48" t="s">
        <v>1</v>
      </c>
      <c r="B54" s="13" t="s">
        <v>14</v>
      </c>
      <c r="C54" s="47" t="str">
        <f>CONCATENATE(SummaryEncryption[[#This Row],[Mode]],"_",SummaryEncryption[[#This Row],[Key size (B)]])</f>
        <v>CBC_32B</v>
      </c>
      <c r="D54" s="13">
        <v>10000</v>
      </c>
      <c r="E54" s="47">
        <f>SummaryEncryption[[#This Row],[Test Size (KB)]]/SummaryEncryption[[#This Row],[Average (ms)]]/1000</f>
        <v>8.4537113652710048</v>
      </c>
      <c r="F54" s="53">
        <f>HLOOKUP($A54,SumEnc32x10[#All],AVG,FALSE)</f>
        <v>1.1829124</v>
      </c>
      <c r="G54" s="53">
        <f>HLOOKUP($A54,SumEnc32x10[#All],MIN,FALSE)</f>
        <v>1.1560600000000001</v>
      </c>
      <c r="H54" s="53">
        <f>HLOOKUP($A54,SumEnc32x10[#All],MAX,FALSE)</f>
        <v>1.40618</v>
      </c>
      <c r="I54" s="53">
        <f>HLOOKUP($A54,SumEnc32x10[#All],MED,FALSE)</f>
        <v>1.1788699999999999</v>
      </c>
      <c r="J54" s="47">
        <f>VLOOKUP(SummaryEncryption[[#This Row],[Mode]],EncFileSummary[#All],10,FALSE)</f>
        <v>20971552</v>
      </c>
      <c r="O54" s="48" t="s">
        <v>1</v>
      </c>
      <c r="P54" s="13" t="s">
        <v>14</v>
      </c>
      <c r="Q54" s="47" t="str">
        <f>CONCATENATE(SummaryDecryption[[#This Row],[Mode]],"_",SummaryDecryption[[#This Row],[Key size (B)]])</f>
        <v>CBC_32B</v>
      </c>
      <c r="R54" s="13">
        <v>10000</v>
      </c>
      <c r="S54" s="47">
        <f>SummaryDecryption[[#This Row],[Test Size (KB)]]/SummaryDecryption[[#This Row],[Average (ms)]]/1000</f>
        <v>1.3833515631402322E-2</v>
      </c>
      <c r="T54" s="53">
        <f>HLOOKUP($A54,SumDec32x10[#All],AVG,FALSE)</f>
        <v>722.88204000000007</v>
      </c>
      <c r="U54" s="53">
        <f>HLOOKUP($A54,SumDec32x10[#All],MIN,FALSE)</f>
        <v>648.07299999999998</v>
      </c>
      <c r="V54" s="53">
        <f>HLOOKUP($A54,SumDec32x10[#All],MAX,FALSE)</f>
        <v>1083.3399999999999</v>
      </c>
      <c r="W54" s="53">
        <f>HLOOKUP($A54,SumDec32x10[#All],MED,FALSE)</f>
        <v>715.07349999999997</v>
      </c>
      <c r="X54" s="47">
        <f>VLOOKUP(SummaryEncryption[[#This Row],[Mode]],DecFileSummary[#All],10,FALSE)</f>
        <v>10485760</v>
      </c>
    </row>
    <row r="55" spans="1:24" ht="17" thickTop="1" thickBot="1">
      <c r="A55" s="49" t="s">
        <v>3</v>
      </c>
      <c r="B55" s="18" t="s">
        <v>14</v>
      </c>
      <c r="C55" s="47" t="str">
        <f>CONCATENATE(SummaryEncryption[[#This Row],[Mode]],"_",SummaryEncryption[[#This Row],[Key size (B)]])</f>
        <v>CFB_32B</v>
      </c>
      <c r="D55" s="18">
        <v>10000</v>
      </c>
      <c r="E55" s="47">
        <f>SummaryEncryption[[#This Row],[Test Size (KB)]]/SummaryEncryption[[#This Row],[Average (ms)]]/1000</f>
        <v>8.4396333283145655</v>
      </c>
      <c r="F55" s="54">
        <f>HLOOKUP($A55,SumEnc32x10[#All],AVG,FALSE)</f>
        <v>1.1848855999999999</v>
      </c>
      <c r="G55" s="54">
        <f>HLOOKUP($A55,SumEnc32x10[#All],MIN,FALSE)</f>
        <v>1.16086</v>
      </c>
      <c r="H55" s="54">
        <f>HLOOKUP($A55,SumEnc32x10[#All],MAX,FALSE)</f>
        <v>1.38445</v>
      </c>
      <c r="I55" s="54">
        <f>HLOOKUP($A55,SumEnc32x10[#All],MED,FALSE)</f>
        <v>1.1838950000000001</v>
      </c>
      <c r="J55" s="47">
        <f>VLOOKUP(SummaryEncryption[[#This Row],[Mode]],EncFileSummary[#All],10,FALSE)</f>
        <v>20971520</v>
      </c>
      <c r="O55" s="49" t="s">
        <v>3</v>
      </c>
      <c r="P55" s="18" t="s">
        <v>14</v>
      </c>
      <c r="Q55" s="47" t="str">
        <f>CONCATENATE(SummaryDecryption[[#This Row],[Mode]],"_",SummaryDecryption[[#This Row],[Key size (B)]])</f>
        <v>CFB_32B</v>
      </c>
      <c r="R55" s="18">
        <v>10000</v>
      </c>
      <c r="S55" s="47">
        <f>SummaryDecryption[[#This Row],[Test Size (KB)]]/SummaryDecryption[[#This Row],[Average (ms)]]/1000</f>
        <v>6.0701125926974492E-3</v>
      </c>
      <c r="T55" s="54">
        <f>HLOOKUP($A55,SumDec32x10[#All],AVG,FALSE)</f>
        <v>1647.4158999999997</v>
      </c>
      <c r="U55" s="54">
        <f>HLOOKUP($A55,SumDec32x10[#All],MIN,FALSE)</f>
        <v>1483</v>
      </c>
      <c r="V55" s="54">
        <f>HLOOKUP($A55,SumDec32x10[#All],MAX,FALSE)</f>
        <v>2125.83</v>
      </c>
      <c r="W55" s="54">
        <f>HLOOKUP($A55,SumDec32x10[#All],MED,FALSE)</f>
        <v>1622.085</v>
      </c>
      <c r="X55" s="47">
        <f>VLOOKUP(SummaryEncryption[[#This Row],[Mode]],DecFileSummary[#All],10,FALSE)</f>
        <v>10485760</v>
      </c>
    </row>
    <row r="56" spans="1:24" ht="17" thickTop="1" thickBot="1">
      <c r="A56" s="48" t="s">
        <v>2</v>
      </c>
      <c r="B56" s="13" t="s">
        <v>14</v>
      </c>
      <c r="C56" s="47" t="str">
        <f>CONCATENATE(SummaryEncryption[[#This Row],[Mode]],"_",SummaryEncryption[[#This Row],[Key size (B)]])</f>
        <v>OFB_32B</v>
      </c>
      <c r="D56" s="13">
        <v>10000</v>
      </c>
      <c r="E56" s="47">
        <f>SummaryEncryption[[#This Row],[Test Size (KB)]]/SummaryEncryption[[#This Row],[Average (ms)]]/1000</f>
        <v>8.4074711142413001</v>
      </c>
      <c r="F56" s="53">
        <f>HLOOKUP($A56,SumEnc32x10[#All],AVG,FALSE)</f>
        <v>1.1894183000000009</v>
      </c>
      <c r="G56" s="53">
        <f>HLOOKUP($A56,SumEnc32x10[#All],MIN,FALSE)</f>
        <v>1.1676299999999999</v>
      </c>
      <c r="H56" s="53">
        <f>HLOOKUP($A56,SumEnc32x10[#All],MAX,FALSE)</f>
        <v>1.2996399999999999</v>
      </c>
      <c r="I56" s="53">
        <f>HLOOKUP($A56,SumEnc32x10[#All],MED,FALSE)</f>
        <v>1.1862949999999999</v>
      </c>
      <c r="J56" s="47">
        <f>VLOOKUP(SummaryEncryption[[#This Row],[Mode]],EncFileSummary[#All],10,FALSE)</f>
        <v>20971520</v>
      </c>
      <c r="O56" s="48" t="s">
        <v>2</v>
      </c>
      <c r="P56" s="13" t="s">
        <v>14</v>
      </c>
      <c r="Q56" s="47" t="str">
        <f>CONCATENATE(SummaryDecryption[[#This Row],[Mode]],"_",SummaryDecryption[[#This Row],[Key size (B)]])</f>
        <v>OFB_32B</v>
      </c>
      <c r="R56" s="13">
        <v>10000</v>
      </c>
      <c r="S56" s="47">
        <f>SummaryDecryption[[#This Row],[Test Size (KB)]]/SummaryDecryption[[#This Row],[Average (ms)]]/1000</f>
        <v>6.4741328611187142E-3</v>
      </c>
      <c r="T56" s="53">
        <f>HLOOKUP($A56,SumDec32x10[#All],AVG,FALSE)</f>
        <v>1544.6084000000001</v>
      </c>
      <c r="U56" s="53">
        <f>HLOOKUP($A56,SumDec32x10[#All],MIN,FALSE)</f>
        <v>1395.64</v>
      </c>
      <c r="V56" s="53">
        <f>HLOOKUP($A56,SumDec32x10[#All],MAX,FALSE)</f>
        <v>2014.8</v>
      </c>
      <c r="W56" s="53">
        <f>HLOOKUP($A56,SumDec32x10[#All],MED,FALSE)</f>
        <v>1510.635</v>
      </c>
      <c r="X56" s="47">
        <f>VLOOKUP(SummaryEncryption[[#This Row],[Mode]],DecFileSummary[#All],10,FALSE)</f>
        <v>10485760</v>
      </c>
    </row>
    <row r="57" spans="1:24" ht="17" thickTop="1" thickBot="1">
      <c r="A57" s="49" t="s">
        <v>4</v>
      </c>
      <c r="B57" s="18" t="s">
        <v>14</v>
      </c>
      <c r="C57" s="47" t="str">
        <f>CONCATENATE(SummaryEncryption[[#This Row],[Mode]],"_",SummaryEncryption[[#This Row],[Key size (B)]])</f>
        <v>CTR_32B</v>
      </c>
      <c r="D57" s="18">
        <v>10000</v>
      </c>
      <c r="E57" s="47">
        <f>SummaryEncryption[[#This Row],[Test Size (KB)]]/SummaryEncryption[[#This Row],[Average (ms)]]/1000</f>
        <v>8.4542738340985704</v>
      </c>
      <c r="F57" s="54">
        <f>HLOOKUP($A57,SumEnc32x10[#All],AVG,FALSE)</f>
        <v>1.1828337000000002</v>
      </c>
      <c r="G57" s="54">
        <f>HLOOKUP($A57,SumEnc32x10[#All],MIN,FALSE)</f>
        <v>1.1549100000000001</v>
      </c>
      <c r="H57" s="54">
        <f>HLOOKUP($A57,SumEnc32x10[#All],MAX,FALSE)</f>
        <v>1.29677</v>
      </c>
      <c r="I57" s="54">
        <f>HLOOKUP($A57,SumEnc32x10[#All],MED,FALSE)</f>
        <v>1.1789149999999999</v>
      </c>
      <c r="J57" s="47">
        <f>VLOOKUP(SummaryEncryption[[#This Row],[Mode]],EncFileSummary[#All],10,FALSE)</f>
        <v>20971520</v>
      </c>
      <c r="O57" s="49" t="s">
        <v>4</v>
      </c>
      <c r="P57" s="18" t="s">
        <v>14</v>
      </c>
      <c r="Q57" s="47" t="str">
        <f>CONCATENATE(SummaryDecryption[[#This Row],[Mode]],"_",SummaryDecryption[[#This Row],[Key size (B)]])</f>
        <v>CTR_32B</v>
      </c>
      <c r="R57" s="18">
        <v>10000</v>
      </c>
      <c r="S57" s="47">
        <f>SummaryDecryption[[#This Row],[Test Size (KB)]]/SummaryDecryption[[#This Row],[Average (ms)]]/1000</f>
        <v>6.4043393754219238E-3</v>
      </c>
      <c r="T57" s="54">
        <f>HLOOKUP($A57,SumDec32x10[#All],AVG,FALSE)</f>
        <v>1561.4413000000004</v>
      </c>
      <c r="U57" s="54">
        <f>HLOOKUP($A57,SumDec32x10[#All],MIN,FALSE)</f>
        <v>1405.86</v>
      </c>
      <c r="V57" s="54">
        <f>HLOOKUP($A57,SumDec32x10[#All],MAX,FALSE)</f>
        <v>2162.38</v>
      </c>
      <c r="W57" s="54">
        <f>HLOOKUP($A57,SumDec32x10[#All],MED,FALSE)</f>
        <v>1525.19</v>
      </c>
      <c r="X57" s="47">
        <f>VLOOKUP(SummaryEncryption[[#This Row],[Mode]],DecFileSummary[#All],10,FALSE)</f>
        <v>10485760</v>
      </c>
    </row>
    <row r="58" spans="1:24" ht="17" thickTop="1" thickBot="1">
      <c r="A58" s="48" t="s">
        <v>0</v>
      </c>
      <c r="B58" s="13" t="s">
        <v>14</v>
      </c>
      <c r="C58" s="47" t="str">
        <f>CONCATENATE(SummaryEncryption[[#This Row],[Mode]],"_",SummaryEncryption[[#This Row],[Key size (B)]])</f>
        <v>ECB_32B</v>
      </c>
      <c r="D58" s="13">
        <v>256000</v>
      </c>
      <c r="E58" s="47">
        <f>SummaryEncryption[[#This Row],[Test Size (KB)]]/SummaryEncryption[[#This Row],[Average (ms)]]/1000</f>
        <v>7.4383067275852373E-3</v>
      </c>
      <c r="F58" s="53">
        <f>HLOOKUP($A58,SumEnc32x256[#All],AVG,FALSE)</f>
        <v>34416.434999999998</v>
      </c>
      <c r="G58" s="53">
        <f>HLOOKUP($A58,SumEnc32x256[#All],MIN,FALSE)</f>
        <v>30698.5</v>
      </c>
      <c r="H58" s="53">
        <f>HLOOKUP($A58,SumEnc32x256[#All],MAX,FALSE)</f>
        <v>78132.2</v>
      </c>
      <c r="I58" s="53">
        <f>HLOOKUP($A58,SumEnc32x256[#All],MED,FALSE)</f>
        <v>32371.65</v>
      </c>
      <c r="J58" s="47">
        <f>VLOOKUP(SummaryEncryption[[#This Row],[Mode]],EncFileSummary[#All],14,FALSE)</f>
        <v>536870944</v>
      </c>
      <c r="O58" s="48" t="s">
        <v>0</v>
      </c>
      <c r="P58" s="13" t="s">
        <v>14</v>
      </c>
      <c r="Q58" s="47" t="str">
        <f>CONCATENATE(SummaryDecryption[[#This Row],[Mode]],"_",SummaryDecryption[[#This Row],[Key size (B)]])</f>
        <v>ECB_32B</v>
      </c>
      <c r="R58" s="13">
        <v>256000</v>
      </c>
      <c r="S58" s="47">
        <f>SummaryDecryption[[#This Row],[Test Size (KB)]]/SummaryDecryption[[#This Row],[Average (ms)]]/1000</f>
        <v>1.4185623314071914E-2</v>
      </c>
      <c r="T58" s="53">
        <f>HLOOKUP($A58,SumDec32x256[#All],AVG,FALSE)</f>
        <v>18046.440000000002</v>
      </c>
      <c r="U58" s="53">
        <f>HLOOKUP($A58,SumDec32x256[#All],MIN,FALSE)</f>
        <v>17056.7</v>
      </c>
      <c r="V58" s="53">
        <f>HLOOKUP($A58,SumDec32x256[#All],MAX,FALSE)</f>
        <v>19476.5</v>
      </c>
      <c r="W58" s="53">
        <f>HLOOKUP($A58,SumDec32x256[#All],MED,FALSE)</f>
        <v>18076.650000000001</v>
      </c>
      <c r="X58" s="47">
        <f>VLOOKUP(SummaryEncryption[[#This Row],[Mode]],DecFileSummary[#All],14,FALSE)</f>
        <v>268435456</v>
      </c>
    </row>
    <row r="59" spans="1:24" ht="17" thickTop="1" thickBot="1">
      <c r="A59" s="49" t="s">
        <v>1</v>
      </c>
      <c r="B59" s="18" t="s">
        <v>14</v>
      </c>
      <c r="C59" s="47" t="str">
        <f>CONCATENATE(SummaryEncryption[[#This Row],[Mode]],"_",SummaryEncryption[[#This Row],[Key size (B)]])</f>
        <v>CBC_32B</v>
      </c>
      <c r="D59" s="18">
        <v>256000</v>
      </c>
      <c r="E59" s="47">
        <f>SummaryEncryption[[#This Row],[Test Size (KB)]]/SummaryEncryption[[#This Row],[Average (ms)]]/1000</f>
        <v>7.382060198047987</v>
      </c>
      <c r="F59" s="54">
        <f>HLOOKUP($A59,SumEnc32x256[#All],AVG,FALSE)</f>
        <v>34.678666</v>
      </c>
      <c r="G59" s="54">
        <f>HLOOKUP($A59,SumEnc32x256[#All],MIN,FALSE)</f>
        <v>30.710899999999999</v>
      </c>
      <c r="H59" s="54">
        <f>HLOOKUP($A59,SumEnc32x256[#All],MAX,FALSE)</f>
        <v>75.066500000000005</v>
      </c>
      <c r="I59" s="54">
        <f>HLOOKUP($A59,SumEnc32x256[#All],MED,FALSE)</f>
        <v>32.676499999999997</v>
      </c>
      <c r="J59" s="47">
        <f>VLOOKUP(SummaryEncryption[[#This Row],[Mode]],EncFileSummary[#All],14,FALSE)</f>
        <v>536870944</v>
      </c>
      <c r="O59" s="49" t="s">
        <v>1</v>
      </c>
      <c r="P59" s="18" t="s">
        <v>14</v>
      </c>
      <c r="Q59" s="47" t="str">
        <f>CONCATENATE(SummaryDecryption[[#This Row],[Mode]],"_",SummaryDecryption[[#This Row],[Key size (B)]])</f>
        <v>CBC_32B</v>
      </c>
      <c r="R59" s="18">
        <v>256000</v>
      </c>
      <c r="S59" s="47">
        <f>SummaryDecryption[[#This Row],[Test Size (KB)]]/SummaryDecryption[[#This Row],[Average (ms)]]/1000</f>
        <v>1.3998426270671601E-2</v>
      </c>
      <c r="T59" s="54">
        <f>HLOOKUP($A59,SumDec32x256[#All],AVG,FALSE)</f>
        <v>18287.77</v>
      </c>
      <c r="U59" s="54">
        <f>HLOOKUP($A59,SumDec32x256[#All],MIN,FALSE)</f>
        <v>17562.2</v>
      </c>
      <c r="V59" s="54">
        <f>HLOOKUP($A59,SumDec32x256[#All],MAX,FALSE)</f>
        <v>19662.7</v>
      </c>
      <c r="W59" s="54">
        <f>HLOOKUP($A59,SumDec32x256[#All],MED,FALSE)</f>
        <v>18178.5</v>
      </c>
      <c r="X59" s="47">
        <f>VLOOKUP(SummaryEncryption[[#This Row],[Mode]],DecFileSummary[#All],14,FALSE)</f>
        <v>268435456</v>
      </c>
    </row>
    <row r="60" spans="1:24" ht="17" thickTop="1" thickBot="1">
      <c r="A60" s="48" t="s">
        <v>3</v>
      </c>
      <c r="B60" s="13" t="s">
        <v>14</v>
      </c>
      <c r="C60" s="47" t="str">
        <f>CONCATENATE(SummaryEncryption[[#This Row],[Mode]],"_",SummaryEncryption[[#This Row],[Key size (B)]])</f>
        <v>CFB_32B</v>
      </c>
      <c r="D60" s="13">
        <v>256000</v>
      </c>
      <c r="E60" s="47">
        <f>SummaryEncryption[[#This Row],[Test Size (KB)]]/SummaryEncryption[[#This Row],[Average (ms)]]/1000</f>
        <v>7.2189544703643449</v>
      </c>
      <c r="F60" s="53">
        <f>HLOOKUP($A60,SumEnc32x256[#All],AVG,FALSE)</f>
        <v>35.462198999999998</v>
      </c>
      <c r="G60" s="53">
        <f>HLOOKUP($A60,SumEnc32x256[#All],MIN,FALSE)</f>
        <v>30.847200000000001</v>
      </c>
      <c r="H60" s="53">
        <f>HLOOKUP($A60,SumEnc32x256[#All],MAX,FALSE)</f>
        <v>161.56</v>
      </c>
      <c r="I60" s="53">
        <f>HLOOKUP($A60,SumEnc32x256[#All],MED,FALSE)</f>
        <v>32.642949999999999</v>
      </c>
      <c r="J60" s="47">
        <f>VLOOKUP(SummaryEncryption[[#This Row],[Mode]],EncFileSummary[#All],14,FALSE)</f>
        <v>536870912</v>
      </c>
      <c r="O60" s="48" t="s">
        <v>3</v>
      </c>
      <c r="P60" s="13" t="s">
        <v>14</v>
      </c>
      <c r="Q60" s="47" t="str">
        <f>CONCATENATE(SummaryDecryption[[#This Row],[Mode]],"_",SummaryDecryption[[#This Row],[Key size (B)]])</f>
        <v>CFB_32B</v>
      </c>
      <c r="R60" s="13">
        <v>256000</v>
      </c>
      <c r="S60" s="47">
        <f>SummaryDecryption[[#This Row],[Test Size (KB)]]/SummaryDecryption[[#This Row],[Average (ms)]]/1000</f>
        <v>6.4479160763423176E-3</v>
      </c>
      <c r="T60" s="53">
        <f>HLOOKUP($A60,SumDec32x256[#All],AVG,FALSE)</f>
        <v>39702.750000000007</v>
      </c>
      <c r="U60" s="53">
        <f>HLOOKUP($A60,SumDec32x256[#All],MIN,FALSE)</f>
        <v>38498.300000000003</v>
      </c>
      <c r="V60" s="53">
        <f>HLOOKUP($A60,SumDec32x256[#All],MAX,FALSE)</f>
        <v>42343.199999999997</v>
      </c>
      <c r="W60" s="53">
        <f>HLOOKUP($A60,SumDec32x256[#All],MED,FALSE)</f>
        <v>39266.550000000003</v>
      </c>
      <c r="X60" s="47">
        <f>VLOOKUP(SummaryEncryption[[#This Row],[Mode]],DecFileSummary[#All],14,FALSE)</f>
        <v>268435456</v>
      </c>
    </row>
    <row r="61" spans="1:24" ht="17" thickTop="1" thickBot="1">
      <c r="A61" s="49" t="s">
        <v>2</v>
      </c>
      <c r="B61" s="18" t="s">
        <v>14</v>
      </c>
      <c r="C61" s="47" t="str">
        <f>CONCATENATE(SummaryEncryption[[#This Row],[Mode]],"_",SummaryEncryption[[#This Row],[Key size (B)]])</f>
        <v>OFB_32B</v>
      </c>
      <c r="D61" s="18">
        <v>256000</v>
      </c>
      <c r="E61" s="47">
        <f>SummaryEncryption[[#This Row],[Test Size (KB)]]/SummaryEncryption[[#This Row],[Average (ms)]]/1000</f>
        <v>7.2061540781019291</v>
      </c>
      <c r="F61" s="54">
        <f>HLOOKUP($A61,SumEnc32x256[#All],AVG,FALSE)</f>
        <v>35.525191000000007</v>
      </c>
      <c r="G61" s="54">
        <f>HLOOKUP($A61,SumEnc32x256[#All],MIN,FALSE)</f>
        <v>30.835000000000001</v>
      </c>
      <c r="H61" s="54">
        <f>HLOOKUP($A61,SumEnc32x256[#All],MAX,FALSE)</f>
        <v>187.626</v>
      </c>
      <c r="I61" s="54">
        <f>HLOOKUP($A61,SumEnc32x256[#All],MED,FALSE)</f>
        <v>32.732799999999997</v>
      </c>
      <c r="J61" s="47">
        <f>VLOOKUP(SummaryEncryption[[#This Row],[Mode]],EncFileSummary[#All],14,FALSE)</f>
        <v>536870912</v>
      </c>
      <c r="O61" s="49" t="s">
        <v>2</v>
      </c>
      <c r="P61" s="18" t="s">
        <v>14</v>
      </c>
      <c r="Q61" s="47" t="str">
        <f>CONCATENATE(SummaryDecryption[[#This Row],[Mode]],"_",SummaryDecryption[[#This Row],[Key size (B)]])</f>
        <v>OFB_32B</v>
      </c>
      <c r="R61" s="18">
        <v>256000</v>
      </c>
      <c r="S61" s="47">
        <f>SummaryDecryption[[#This Row],[Test Size (KB)]]/SummaryDecryption[[#This Row],[Average (ms)]]/1000</f>
        <v>6.6517245375362546E-3</v>
      </c>
      <c r="T61" s="54">
        <f>HLOOKUP($A61,SumDec32x256[#All],AVG,FALSE)</f>
        <v>38486.259999999995</v>
      </c>
      <c r="U61" s="54">
        <f>HLOOKUP($A61,SumDec32x256[#All],MIN,FALSE)</f>
        <v>36217.4</v>
      </c>
      <c r="V61" s="54">
        <f>HLOOKUP($A61,SumDec32x256[#All],MAX,FALSE)</f>
        <v>43328.2</v>
      </c>
      <c r="W61" s="54">
        <f>HLOOKUP($A61,SumDec32x256[#All],MED,FALSE)</f>
        <v>37419.4</v>
      </c>
      <c r="X61" s="47">
        <f>VLOOKUP(SummaryEncryption[[#This Row],[Mode]],DecFileSummary[#All],14,FALSE)</f>
        <v>268435456</v>
      </c>
    </row>
    <row r="62" spans="1:24" ht="16" thickTop="1">
      <c r="A62" s="48" t="s">
        <v>4</v>
      </c>
      <c r="B62" s="13" t="s">
        <v>14</v>
      </c>
      <c r="C62" s="47" t="str">
        <f>CONCATENATE(SummaryEncryption[[#This Row],[Mode]],"_",SummaryEncryption[[#This Row],[Key size (B)]])</f>
        <v>CTR_32B</v>
      </c>
      <c r="D62" s="13">
        <v>256000</v>
      </c>
      <c r="E62" s="47">
        <f>SummaryEncryption[[#This Row],[Test Size (KB)]]/SummaryEncryption[[#This Row],[Average (ms)]]/1000</f>
        <v>7.3633430405780311</v>
      </c>
      <c r="F62" s="53">
        <f>HLOOKUP($A62,SumEnc32x256[#All],AVG,FALSE)</f>
        <v>34.766817000000003</v>
      </c>
      <c r="G62" s="53">
        <f>HLOOKUP($A62,SumEnc32x256[#All],MIN,FALSE)</f>
        <v>30.6754</v>
      </c>
      <c r="H62" s="53">
        <f>HLOOKUP($A62,SumEnc32x256[#All],MAX,FALSE)</f>
        <v>145.321</v>
      </c>
      <c r="I62" s="53">
        <f>HLOOKUP($A62,SumEnc32x256[#All],MED,FALSE)</f>
        <v>32.379599999999996</v>
      </c>
      <c r="J62" s="47">
        <f>VLOOKUP(SummaryEncryption[[#This Row],[Mode]],EncFileSummary[#All],14,FALSE)</f>
        <v>536870912</v>
      </c>
      <c r="O62" s="48" t="s">
        <v>4</v>
      </c>
      <c r="P62" s="13" t="s">
        <v>14</v>
      </c>
      <c r="Q62" s="47" t="str">
        <f>CONCATENATE(SummaryDecryption[[#This Row],[Mode]],"_",SummaryDecryption[[#This Row],[Key size (B)]])</f>
        <v>CTR_32B</v>
      </c>
      <c r="R62" s="13">
        <v>256000</v>
      </c>
      <c r="S62" s="47">
        <f>SummaryDecryption[[#This Row],[Test Size (KB)]]/SummaryDecryption[[#This Row],[Average (ms)]]/1000</f>
        <v>6.7367410541473455E-3</v>
      </c>
      <c r="T62" s="53">
        <f>HLOOKUP($A62,SumDec32x256[#All],AVG,FALSE)</f>
        <v>38000.57</v>
      </c>
      <c r="U62" s="53">
        <f>HLOOKUP($A62,SumDec32x256[#All],MIN,FALSE)</f>
        <v>36630.1</v>
      </c>
      <c r="V62" s="53">
        <f>HLOOKUP($A62,SumDec32x256[#All],MAX,FALSE)</f>
        <v>39906.9</v>
      </c>
      <c r="W62" s="53">
        <f>HLOOKUP($A62,SumDec32x256[#All],MED,FALSE)</f>
        <v>37587.300000000003</v>
      </c>
      <c r="X62" s="47">
        <f>VLOOKUP(SummaryEncryption[[#This Row],[Mode]],DecFileSummary[#All],14,FALSE)</f>
        <v>268435456</v>
      </c>
    </row>
    <row r="63" spans="1:24"/>
    <row r="64" spans="1:2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O1:X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85"/>
  <sheetViews>
    <sheetView workbookViewId="0">
      <selection activeCell="L20" sqref="L20"/>
    </sheetView>
  </sheetViews>
  <sheetFormatPr baseColWidth="10" defaultRowHeight="15" x14ac:dyDescent="0"/>
  <cols>
    <col min="1" max="1" width="13.33203125" bestFit="1" customWidth="1"/>
    <col min="2" max="2" width="13.1640625" bestFit="1" customWidth="1"/>
    <col min="3" max="3" width="13.6640625" bestFit="1" customWidth="1"/>
    <col min="4" max="4" width="16.83203125" bestFit="1" customWidth="1"/>
    <col min="5" max="5" width="26" bestFit="1" customWidth="1"/>
  </cols>
  <sheetData>
    <row r="4" spans="1:5">
      <c r="B4" s="14" t="s">
        <v>88</v>
      </c>
    </row>
    <row r="5" spans="1:5">
      <c r="A5" s="14" t="s">
        <v>87</v>
      </c>
      <c r="B5" t="s">
        <v>92</v>
      </c>
      <c r="C5" t="s">
        <v>90</v>
      </c>
      <c r="D5" t="s">
        <v>89</v>
      </c>
      <c r="E5" t="s">
        <v>85</v>
      </c>
    </row>
    <row r="6" spans="1:5">
      <c r="A6" s="16" t="s">
        <v>1</v>
      </c>
      <c r="B6" s="15"/>
      <c r="C6" s="15"/>
      <c r="D6" s="15"/>
      <c r="E6" s="15"/>
    </row>
    <row r="7" spans="1:5">
      <c r="A7" s="64" t="s">
        <v>13</v>
      </c>
      <c r="B7" s="15"/>
      <c r="C7" s="15"/>
      <c r="D7" s="15"/>
      <c r="E7" s="15"/>
    </row>
    <row r="8" spans="1:5">
      <c r="A8" s="65">
        <v>1000</v>
      </c>
      <c r="B8" s="15">
        <v>0.113983</v>
      </c>
      <c r="C8" s="15">
        <v>0.16103500000000001</v>
      </c>
      <c r="D8" s="15">
        <v>0.11727493999999999</v>
      </c>
      <c r="E8" s="15">
        <v>8.5269708942080893</v>
      </c>
    </row>
    <row r="9" spans="1:5">
      <c r="A9" s="65">
        <v>5000</v>
      </c>
      <c r="B9" s="15">
        <v>0.58245800000000003</v>
      </c>
      <c r="C9" s="15">
        <v>0.70157999999999998</v>
      </c>
      <c r="D9" s="15">
        <v>0.60771479000000017</v>
      </c>
      <c r="E9" s="15">
        <v>8.2275437133922615</v>
      </c>
    </row>
    <row r="10" spans="1:5">
      <c r="A10" s="65">
        <v>10000</v>
      </c>
      <c r="B10" s="15">
        <v>1.1532800000000001</v>
      </c>
      <c r="C10" s="15">
        <v>1.64988</v>
      </c>
      <c r="D10" s="15">
        <v>1.1903999999999997</v>
      </c>
      <c r="E10" s="15">
        <v>8.4005376344086056</v>
      </c>
    </row>
    <row r="11" spans="1:5">
      <c r="A11" s="65">
        <v>256000</v>
      </c>
      <c r="B11" s="15">
        <v>33.158999999999999</v>
      </c>
      <c r="C11" s="15">
        <v>41.776200000000003</v>
      </c>
      <c r="D11" s="15">
        <v>37.494579999999999</v>
      </c>
      <c r="E11" s="15">
        <v>6.8276534901844483</v>
      </c>
    </row>
    <row r="12" spans="1:5">
      <c r="A12" s="64" t="s">
        <v>15</v>
      </c>
      <c r="B12" s="15"/>
      <c r="C12" s="15"/>
      <c r="D12" s="15"/>
      <c r="E12" s="15"/>
    </row>
    <row r="13" spans="1:5">
      <c r="A13" s="65">
        <v>1000</v>
      </c>
      <c r="B13" s="15">
        <v>0.11464000000000001</v>
      </c>
      <c r="C13" s="15">
        <v>0.153276</v>
      </c>
      <c r="D13" s="15">
        <v>0.11941117</v>
      </c>
      <c r="E13" s="15">
        <v>8.3744259435695998</v>
      </c>
    </row>
    <row r="14" spans="1:5">
      <c r="A14" s="65">
        <v>5000</v>
      </c>
      <c r="B14" s="15">
        <v>0.58119699999999996</v>
      </c>
      <c r="C14" s="15">
        <v>0.65286299999999997</v>
      </c>
      <c r="D14" s="15">
        <v>0.59102666000000026</v>
      </c>
      <c r="E14" s="15">
        <v>8.4598552627050658</v>
      </c>
    </row>
    <row r="15" spans="1:5">
      <c r="A15" s="65">
        <v>10000</v>
      </c>
      <c r="B15" s="15">
        <v>1.1619999999999999</v>
      </c>
      <c r="C15" s="15">
        <v>1.35043</v>
      </c>
      <c r="D15" s="15">
        <v>1.1914591000000003</v>
      </c>
      <c r="E15" s="15">
        <v>8.3930703118554355</v>
      </c>
    </row>
    <row r="16" spans="1:5">
      <c r="A16" s="65">
        <v>256000</v>
      </c>
      <c r="B16" s="15">
        <v>30.5214</v>
      </c>
      <c r="C16" s="15">
        <v>33.3994</v>
      </c>
      <c r="D16" s="15">
        <v>31.491030000000002</v>
      </c>
      <c r="E16" s="15">
        <v>8.1292990416636091</v>
      </c>
    </row>
    <row r="17" spans="1:5">
      <c r="A17" s="64" t="s">
        <v>14</v>
      </c>
      <c r="B17" s="15"/>
      <c r="C17" s="15"/>
      <c r="D17" s="15"/>
      <c r="E17" s="15"/>
    </row>
    <row r="18" spans="1:5">
      <c r="A18" s="65">
        <v>1000</v>
      </c>
      <c r="B18" s="15">
        <v>0.11490599999999999</v>
      </c>
      <c r="C18" s="15">
        <v>0.15098</v>
      </c>
      <c r="D18" s="15">
        <v>0.11792999999999998</v>
      </c>
      <c r="E18" s="15">
        <v>8.4796065462562549</v>
      </c>
    </row>
    <row r="19" spans="1:5">
      <c r="A19" s="65">
        <v>5000</v>
      </c>
      <c r="B19" s="15">
        <v>0.58796000000000004</v>
      </c>
      <c r="C19" s="15">
        <v>0.77242599999999995</v>
      </c>
      <c r="D19" s="15">
        <v>0.6031778400000003</v>
      </c>
      <c r="E19" s="15">
        <v>8.289429200515718</v>
      </c>
    </row>
    <row r="20" spans="1:5">
      <c r="A20" s="65">
        <v>10000</v>
      </c>
      <c r="B20" s="15">
        <v>1.1560600000000001</v>
      </c>
      <c r="C20" s="15">
        <v>1.40618</v>
      </c>
      <c r="D20" s="15">
        <v>1.1829124</v>
      </c>
      <c r="E20" s="15">
        <v>8.4537113652710048</v>
      </c>
    </row>
    <row r="21" spans="1:5">
      <c r="A21" s="65">
        <v>256000</v>
      </c>
      <c r="B21" s="15">
        <v>30.047599999999999</v>
      </c>
      <c r="C21" s="15">
        <v>31.240500000000001</v>
      </c>
      <c r="D21" s="15">
        <v>30.534840000000003</v>
      </c>
      <c r="E21" s="15">
        <v>8.3838657743089531</v>
      </c>
    </row>
    <row r="22" spans="1:5">
      <c r="A22" s="16" t="s">
        <v>3</v>
      </c>
      <c r="B22" s="15"/>
      <c r="C22" s="15"/>
      <c r="D22" s="15"/>
      <c r="E22" s="15"/>
    </row>
    <row r="23" spans="1:5">
      <c r="A23" s="64" t="s">
        <v>13</v>
      </c>
      <c r="B23" s="15"/>
      <c r="C23" s="15"/>
      <c r="D23" s="15"/>
      <c r="E23" s="15"/>
    </row>
    <row r="24" spans="1:5">
      <c r="A24" s="65">
        <v>1000</v>
      </c>
      <c r="B24" s="15">
        <v>0.114568</v>
      </c>
      <c r="C24" s="15">
        <v>0.158217</v>
      </c>
      <c r="D24" s="15">
        <v>0.11785674</v>
      </c>
      <c r="E24" s="15">
        <v>8.4848774877024429</v>
      </c>
    </row>
    <row r="25" spans="1:5">
      <c r="A25" s="65">
        <v>5000</v>
      </c>
      <c r="B25" s="15">
        <v>0.58712900000000001</v>
      </c>
      <c r="C25" s="15">
        <v>0.694268</v>
      </c>
      <c r="D25" s="15">
        <v>0.60762368000000011</v>
      </c>
      <c r="E25" s="15">
        <v>8.2287773906375712</v>
      </c>
    </row>
    <row r="26" spans="1:5">
      <c r="A26" s="65">
        <v>10000</v>
      </c>
      <c r="B26" s="15">
        <v>1.1598299999999999</v>
      </c>
      <c r="C26" s="15">
        <v>2.1463399999999999</v>
      </c>
      <c r="D26" s="15">
        <v>1.2027246999999999</v>
      </c>
      <c r="E26" s="15">
        <v>8.3144546711313083</v>
      </c>
    </row>
    <row r="27" spans="1:5">
      <c r="A27" s="65">
        <v>256000</v>
      </c>
      <c r="B27" s="15">
        <v>33.603099999999998</v>
      </c>
      <c r="C27" s="15">
        <v>40.6218</v>
      </c>
      <c r="D27" s="15">
        <v>38.195519999999995</v>
      </c>
      <c r="E27" s="15">
        <v>6.7023567161803275</v>
      </c>
    </row>
    <row r="28" spans="1:5">
      <c r="A28" s="64" t="s">
        <v>15</v>
      </c>
      <c r="B28" s="15"/>
      <c r="C28" s="15"/>
      <c r="D28" s="15"/>
      <c r="E28" s="15"/>
    </row>
    <row r="29" spans="1:5">
      <c r="A29" s="65">
        <v>1000</v>
      </c>
      <c r="B29" s="15">
        <v>0.11505899999999999</v>
      </c>
      <c r="C29" s="15">
        <v>0.164382</v>
      </c>
      <c r="D29" s="15">
        <v>0.12024837000000005</v>
      </c>
      <c r="E29" s="15">
        <v>8.3161210418070493</v>
      </c>
    </row>
    <row r="30" spans="1:5">
      <c r="A30" s="65">
        <v>5000</v>
      </c>
      <c r="B30" s="15">
        <v>0.581399</v>
      </c>
      <c r="C30" s="15">
        <v>0.67401299999999997</v>
      </c>
      <c r="D30" s="15">
        <v>0.59286342000000003</v>
      </c>
      <c r="E30" s="15">
        <v>8.4336456447253898</v>
      </c>
    </row>
    <row r="31" spans="1:5">
      <c r="A31" s="65">
        <v>10000</v>
      </c>
      <c r="B31" s="15">
        <v>1.1625099999999999</v>
      </c>
      <c r="C31" s="15">
        <v>1.34371</v>
      </c>
      <c r="D31" s="15">
        <v>1.1871027999999995</v>
      </c>
      <c r="E31" s="15">
        <v>8.4238702831801966</v>
      </c>
    </row>
    <row r="32" spans="1:5">
      <c r="A32" s="65">
        <v>256000</v>
      </c>
      <c r="B32" s="15">
        <v>30.180399999999999</v>
      </c>
      <c r="C32" s="15">
        <v>33.586199999999998</v>
      </c>
      <c r="D32" s="15">
        <v>30.938839999999999</v>
      </c>
      <c r="E32" s="15">
        <v>8.2743890850464972</v>
      </c>
    </row>
    <row r="33" spans="1:5">
      <c r="A33" s="64" t="s">
        <v>14</v>
      </c>
      <c r="B33" s="15"/>
      <c r="C33" s="15"/>
      <c r="D33" s="15"/>
      <c r="E33" s="15"/>
    </row>
    <row r="34" spans="1:5">
      <c r="A34" s="65">
        <v>1000</v>
      </c>
      <c r="B34" s="15">
        <v>0.115645</v>
      </c>
      <c r="C34" s="15">
        <v>0.15065100000000001</v>
      </c>
      <c r="D34" s="15">
        <v>0.11790259</v>
      </c>
      <c r="E34" s="15">
        <v>8.4815778856087896</v>
      </c>
    </row>
    <row r="35" spans="1:5">
      <c r="A35" s="65">
        <v>5000</v>
      </c>
      <c r="B35" s="15">
        <v>0.59153100000000003</v>
      </c>
      <c r="C35" s="15">
        <v>0.78078099999999995</v>
      </c>
      <c r="D35" s="15">
        <v>0.6055059399999998</v>
      </c>
      <c r="E35" s="15">
        <v>8.2575573081909024</v>
      </c>
    </row>
    <row r="36" spans="1:5">
      <c r="A36" s="65">
        <v>10000</v>
      </c>
      <c r="B36" s="15">
        <v>1.16086</v>
      </c>
      <c r="C36" s="15">
        <v>1.38445</v>
      </c>
      <c r="D36" s="15">
        <v>1.1848855999999999</v>
      </c>
      <c r="E36" s="15">
        <v>8.4396333283145655</v>
      </c>
    </row>
    <row r="37" spans="1:5">
      <c r="A37" s="65">
        <v>256000</v>
      </c>
      <c r="B37" s="15">
        <v>30.107800000000001</v>
      </c>
      <c r="C37" s="15">
        <v>31.154900000000001</v>
      </c>
      <c r="D37" s="15">
        <v>30.429270000000002</v>
      </c>
      <c r="E37" s="15">
        <v>8.412952397477822</v>
      </c>
    </row>
    <row r="38" spans="1:5">
      <c r="A38" s="16" t="s">
        <v>4</v>
      </c>
      <c r="B38" s="15"/>
      <c r="C38" s="15"/>
      <c r="D38" s="15"/>
      <c r="E38" s="15"/>
    </row>
    <row r="39" spans="1:5">
      <c r="A39" s="64" t="s">
        <v>13</v>
      </c>
      <c r="B39" s="15"/>
      <c r="C39" s="15"/>
      <c r="D39" s="15"/>
      <c r="E39" s="15"/>
    </row>
    <row r="40" spans="1:5">
      <c r="A40" s="65">
        <v>1000</v>
      </c>
      <c r="B40" s="15">
        <v>0.11405700000000001</v>
      </c>
      <c r="C40" s="15">
        <v>0.140622</v>
      </c>
      <c r="D40" s="15">
        <v>0.11710758999999998</v>
      </c>
      <c r="E40" s="15">
        <v>8.5391561725418494</v>
      </c>
    </row>
    <row r="41" spans="1:5">
      <c r="A41" s="65">
        <v>5000</v>
      </c>
      <c r="B41" s="15">
        <v>0.58232399999999995</v>
      </c>
      <c r="C41" s="15">
        <v>0.71203099999999997</v>
      </c>
      <c r="D41" s="15">
        <v>0.60431409000000003</v>
      </c>
      <c r="E41" s="15">
        <v>8.2738431599369129</v>
      </c>
    </row>
    <row r="42" spans="1:5">
      <c r="A42" s="65">
        <v>10000</v>
      </c>
      <c r="B42" s="15">
        <v>1.1511800000000001</v>
      </c>
      <c r="C42" s="15">
        <v>1.3801600000000001</v>
      </c>
      <c r="D42" s="15">
        <v>1.1794971999999999</v>
      </c>
      <c r="E42" s="15">
        <v>8.478188841821753</v>
      </c>
    </row>
    <row r="43" spans="1:5">
      <c r="A43" s="65">
        <v>256000</v>
      </c>
      <c r="B43" s="15">
        <v>34.460900000000002</v>
      </c>
      <c r="C43" s="15">
        <v>42.012300000000003</v>
      </c>
      <c r="D43" s="15">
        <v>36.793680000000009</v>
      </c>
      <c r="E43" s="15">
        <v>6.9577166513379449</v>
      </c>
    </row>
    <row r="44" spans="1:5">
      <c r="A44" s="64" t="s">
        <v>15</v>
      </c>
      <c r="B44" s="15"/>
      <c r="C44" s="15"/>
      <c r="D44" s="15"/>
      <c r="E44" s="15"/>
    </row>
    <row r="45" spans="1:5">
      <c r="A45" s="65">
        <v>1000</v>
      </c>
      <c r="B45" s="15">
        <v>0.11458500000000001</v>
      </c>
      <c r="C45" s="15">
        <v>0.15845200000000001</v>
      </c>
      <c r="D45" s="15">
        <v>0.11899982000000002</v>
      </c>
      <c r="E45" s="15">
        <v>8.4033740555237806</v>
      </c>
    </row>
    <row r="46" spans="1:5">
      <c r="A46" s="65">
        <v>5000</v>
      </c>
      <c r="B46" s="15">
        <v>0.57942099999999996</v>
      </c>
      <c r="C46" s="15">
        <v>0.69999900000000004</v>
      </c>
      <c r="D46" s="15">
        <v>0.59049072000000014</v>
      </c>
      <c r="E46" s="15">
        <v>8.4675335795285651</v>
      </c>
    </row>
    <row r="47" spans="1:5">
      <c r="A47" s="65">
        <v>10000</v>
      </c>
      <c r="B47" s="15">
        <v>1.1628799999999999</v>
      </c>
      <c r="C47" s="15">
        <v>1.3167500000000001</v>
      </c>
      <c r="D47" s="15">
        <v>1.1878140999999998</v>
      </c>
      <c r="E47" s="15">
        <v>8.4188258078431648</v>
      </c>
    </row>
    <row r="48" spans="1:5">
      <c r="A48" s="65">
        <v>256000</v>
      </c>
      <c r="B48" s="15">
        <v>30.331299999999999</v>
      </c>
      <c r="C48" s="15">
        <v>39.975099999999998</v>
      </c>
      <c r="D48" s="15">
        <v>32.068759999999997</v>
      </c>
      <c r="E48" s="15">
        <v>7.9828468578142724</v>
      </c>
    </row>
    <row r="49" spans="1:5">
      <c r="A49" s="64" t="s">
        <v>14</v>
      </c>
      <c r="B49" s="15"/>
      <c r="C49" s="15"/>
      <c r="D49" s="15"/>
      <c r="E49" s="15"/>
    </row>
    <row r="50" spans="1:5">
      <c r="A50" s="65">
        <v>1000</v>
      </c>
      <c r="B50" s="15">
        <v>0.114708</v>
      </c>
      <c r="C50" s="15">
        <v>0.14487800000000001</v>
      </c>
      <c r="D50" s="15">
        <v>0.11664321</v>
      </c>
      <c r="E50" s="15">
        <v>8.5731522649282379</v>
      </c>
    </row>
    <row r="51" spans="1:5">
      <c r="A51" s="65">
        <v>5000</v>
      </c>
      <c r="B51" s="15">
        <v>0.58655500000000005</v>
      </c>
      <c r="C51" s="15">
        <v>0.78129000000000004</v>
      </c>
      <c r="D51" s="15">
        <v>0.60078033999999969</v>
      </c>
      <c r="E51" s="15">
        <v>8.3225093550830955</v>
      </c>
    </row>
    <row r="52" spans="1:5">
      <c r="A52" s="65">
        <v>10000</v>
      </c>
      <c r="B52" s="15">
        <v>1.1549100000000001</v>
      </c>
      <c r="C52" s="15">
        <v>1.29677</v>
      </c>
      <c r="D52" s="15">
        <v>1.1828337000000002</v>
      </c>
      <c r="E52" s="15">
        <v>8.4542738340985704</v>
      </c>
    </row>
    <row r="53" spans="1:5">
      <c r="A53" s="65">
        <v>256000</v>
      </c>
      <c r="B53" s="15">
        <v>30.020499999999998</v>
      </c>
      <c r="C53" s="15">
        <v>30.887599999999999</v>
      </c>
      <c r="D53" s="15">
        <v>30.313869999999998</v>
      </c>
      <c r="E53" s="15">
        <v>8.4449791465095014</v>
      </c>
    </row>
    <row r="54" spans="1:5">
      <c r="A54" s="16" t="s">
        <v>0</v>
      </c>
      <c r="B54" s="15"/>
      <c r="C54" s="15"/>
      <c r="D54" s="15"/>
      <c r="E54" s="15"/>
    </row>
    <row r="55" spans="1:5">
      <c r="A55" s="64" t="s">
        <v>13</v>
      </c>
      <c r="B55" s="15"/>
      <c r="C55" s="15"/>
      <c r="D55" s="15"/>
      <c r="E55" s="15"/>
    </row>
    <row r="56" spans="1:5">
      <c r="A56" s="65">
        <v>1000</v>
      </c>
      <c r="B56" s="15">
        <v>113.931</v>
      </c>
      <c r="C56" s="15">
        <v>150.25399999999999</v>
      </c>
      <c r="D56" s="15">
        <v>117.66337000000003</v>
      </c>
      <c r="E56" s="15">
        <v>8.4988216808680548E-3</v>
      </c>
    </row>
    <row r="57" spans="1:5">
      <c r="A57" s="65">
        <v>5000</v>
      </c>
      <c r="B57" s="15">
        <v>113.931</v>
      </c>
      <c r="C57" s="15">
        <v>150.25399999999999</v>
      </c>
      <c r="D57" s="15">
        <v>608.40352000000007</v>
      </c>
      <c r="E57" s="15">
        <v>8.2182299011024779E-3</v>
      </c>
    </row>
    <row r="58" spans="1:5">
      <c r="A58" s="65">
        <v>10000</v>
      </c>
      <c r="B58" s="15">
        <v>1149.2</v>
      </c>
      <c r="C58" s="15">
        <v>1678.15</v>
      </c>
      <c r="D58" s="15">
        <v>1182.0320999999997</v>
      </c>
      <c r="E58" s="15">
        <v>8.4600071351700196E-3</v>
      </c>
    </row>
    <row r="59" spans="1:5">
      <c r="A59" s="65">
        <v>256000</v>
      </c>
      <c r="B59" s="15">
        <v>32920.699999999997</v>
      </c>
      <c r="C59" s="15">
        <v>41554</v>
      </c>
      <c r="D59" s="15">
        <v>37350.990000000005</v>
      </c>
      <c r="E59" s="15">
        <v>6.8539013289875298E-3</v>
      </c>
    </row>
    <row r="60" spans="1:5">
      <c r="A60" s="64" t="s">
        <v>15</v>
      </c>
      <c r="B60" s="15"/>
      <c r="C60" s="15"/>
      <c r="D60" s="15"/>
      <c r="E60" s="15"/>
    </row>
    <row r="61" spans="1:5">
      <c r="A61" s="65">
        <v>1000</v>
      </c>
      <c r="B61" s="15">
        <v>114.81</v>
      </c>
      <c r="C61" s="15">
        <v>147.434</v>
      </c>
      <c r="D61" s="15">
        <v>119.3309</v>
      </c>
      <c r="E61" s="15">
        <v>8.380059146457456E-3</v>
      </c>
    </row>
    <row r="62" spans="1:5">
      <c r="A62" s="65">
        <v>5000</v>
      </c>
      <c r="B62" s="15">
        <v>580.42399999999998</v>
      </c>
      <c r="C62" s="15">
        <v>677.19299999999998</v>
      </c>
      <c r="D62" s="15">
        <v>591.50602000000003</v>
      </c>
      <c r="E62" s="15">
        <v>8.4529993456364146E-3</v>
      </c>
    </row>
    <row r="63" spans="1:5">
      <c r="A63" s="65">
        <v>10000</v>
      </c>
      <c r="B63" s="15">
        <v>1161.1199999999999</v>
      </c>
      <c r="C63" s="15">
        <v>1454.54</v>
      </c>
      <c r="D63" s="15">
        <v>1193.1301000000003</v>
      </c>
      <c r="E63" s="15">
        <v>8.3813156670844175E-3</v>
      </c>
    </row>
    <row r="64" spans="1:5">
      <c r="A64" s="65">
        <v>256000</v>
      </c>
      <c r="B64" s="15">
        <v>30269.3</v>
      </c>
      <c r="C64" s="15">
        <v>31891.599999999999</v>
      </c>
      <c r="D64" s="15">
        <v>31066.190000000002</v>
      </c>
      <c r="E64" s="15">
        <v>8.240469784032093E-3</v>
      </c>
    </row>
    <row r="65" spans="1:5">
      <c r="A65" s="64" t="s">
        <v>14</v>
      </c>
      <c r="B65" s="15"/>
      <c r="C65" s="15"/>
      <c r="D65" s="15"/>
      <c r="E65" s="15"/>
    </row>
    <row r="66" spans="1:5">
      <c r="A66" s="65">
        <v>1000</v>
      </c>
      <c r="B66" s="15">
        <v>115.19</v>
      </c>
      <c r="C66" s="15">
        <v>149.911</v>
      </c>
      <c r="D66" s="15">
        <v>117.81823</v>
      </c>
      <c r="E66" s="15">
        <v>8.4876508499576002E-3</v>
      </c>
    </row>
    <row r="67" spans="1:5">
      <c r="A67" s="65">
        <v>5000</v>
      </c>
      <c r="B67" s="15">
        <v>115.19</v>
      </c>
      <c r="C67" s="15">
        <v>149.911</v>
      </c>
      <c r="D67" s="15">
        <v>600.46119999999974</v>
      </c>
      <c r="E67" s="15">
        <v>8.3269326977330124E-3</v>
      </c>
    </row>
    <row r="68" spans="1:5">
      <c r="A68" s="65">
        <v>10000</v>
      </c>
      <c r="B68" s="15">
        <v>1153.4000000000001</v>
      </c>
      <c r="C68" s="15">
        <v>1385.54</v>
      </c>
      <c r="D68" s="15">
        <v>1185.3488</v>
      </c>
      <c r="E68" s="15">
        <v>8.4363353639030133E-3</v>
      </c>
    </row>
    <row r="69" spans="1:5">
      <c r="A69" s="65">
        <v>256000</v>
      </c>
      <c r="B69" s="15">
        <v>29912.3</v>
      </c>
      <c r="C69" s="15">
        <v>32149.7</v>
      </c>
      <c r="D69" s="15">
        <v>30459.559999999998</v>
      </c>
      <c r="E69" s="15">
        <v>8.4045862776743994E-3</v>
      </c>
    </row>
    <row r="70" spans="1:5">
      <c r="A70" s="16" t="s">
        <v>2</v>
      </c>
      <c r="B70" s="15"/>
      <c r="C70" s="15"/>
      <c r="D70" s="15"/>
      <c r="E70" s="15"/>
    </row>
    <row r="71" spans="1:5">
      <c r="A71" s="64" t="s">
        <v>13</v>
      </c>
      <c r="B71" s="15"/>
      <c r="C71" s="15"/>
      <c r="D71" s="15"/>
      <c r="E71" s="15"/>
    </row>
    <row r="72" spans="1:5">
      <c r="A72" s="65">
        <v>1000</v>
      </c>
      <c r="B72" s="15">
        <v>0.114009</v>
      </c>
      <c r="C72" s="15">
        <v>0.14622599999999999</v>
      </c>
      <c r="D72" s="15">
        <v>0.11713888</v>
      </c>
      <c r="E72" s="15">
        <v>8.5368752031776296</v>
      </c>
    </row>
    <row r="73" spans="1:5">
      <c r="A73" s="65">
        <v>5000</v>
      </c>
      <c r="B73" s="15">
        <v>0.58478300000000005</v>
      </c>
      <c r="C73" s="15">
        <v>0.70856600000000003</v>
      </c>
      <c r="D73" s="15">
        <v>0.60642534000000015</v>
      </c>
      <c r="E73" s="15">
        <v>8.245038045408851</v>
      </c>
    </row>
    <row r="74" spans="1:5">
      <c r="A74" s="65">
        <v>10000</v>
      </c>
      <c r="B74" s="15">
        <v>1.1619299999999999</v>
      </c>
      <c r="C74" s="15">
        <v>3.12236</v>
      </c>
      <c r="D74" s="15">
        <v>1.2204304999999998</v>
      </c>
      <c r="E74" s="15">
        <v>8.193829964098736</v>
      </c>
    </row>
    <row r="75" spans="1:5">
      <c r="A75" s="65">
        <v>256000</v>
      </c>
      <c r="B75" s="15">
        <v>32.4285</v>
      </c>
      <c r="C75" s="15">
        <v>37.515999999999998</v>
      </c>
      <c r="D75" s="15">
        <v>35.80771</v>
      </c>
      <c r="E75" s="15">
        <v>7.1492982935797906</v>
      </c>
    </row>
    <row r="76" spans="1:5">
      <c r="A76" s="64" t="s">
        <v>15</v>
      </c>
      <c r="B76" s="15"/>
      <c r="C76" s="15"/>
      <c r="D76" s="15"/>
      <c r="E76" s="15"/>
    </row>
    <row r="77" spans="1:5">
      <c r="A77" s="65">
        <v>1000</v>
      </c>
      <c r="B77" s="15">
        <v>0.11518299999999999</v>
      </c>
      <c r="C77" s="15">
        <v>0.138544</v>
      </c>
      <c r="D77" s="15">
        <v>0.11931407999999998</v>
      </c>
      <c r="E77" s="15">
        <v>8.3812405040545102</v>
      </c>
    </row>
    <row r="78" spans="1:5">
      <c r="A78" s="65">
        <v>5000</v>
      </c>
      <c r="B78" s="15">
        <v>0.580627</v>
      </c>
      <c r="C78" s="15">
        <v>0.66195300000000001</v>
      </c>
      <c r="D78" s="15">
        <v>0.59110143000000015</v>
      </c>
      <c r="E78" s="15">
        <v>8.458785152998189</v>
      </c>
    </row>
    <row r="79" spans="1:5">
      <c r="A79" s="65">
        <v>10000</v>
      </c>
      <c r="B79" s="15">
        <v>1.1652899999999999</v>
      </c>
      <c r="C79" s="15">
        <v>1.4149099999999999</v>
      </c>
      <c r="D79" s="15">
        <v>1.1904866999999999</v>
      </c>
      <c r="E79" s="15">
        <v>8.3999258454546357</v>
      </c>
    </row>
    <row r="80" spans="1:5">
      <c r="A80" s="65">
        <v>256000</v>
      </c>
      <c r="B80" s="15">
        <v>30.393899999999999</v>
      </c>
      <c r="C80" s="15">
        <v>32.526499999999999</v>
      </c>
      <c r="D80" s="15">
        <v>31.132209999999997</v>
      </c>
      <c r="E80" s="15">
        <v>8.2229947697256325</v>
      </c>
    </row>
    <row r="81" spans="1:5">
      <c r="A81" s="64" t="s">
        <v>14</v>
      </c>
      <c r="B81" s="15"/>
      <c r="C81" s="15"/>
      <c r="D81" s="15"/>
      <c r="E81" s="15"/>
    </row>
    <row r="82" spans="1:5">
      <c r="A82" s="65">
        <v>1000</v>
      </c>
      <c r="B82" s="15">
        <v>0.115715</v>
      </c>
      <c r="C82" s="15">
        <v>0.14982100000000001</v>
      </c>
      <c r="D82" s="15">
        <v>0.11870029999999999</v>
      </c>
      <c r="E82" s="15">
        <v>8.4245785393971193</v>
      </c>
    </row>
    <row r="83" spans="1:5">
      <c r="A83" s="65">
        <v>5000</v>
      </c>
      <c r="B83" s="15">
        <v>0.59041500000000002</v>
      </c>
      <c r="C83" s="15">
        <v>0.72878299999999996</v>
      </c>
      <c r="D83" s="15">
        <v>0.60496234000000004</v>
      </c>
      <c r="E83" s="15">
        <v>8.2649772876771124</v>
      </c>
    </row>
    <row r="84" spans="1:5">
      <c r="A84" s="65">
        <v>10000</v>
      </c>
      <c r="B84" s="15">
        <v>1.1676299999999999</v>
      </c>
      <c r="C84" s="15">
        <v>1.2996399999999999</v>
      </c>
      <c r="D84" s="15">
        <v>1.1894183000000009</v>
      </c>
      <c r="E84" s="15">
        <v>8.4074711142413001</v>
      </c>
    </row>
    <row r="85" spans="1:5">
      <c r="A85" s="65">
        <v>256000</v>
      </c>
      <c r="B85" s="15">
        <v>30.082699999999999</v>
      </c>
      <c r="C85" s="15">
        <v>30.884399999999999</v>
      </c>
      <c r="D85" s="15">
        <v>30.35763</v>
      </c>
      <c r="E85" s="15">
        <v>8.4328058547389908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4"/>
  <sheetViews>
    <sheetView workbookViewId="0">
      <selection activeCell="A3" sqref="A3:E84"/>
    </sheetView>
  </sheetViews>
  <sheetFormatPr baseColWidth="10" defaultRowHeight="15" x14ac:dyDescent="0"/>
  <cols>
    <col min="1" max="1" width="13" bestFit="1" customWidth="1"/>
    <col min="2" max="2" width="13.5" bestFit="1" customWidth="1"/>
    <col min="3" max="3" width="13.33203125" bestFit="1" customWidth="1"/>
    <col min="4" max="4" width="16.33203125" bestFit="1" customWidth="1"/>
    <col min="5" max="5" width="25.33203125" bestFit="1" customWidth="1"/>
  </cols>
  <sheetData>
    <row r="3" spans="1:5">
      <c r="B3" s="14" t="s">
        <v>88</v>
      </c>
    </row>
    <row r="4" spans="1:5">
      <c r="A4" s="14" t="s">
        <v>87</v>
      </c>
      <c r="B4" t="s">
        <v>91</v>
      </c>
      <c r="C4" t="s">
        <v>90</v>
      </c>
      <c r="D4" t="s">
        <v>89</v>
      </c>
      <c r="E4" t="s">
        <v>85</v>
      </c>
    </row>
    <row r="5" spans="1:5">
      <c r="A5" s="16" t="s">
        <v>1</v>
      </c>
      <c r="B5" s="15"/>
      <c r="C5" s="15"/>
      <c r="D5" s="15"/>
      <c r="E5" s="15"/>
    </row>
    <row r="6" spans="1:5">
      <c r="A6" s="64" t="s">
        <v>13</v>
      </c>
      <c r="B6" s="15"/>
      <c r="C6" s="15"/>
      <c r="D6" s="15"/>
      <c r="E6" s="15"/>
    </row>
    <row r="7" spans="1:5">
      <c r="A7" s="65">
        <v>1000</v>
      </c>
      <c r="B7" s="15">
        <v>63.256999999999998</v>
      </c>
      <c r="C7" s="15">
        <v>90.796000000000006</v>
      </c>
      <c r="D7" s="15">
        <v>64.949040000000011</v>
      </c>
      <c r="E7" s="15">
        <v>1.5396686386742589E-2</v>
      </c>
    </row>
    <row r="8" spans="1:5">
      <c r="A8" s="65">
        <v>5000</v>
      </c>
      <c r="B8" s="15">
        <v>316.416</v>
      </c>
      <c r="C8" s="15">
        <v>452.41500000000002</v>
      </c>
      <c r="D8" s="15">
        <v>371.24275</v>
      </c>
      <c r="E8" s="15">
        <v>1.3468276484860648E-2</v>
      </c>
    </row>
    <row r="9" spans="1:5">
      <c r="A9" s="65">
        <v>10000</v>
      </c>
      <c r="B9" s="15">
        <v>626.50599999999997</v>
      </c>
      <c r="C9" s="15">
        <v>961.84100000000001</v>
      </c>
      <c r="D9" s="15">
        <v>713.52113999999972</v>
      </c>
      <c r="E9" s="15">
        <v>1.4015001713894564E-2</v>
      </c>
    </row>
    <row r="10" spans="1:5">
      <c r="A10" s="65">
        <v>256000</v>
      </c>
      <c r="B10" s="15">
        <v>17765.2</v>
      </c>
      <c r="C10" s="15">
        <v>24444.7</v>
      </c>
      <c r="D10" s="15">
        <v>20887.55</v>
      </c>
      <c r="E10" s="15">
        <v>1.2256104713094643E-2</v>
      </c>
    </row>
    <row r="11" spans="1:5">
      <c r="A11" s="64" t="s">
        <v>15</v>
      </c>
      <c r="B11" s="15"/>
      <c r="C11" s="15"/>
      <c r="D11" s="15"/>
      <c r="E11" s="15"/>
    </row>
    <row r="12" spans="1:5">
      <c r="A12" s="65">
        <v>1000</v>
      </c>
      <c r="B12" s="15">
        <v>63.917000000000002</v>
      </c>
      <c r="C12" s="15">
        <v>92.831000000000003</v>
      </c>
      <c r="D12" s="15">
        <v>65.213950000000011</v>
      </c>
      <c r="E12" s="15">
        <v>1.5334142464917397E-2</v>
      </c>
    </row>
    <row r="13" spans="1:5">
      <c r="A13" s="65">
        <v>5000</v>
      </c>
      <c r="B13" s="15">
        <v>326.17399999999998</v>
      </c>
      <c r="C13" s="15">
        <v>538.86300000000006</v>
      </c>
      <c r="D13" s="15">
        <v>355.06464</v>
      </c>
      <c r="E13" s="15">
        <v>1.4081942938615347E-2</v>
      </c>
    </row>
    <row r="14" spans="1:5">
      <c r="A14" s="65">
        <v>10000</v>
      </c>
      <c r="B14" s="15">
        <v>642.07000000000005</v>
      </c>
      <c r="C14" s="15">
        <v>910.12099999999998</v>
      </c>
      <c r="D14" s="15">
        <v>713.37619000000007</v>
      </c>
      <c r="E14" s="15">
        <v>1.4017849404253314E-2</v>
      </c>
    </row>
    <row r="15" spans="1:5">
      <c r="A15" s="65">
        <v>256000</v>
      </c>
      <c r="B15" s="15">
        <v>16964.2</v>
      </c>
      <c r="C15" s="15">
        <v>18130.5</v>
      </c>
      <c r="D15" s="15">
        <v>17549.989999999998</v>
      </c>
      <c r="E15" s="15">
        <v>1.4586902898520172E-2</v>
      </c>
    </row>
    <row r="16" spans="1:5">
      <c r="A16" s="64" t="s">
        <v>14</v>
      </c>
      <c r="B16" s="15"/>
      <c r="C16" s="15"/>
      <c r="D16" s="15"/>
      <c r="E16" s="15"/>
    </row>
    <row r="17" spans="1:5">
      <c r="A17" s="65">
        <v>1000</v>
      </c>
      <c r="B17" s="15">
        <v>65.936999999999998</v>
      </c>
      <c r="C17" s="15">
        <v>102.129</v>
      </c>
      <c r="D17" s="15">
        <v>67.821669999999969</v>
      </c>
      <c r="E17" s="15">
        <v>1.4744549935146104E-2</v>
      </c>
    </row>
    <row r="18" spans="1:5">
      <c r="A18" s="65">
        <v>5000</v>
      </c>
      <c r="B18" s="15">
        <v>326.92599999999999</v>
      </c>
      <c r="C18" s="15">
        <v>469.15800000000002</v>
      </c>
      <c r="D18" s="15">
        <v>356.05535999999995</v>
      </c>
      <c r="E18" s="15">
        <v>1.4042760092138482E-2</v>
      </c>
    </row>
    <row r="19" spans="1:5">
      <c r="A19" s="65">
        <v>10000</v>
      </c>
      <c r="B19" s="15">
        <v>648.07299999999998</v>
      </c>
      <c r="C19" s="15">
        <v>1083.3399999999999</v>
      </c>
      <c r="D19" s="15">
        <v>722.88204000000007</v>
      </c>
      <c r="E19" s="15">
        <v>1.3833515631402322E-2</v>
      </c>
    </row>
    <row r="20" spans="1:5">
      <c r="A20" s="65">
        <v>256000</v>
      </c>
      <c r="B20" s="15">
        <v>17562.2</v>
      </c>
      <c r="C20" s="15">
        <v>19662.7</v>
      </c>
      <c r="D20" s="15">
        <v>18287.77</v>
      </c>
      <c r="E20" s="15">
        <v>1.3998426270671601E-2</v>
      </c>
    </row>
    <row r="21" spans="1:5">
      <c r="A21" s="16" t="s">
        <v>3</v>
      </c>
      <c r="B21" s="15"/>
      <c r="C21" s="15"/>
      <c r="D21" s="15"/>
      <c r="E21" s="15"/>
    </row>
    <row r="22" spans="1:5">
      <c r="A22" s="64" t="s">
        <v>13</v>
      </c>
      <c r="B22" s="15"/>
      <c r="C22" s="15"/>
      <c r="D22" s="15"/>
      <c r="E22" s="15"/>
    </row>
    <row r="23" spans="1:5">
      <c r="A23" s="65">
        <v>1000</v>
      </c>
      <c r="B23" s="15">
        <v>144.74</v>
      </c>
      <c r="C23" s="15">
        <v>228.22</v>
      </c>
      <c r="D23" s="15">
        <v>151.53071000000003</v>
      </c>
      <c r="E23" s="15">
        <v>6.5993223419859894E-3</v>
      </c>
    </row>
    <row r="24" spans="1:5">
      <c r="A24" s="65">
        <v>5000</v>
      </c>
      <c r="B24" s="15">
        <v>939.601</v>
      </c>
      <c r="C24" s="15">
        <v>1218.31</v>
      </c>
      <c r="D24" s="15">
        <v>1027.2411400000001</v>
      </c>
      <c r="E24" s="15">
        <v>4.8674063034508134E-3</v>
      </c>
    </row>
    <row r="25" spans="1:5">
      <c r="A25" s="65">
        <v>10000</v>
      </c>
      <c r="B25" s="15">
        <v>1453.66</v>
      </c>
      <c r="C25" s="15">
        <v>1872.27</v>
      </c>
      <c r="D25" s="15">
        <v>1618.3941999999993</v>
      </c>
      <c r="E25" s="15">
        <v>6.1789643091899387E-3</v>
      </c>
    </row>
    <row r="26" spans="1:5">
      <c r="A26" s="65">
        <v>256000</v>
      </c>
      <c r="B26" s="15">
        <v>39332.1</v>
      </c>
      <c r="C26" s="15">
        <v>51986.9</v>
      </c>
      <c r="D26" s="15">
        <v>44826.650000000009</v>
      </c>
      <c r="E26" s="15">
        <v>5.7108885004790669E-3</v>
      </c>
    </row>
    <row r="27" spans="1:5">
      <c r="A27" s="64" t="s">
        <v>15</v>
      </c>
      <c r="B27" s="15"/>
      <c r="C27" s="15"/>
      <c r="D27" s="15"/>
      <c r="E27" s="15"/>
    </row>
    <row r="28" spans="1:5">
      <c r="A28" s="65">
        <v>1000</v>
      </c>
      <c r="B28" s="15">
        <v>186.77099999999999</v>
      </c>
      <c r="C28" s="15">
        <v>217.685</v>
      </c>
      <c r="D28" s="15">
        <v>190.72768999999997</v>
      </c>
      <c r="E28" s="15">
        <v>5.2430771850694577E-3</v>
      </c>
    </row>
    <row r="29" spans="1:5">
      <c r="A29" s="65">
        <v>5000</v>
      </c>
      <c r="B29" s="15">
        <v>730.33600000000001</v>
      </c>
      <c r="C29" s="15">
        <v>1150.8499999999999</v>
      </c>
      <c r="D29" s="15">
        <v>795.59422999999992</v>
      </c>
      <c r="E29" s="15">
        <v>6.2846106865304943E-3</v>
      </c>
    </row>
    <row r="30" spans="1:5">
      <c r="A30" s="65">
        <v>10000</v>
      </c>
      <c r="B30" s="15">
        <v>1873.78</v>
      </c>
      <c r="C30" s="15">
        <v>2434.65</v>
      </c>
      <c r="D30" s="15">
        <v>2043.0439999999996</v>
      </c>
      <c r="E30" s="15">
        <v>4.8946571879998676E-3</v>
      </c>
    </row>
    <row r="31" spans="1:5">
      <c r="A31" s="65">
        <v>256000</v>
      </c>
      <c r="B31" s="15">
        <v>38132.5</v>
      </c>
      <c r="C31" s="15">
        <v>43966.7</v>
      </c>
      <c r="D31" s="15">
        <v>39415.910000000003</v>
      </c>
      <c r="E31" s="15">
        <v>6.4948392666819054E-3</v>
      </c>
    </row>
    <row r="32" spans="1:5">
      <c r="A32" s="64" t="s">
        <v>14</v>
      </c>
      <c r="B32" s="15"/>
      <c r="C32" s="15"/>
      <c r="D32" s="15"/>
      <c r="E32" s="15"/>
    </row>
    <row r="33" spans="1:5">
      <c r="A33" s="65">
        <v>1000</v>
      </c>
      <c r="B33" s="15">
        <v>147.58600000000001</v>
      </c>
      <c r="C33" s="15">
        <v>184.19300000000001</v>
      </c>
      <c r="D33" s="15">
        <v>150.87721999999994</v>
      </c>
      <c r="E33" s="15">
        <v>6.6279057898866404E-3</v>
      </c>
    </row>
    <row r="34" spans="1:5">
      <c r="A34" s="65">
        <v>5000</v>
      </c>
      <c r="B34" s="15">
        <v>735.66</v>
      </c>
      <c r="C34" s="15">
        <v>1070.53</v>
      </c>
      <c r="D34" s="15">
        <v>795.13630000000023</v>
      </c>
      <c r="E34" s="15">
        <v>6.2882300808050117E-3</v>
      </c>
    </row>
    <row r="35" spans="1:5">
      <c r="A35" s="65">
        <v>10000</v>
      </c>
      <c r="B35" s="15">
        <v>1483</v>
      </c>
      <c r="C35" s="15">
        <v>2125.83</v>
      </c>
      <c r="D35" s="15">
        <v>1647.4158999999997</v>
      </c>
      <c r="E35" s="15">
        <v>6.0701125926974492E-3</v>
      </c>
    </row>
    <row r="36" spans="1:5">
      <c r="A36" s="65">
        <v>256000</v>
      </c>
      <c r="B36" s="15">
        <v>38498.300000000003</v>
      </c>
      <c r="C36" s="15">
        <v>42343.199999999997</v>
      </c>
      <c r="D36" s="15">
        <v>39702.750000000007</v>
      </c>
      <c r="E36" s="15">
        <v>6.4479160763423176E-3</v>
      </c>
    </row>
    <row r="37" spans="1:5">
      <c r="A37" s="16" t="s">
        <v>4</v>
      </c>
      <c r="B37" s="15"/>
      <c r="C37" s="15"/>
      <c r="D37" s="15"/>
      <c r="E37" s="15"/>
    </row>
    <row r="38" spans="1:5">
      <c r="A38" s="64" t="s">
        <v>13</v>
      </c>
      <c r="B38" s="15"/>
      <c r="C38" s="15"/>
      <c r="D38" s="15"/>
      <c r="E38" s="15"/>
    </row>
    <row r="39" spans="1:5">
      <c r="A39" s="65">
        <v>1000</v>
      </c>
      <c r="B39" s="15">
        <v>144.33600000000001</v>
      </c>
      <c r="C39" s="15">
        <v>173.04900000000001</v>
      </c>
      <c r="D39" s="15">
        <v>147.03017000000003</v>
      </c>
      <c r="E39" s="15">
        <v>6.8013251974067624E-3</v>
      </c>
    </row>
    <row r="40" spans="1:5">
      <c r="A40" s="65">
        <v>5000</v>
      </c>
      <c r="B40" s="15">
        <v>716.91700000000003</v>
      </c>
      <c r="C40" s="15">
        <v>957.846</v>
      </c>
      <c r="D40" s="15">
        <v>784.01287000000025</v>
      </c>
      <c r="E40" s="15">
        <v>6.3774463294205847E-3</v>
      </c>
    </row>
    <row r="41" spans="1:5">
      <c r="A41" s="65">
        <v>10000</v>
      </c>
      <c r="B41" s="15">
        <v>1389.71</v>
      </c>
      <c r="C41" s="15">
        <v>1834.94</v>
      </c>
      <c r="D41" s="15">
        <v>1540.9600999999993</v>
      </c>
      <c r="E41" s="15">
        <v>6.4894606940179723E-3</v>
      </c>
    </row>
    <row r="42" spans="1:5">
      <c r="A42" s="65">
        <v>256000</v>
      </c>
      <c r="B42" s="15">
        <v>37510.400000000001</v>
      </c>
      <c r="C42" s="15">
        <v>51647.6</v>
      </c>
      <c r="D42" s="15">
        <v>42821.19000000001</v>
      </c>
      <c r="E42" s="15">
        <v>5.9783485699486617E-3</v>
      </c>
    </row>
    <row r="43" spans="1:5">
      <c r="A43" s="64" t="s">
        <v>15</v>
      </c>
      <c r="B43" s="15"/>
      <c r="C43" s="15"/>
      <c r="D43" s="15"/>
      <c r="E43" s="15"/>
    </row>
    <row r="44" spans="1:5">
      <c r="A44" s="65">
        <v>1000</v>
      </c>
      <c r="B44" s="15">
        <v>139.572</v>
      </c>
      <c r="C44" s="15">
        <v>164.38499999999999</v>
      </c>
      <c r="D44" s="15">
        <v>141.55201</v>
      </c>
      <c r="E44" s="15">
        <v>7.0645411534601306E-3</v>
      </c>
    </row>
    <row r="45" spans="1:5">
      <c r="A45" s="65">
        <v>5000</v>
      </c>
      <c r="B45" s="15">
        <v>698.52</v>
      </c>
      <c r="C45" s="15">
        <v>966.98699999999997</v>
      </c>
      <c r="D45" s="15">
        <v>764.77648999999951</v>
      </c>
      <c r="E45" s="15">
        <v>6.5378578779271878E-3</v>
      </c>
    </row>
    <row r="46" spans="1:5">
      <c r="A46" s="65">
        <v>10000</v>
      </c>
      <c r="B46" s="15">
        <v>1396.6</v>
      </c>
      <c r="C46" s="15">
        <v>1809.69</v>
      </c>
      <c r="D46" s="15">
        <v>1538.1930000000007</v>
      </c>
      <c r="E46" s="15">
        <v>6.5011347730746377E-3</v>
      </c>
    </row>
    <row r="47" spans="1:5">
      <c r="A47" s="65">
        <v>256000</v>
      </c>
      <c r="B47" s="15">
        <v>36331.800000000003</v>
      </c>
      <c r="C47" s="15">
        <v>41324.800000000003</v>
      </c>
      <c r="D47" s="15">
        <v>38251.659999999989</v>
      </c>
      <c r="E47" s="15">
        <v>6.6925200108962609E-3</v>
      </c>
    </row>
    <row r="48" spans="1:5">
      <c r="A48" s="64" t="s">
        <v>14</v>
      </c>
      <c r="B48" s="15"/>
      <c r="C48" s="15"/>
      <c r="D48" s="15"/>
      <c r="E48" s="15"/>
    </row>
    <row r="49" spans="1:5">
      <c r="A49" s="65">
        <v>1000</v>
      </c>
      <c r="B49" s="15">
        <v>141.429</v>
      </c>
      <c r="C49" s="15">
        <v>224.48599999999999</v>
      </c>
      <c r="D49" s="15">
        <v>145.48394999999999</v>
      </c>
      <c r="E49" s="15">
        <v>6.8736104566861156E-3</v>
      </c>
    </row>
    <row r="50" spans="1:5">
      <c r="A50" s="65">
        <v>5000</v>
      </c>
      <c r="B50" s="15">
        <v>707.04</v>
      </c>
      <c r="C50" s="15">
        <v>1093.83</v>
      </c>
      <c r="D50" s="15">
        <v>770.82877999999994</v>
      </c>
      <c r="E50" s="15">
        <v>6.4865248025638075E-3</v>
      </c>
    </row>
    <row r="51" spans="1:5">
      <c r="A51" s="65">
        <v>10000</v>
      </c>
      <c r="B51" s="15">
        <v>1405.86</v>
      </c>
      <c r="C51" s="15">
        <v>2162.38</v>
      </c>
      <c r="D51" s="15">
        <v>1561.4413000000004</v>
      </c>
      <c r="E51" s="15">
        <v>6.4043393754219238E-3</v>
      </c>
    </row>
    <row r="52" spans="1:5">
      <c r="A52" s="65">
        <v>256000</v>
      </c>
      <c r="B52" s="15">
        <v>36630.1</v>
      </c>
      <c r="C52" s="15">
        <v>39906.9</v>
      </c>
      <c r="D52" s="15">
        <v>38000.57</v>
      </c>
      <c r="E52" s="15">
        <v>6.7367410541473455E-3</v>
      </c>
    </row>
    <row r="53" spans="1:5">
      <c r="A53" s="16" t="s">
        <v>0</v>
      </c>
      <c r="B53" s="15"/>
      <c r="C53" s="15"/>
      <c r="D53" s="15"/>
      <c r="E53" s="15"/>
    </row>
    <row r="54" spans="1:5">
      <c r="A54" s="64" t="s">
        <v>13</v>
      </c>
      <c r="B54" s="15"/>
      <c r="C54" s="15"/>
      <c r="D54" s="15"/>
      <c r="E54" s="15"/>
    </row>
    <row r="55" spans="1:5">
      <c r="A55" s="65">
        <v>1000</v>
      </c>
      <c r="B55" s="15">
        <v>63.61</v>
      </c>
      <c r="C55" s="15">
        <v>99.171000000000006</v>
      </c>
      <c r="D55" s="15">
        <v>66.499029999999991</v>
      </c>
      <c r="E55" s="15">
        <v>1.5037813333517801E-2</v>
      </c>
    </row>
    <row r="56" spans="1:5">
      <c r="A56" s="65">
        <v>5000</v>
      </c>
      <c r="B56" s="15">
        <v>63.61</v>
      </c>
      <c r="C56" s="15">
        <v>99.171000000000006</v>
      </c>
      <c r="D56" s="15">
        <v>350.32823000000002</v>
      </c>
      <c r="E56" s="15">
        <v>1.4272329694926382E-2</v>
      </c>
    </row>
    <row r="57" spans="1:5">
      <c r="A57" s="65">
        <v>10000</v>
      </c>
      <c r="B57" s="15">
        <v>623.67899999999997</v>
      </c>
      <c r="C57" s="15">
        <v>921.03200000000004</v>
      </c>
      <c r="D57" s="15">
        <v>732.25806000000011</v>
      </c>
      <c r="E57" s="15">
        <v>1.3656387749422655E-2</v>
      </c>
    </row>
    <row r="58" spans="1:5">
      <c r="A58" s="65">
        <v>256000</v>
      </c>
      <c r="B58" s="15">
        <v>18018.8</v>
      </c>
      <c r="C58" s="15">
        <v>212627</v>
      </c>
      <c r="D58" s="15">
        <v>40691.430000000008</v>
      </c>
      <c r="E58" s="15">
        <v>6.2912510078903579E-3</v>
      </c>
    </row>
    <row r="59" spans="1:5">
      <c r="A59" s="64" t="s">
        <v>15</v>
      </c>
      <c r="B59" s="15"/>
      <c r="C59" s="15"/>
      <c r="D59" s="15"/>
      <c r="E59" s="15"/>
    </row>
    <row r="60" spans="1:5">
      <c r="A60" s="65">
        <v>1000</v>
      </c>
      <c r="B60" s="15">
        <v>63.582999999999998</v>
      </c>
      <c r="C60" s="15">
        <v>91.540999999999997</v>
      </c>
      <c r="D60" s="15">
        <v>65.36763999999998</v>
      </c>
      <c r="E60" s="15">
        <v>1.5298089391019782E-2</v>
      </c>
    </row>
    <row r="61" spans="1:5">
      <c r="A61" s="65">
        <v>5000</v>
      </c>
      <c r="B61" s="15">
        <v>320.31299999999999</v>
      </c>
      <c r="C61" s="15">
        <v>469.678</v>
      </c>
      <c r="D61" s="15">
        <v>356.35649999999993</v>
      </c>
      <c r="E61" s="15">
        <v>1.4030893220693326E-2</v>
      </c>
    </row>
    <row r="62" spans="1:5">
      <c r="A62" s="65">
        <v>10000</v>
      </c>
      <c r="B62" s="15">
        <v>641.78</v>
      </c>
      <c r="C62" s="15">
        <v>874.65099999999995</v>
      </c>
      <c r="D62" s="15">
        <v>716.42056000000002</v>
      </c>
      <c r="E62" s="15">
        <v>1.3958281710954805E-2</v>
      </c>
    </row>
    <row r="63" spans="1:5">
      <c r="A63" s="65">
        <v>256000</v>
      </c>
      <c r="B63" s="15">
        <v>17908.7</v>
      </c>
      <c r="C63" s="15">
        <v>21713.3</v>
      </c>
      <c r="D63" s="15">
        <v>18800.349999999999</v>
      </c>
      <c r="E63" s="15">
        <v>1.3616767772940399E-2</v>
      </c>
    </row>
    <row r="64" spans="1:5">
      <c r="A64" s="64" t="s">
        <v>14</v>
      </c>
      <c r="B64" s="15"/>
      <c r="C64" s="15"/>
      <c r="D64" s="15"/>
      <c r="E64" s="15"/>
    </row>
    <row r="65" spans="1:5">
      <c r="A65" s="65">
        <v>1000</v>
      </c>
      <c r="B65" s="15">
        <v>64.852000000000004</v>
      </c>
      <c r="C65" s="15">
        <v>113.285</v>
      </c>
      <c r="D65" s="15">
        <v>66.93177</v>
      </c>
      <c r="E65" s="15">
        <v>1.4940588004769634E-2</v>
      </c>
    </row>
    <row r="66" spans="1:5">
      <c r="A66" s="65">
        <v>5000</v>
      </c>
      <c r="B66" s="15">
        <v>64.852000000000004</v>
      </c>
      <c r="C66" s="15">
        <v>113.285</v>
      </c>
      <c r="D66" s="15">
        <v>361.75540000000001</v>
      </c>
      <c r="E66" s="15">
        <v>1.3821493749644096E-2</v>
      </c>
    </row>
    <row r="67" spans="1:5">
      <c r="A67" s="65">
        <v>10000</v>
      </c>
      <c r="B67" s="15">
        <v>658.14</v>
      </c>
      <c r="C67" s="15">
        <v>973.351</v>
      </c>
      <c r="D67" s="15">
        <v>741.82153999999991</v>
      </c>
      <c r="E67" s="15">
        <v>1.3480331131932352E-2</v>
      </c>
    </row>
    <row r="68" spans="1:5">
      <c r="A68" s="65">
        <v>256000</v>
      </c>
      <c r="B68" s="15">
        <v>17056.7</v>
      </c>
      <c r="C68" s="15">
        <v>19476.5</v>
      </c>
      <c r="D68" s="15">
        <v>18046.440000000002</v>
      </c>
      <c r="E68" s="15">
        <v>1.4185623314071914E-2</v>
      </c>
    </row>
    <row r="69" spans="1:5">
      <c r="A69" s="16" t="s">
        <v>2</v>
      </c>
      <c r="B69" s="15"/>
      <c r="C69" s="15"/>
      <c r="D69" s="15"/>
      <c r="E69" s="15"/>
    </row>
    <row r="70" spans="1:5">
      <c r="A70" s="64" t="s">
        <v>13</v>
      </c>
      <c r="B70" s="15"/>
      <c r="C70" s="15"/>
      <c r="D70" s="15"/>
      <c r="E70" s="15"/>
    </row>
    <row r="71" spans="1:5">
      <c r="A71" s="65">
        <v>1000</v>
      </c>
      <c r="B71" s="15">
        <v>138.886</v>
      </c>
      <c r="C71" s="15">
        <v>211.75700000000001</v>
      </c>
      <c r="D71" s="15">
        <v>142.99573000000004</v>
      </c>
      <c r="E71" s="15">
        <v>6.9932158114091912E-3</v>
      </c>
    </row>
    <row r="72" spans="1:5">
      <c r="A72" s="65">
        <v>5000</v>
      </c>
      <c r="B72" s="15">
        <v>705.91200000000003</v>
      </c>
      <c r="C72" s="15">
        <v>972.08799999999997</v>
      </c>
      <c r="D72" s="15">
        <v>779.07748000000004</v>
      </c>
      <c r="E72" s="15">
        <v>6.4178469129925302E-3</v>
      </c>
    </row>
    <row r="73" spans="1:5">
      <c r="A73" s="65">
        <v>10000</v>
      </c>
      <c r="B73" s="15">
        <v>1363.03</v>
      </c>
      <c r="C73" s="15">
        <v>1814.28</v>
      </c>
      <c r="D73" s="15">
        <v>1549.4658999999997</v>
      </c>
      <c r="E73" s="15">
        <v>6.4538367704639393E-3</v>
      </c>
    </row>
    <row r="74" spans="1:5">
      <c r="A74" s="65">
        <v>256000</v>
      </c>
      <c r="B74" s="15">
        <v>37101.800000000003</v>
      </c>
      <c r="C74" s="15">
        <v>49596.6</v>
      </c>
      <c r="D74" s="15">
        <v>42739.469999999994</v>
      </c>
      <c r="E74" s="15">
        <v>5.989779470826382E-3</v>
      </c>
    </row>
    <row r="75" spans="1:5">
      <c r="A75" s="64" t="s">
        <v>15</v>
      </c>
      <c r="B75" s="15"/>
      <c r="C75" s="15"/>
      <c r="D75" s="15"/>
      <c r="E75" s="15"/>
    </row>
    <row r="76" spans="1:5">
      <c r="A76" s="65">
        <v>1000</v>
      </c>
      <c r="B76" s="15">
        <v>138.87700000000001</v>
      </c>
      <c r="C76" s="15">
        <v>175.601</v>
      </c>
      <c r="D76" s="15">
        <v>142.01323999999994</v>
      </c>
      <c r="E76" s="15">
        <v>7.0415969665926946E-3</v>
      </c>
    </row>
    <row r="77" spans="1:5">
      <c r="A77" s="65">
        <v>5000</v>
      </c>
      <c r="B77" s="15">
        <v>687.13599999999997</v>
      </c>
      <c r="C77" s="15">
        <v>1381.15</v>
      </c>
      <c r="D77" s="15">
        <v>753.76609999999982</v>
      </c>
      <c r="E77" s="15">
        <v>6.6333574831768114E-3</v>
      </c>
    </row>
    <row r="78" spans="1:5">
      <c r="A78" s="65">
        <v>10000</v>
      </c>
      <c r="B78" s="15">
        <v>1376.31</v>
      </c>
      <c r="C78" s="15">
        <v>1733.52</v>
      </c>
      <c r="D78" s="15">
        <v>1502.4117999999996</v>
      </c>
      <c r="E78" s="15">
        <v>6.6559647627900701E-3</v>
      </c>
    </row>
    <row r="79" spans="1:5">
      <c r="A79" s="65">
        <v>256000</v>
      </c>
      <c r="B79" s="15">
        <v>35978.1</v>
      </c>
      <c r="C79" s="15">
        <v>39519.4</v>
      </c>
      <c r="D79" s="15">
        <v>37297.37999999999</v>
      </c>
      <c r="E79" s="15">
        <v>6.8637528963160438E-3</v>
      </c>
    </row>
    <row r="80" spans="1:5">
      <c r="A80" s="64" t="s">
        <v>14</v>
      </c>
      <c r="B80" s="15"/>
      <c r="C80" s="15"/>
      <c r="D80" s="15"/>
      <c r="E80" s="15"/>
    </row>
    <row r="81" spans="1:5">
      <c r="A81" s="65">
        <v>1000</v>
      </c>
      <c r="B81" s="15">
        <v>139.316</v>
      </c>
      <c r="C81" s="15">
        <v>174.239</v>
      </c>
      <c r="D81" s="15">
        <v>142.38093999999998</v>
      </c>
      <c r="E81" s="15">
        <v>7.0234119819689361E-3</v>
      </c>
    </row>
    <row r="82" spans="1:5">
      <c r="A82" s="65">
        <v>5000</v>
      </c>
      <c r="B82" s="15">
        <v>694.51099999999997</v>
      </c>
      <c r="C82" s="15">
        <v>1072.6600000000001</v>
      </c>
      <c r="D82" s="15">
        <v>753.73851999999988</v>
      </c>
      <c r="E82" s="15">
        <v>6.6336002039540194E-3</v>
      </c>
    </row>
    <row r="83" spans="1:5">
      <c r="A83" s="65">
        <v>10000</v>
      </c>
      <c r="B83" s="15">
        <v>1395.64</v>
      </c>
      <c r="C83" s="15">
        <v>2014.8</v>
      </c>
      <c r="D83" s="15">
        <v>1544.6084000000001</v>
      </c>
      <c r="E83" s="15">
        <v>6.4741328611187142E-3</v>
      </c>
    </row>
    <row r="84" spans="1:5">
      <c r="A84" s="65">
        <v>256000</v>
      </c>
      <c r="B84" s="15">
        <v>36217.4</v>
      </c>
      <c r="C84" s="15">
        <v>43328.2</v>
      </c>
      <c r="D84" s="15">
        <v>38486.259999999995</v>
      </c>
      <c r="E84" s="15">
        <v>6.6517245375362546E-3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B2" workbookViewId="0">
      <selection activeCell="F15" sqref="F15"/>
    </sheetView>
  </sheetViews>
  <sheetFormatPr baseColWidth="10" defaultRowHeight="15" x14ac:dyDescent="0"/>
  <cols>
    <col min="1" max="1" width="26" customWidth="1"/>
    <col min="2" max="2" width="15.6640625" customWidth="1"/>
    <col min="3" max="3" width="13.6640625" customWidth="1"/>
    <col min="4" max="5" width="12.1640625" customWidth="1"/>
    <col min="6" max="6" width="10.83203125" customWidth="1"/>
    <col min="7" max="7" width="14" customWidth="1"/>
    <col min="8" max="8" width="26" customWidth="1"/>
    <col min="9" max="9" width="15.6640625" customWidth="1"/>
    <col min="10" max="10" width="13.6640625" customWidth="1"/>
    <col min="11" max="12" width="12.1640625" customWidth="1"/>
    <col min="13" max="13" width="14.33203125" customWidth="1"/>
    <col min="14" max="14" width="11.16406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6" t="s">
        <v>75</v>
      </c>
      <c r="B1" t="str">
        <f>B2</f>
        <v>(All)</v>
      </c>
      <c r="C1" t="s">
        <v>65</v>
      </c>
      <c r="H1" s="56" t="s">
        <v>76</v>
      </c>
      <c r="I1" s="26" t="str">
        <f>I2</f>
        <v>(All)</v>
      </c>
      <c r="J1" s="26" t="s">
        <v>65</v>
      </c>
    </row>
    <row r="2" spans="1:15">
      <c r="A2" s="14" t="s">
        <v>12</v>
      </c>
      <c r="B2" s="55" t="s">
        <v>83</v>
      </c>
      <c r="C2" s="58" t="s">
        <v>86</v>
      </c>
      <c r="H2" s="14" t="s">
        <v>12</v>
      </c>
      <c r="I2" s="55" t="s">
        <v>83</v>
      </c>
      <c r="J2" s="58" t="s">
        <v>86</v>
      </c>
      <c r="O2" s="57"/>
    </row>
    <row r="4" spans="1:15">
      <c r="A4" s="62" t="s">
        <v>85</v>
      </c>
      <c r="B4" s="14" t="s">
        <v>68</v>
      </c>
      <c r="H4" s="61" t="s">
        <v>85</v>
      </c>
      <c r="I4" s="14" t="s">
        <v>68</v>
      </c>
    </row>
    <row r="5" spans="1:15">
      <c r="A5" s="14" t="s">
        <v>67</v>
      </c>
      <c r="B5">
        <v>1000</v>
      </c>
      <c r="C5">
        <v>5000</v>
      </c>
      <c r="D5">
        <v>10000</v>
      </c>
      <c r="E5">
        <v>256000</v>
      </c>
      <c r="H5" s="61" t="s">
        <v>67</v>
      </c>
      <c r="I5">
        <v>1000</v>
      </c>
      <c r="J5">
        <v>5000</v>
      </c>
      <c r="K5">
        <v>10000</v>
      </c>
      <c r="L5">
        <v>256000</v>
      </c>
    </row>
    <row r="6" spans="1:15">
      <c r="A6" s="16" t="s">
        <v>1</v>
      </c>
      <c r="B6" s="15">
        <v>8.4603344613446492</v>
      </c>
      <c r="C6" s="15">
        <v>8.325609392204349</v>
      </c>
      <c r="D6" s="15">
        <v>8.4157731038450141</v>
      </c>
      <c r="E6" s="15">
        <v>7.7802727687190041</v>
      </c>
      <c r="H6" s="16" t="s">
        <v>1</v>
      </c>
      <c r="I6" s="15">
        <v>1.515845959560203E-2</v>
      </c>
      <c r="J6" s="15">
        <v>1.3864326505204826E-2</v>
      </c>
      <c r="K6" s="15">
        <v>1.3955455583183401E-2</v>
      </c>
      <c r="L6" s="15">
        <v>1.3613811294095474E-2</v>
      </c>
    </row>
    <row r="7" spans="1:15">
      <c r="A7" s="16" t="s">
        <v>3</v>
      </c>
      <c r="B7" s="15">
        <v>8.4275254717060939</v>
      </c>
      <c r="C7" s="15">
        <v>8.3066601145179551</v>
      </c>
      <c r="D7" s="15">
        <v>8.3926527608753574</v>
      </c>
      <c r="E7" s="15">
        <v>7.7965660662348819</v>
      </c>
      <c r="H7" s="16" t="s">
        <v>3</v>
      </c>
      <c r="I7" s="15">
        <v>6.1567684389806964E-3</v>
      </c>
      <c r="J7" s="15">
        <v>5.8134156902621067E-3</v>
      </c>
      <c r="K7" s="15">
        <v>5.7145780299624185E-3</v>
      </c>
      <c r="L7" s="15">
        <v>6.2178812811677642E-3</v>
      </c>
    </row>
    <row r="8" spans="1:15">
      <c r="A8" s="16" t="s">
        <v>4</v>
      </c>
      <c r="B8" s="15">
        <v>8.505227497664622</v>
      </c>
      <c r="C8" s="15">
        <v>8.354628698182859</v>
      </c>
      <c r="D8" s="15">
        <v>8.45042949458783</v>
      </c>
      <c r="E8" s="15">
        <v>7.7951808852205717</v>
      </c>
      <c r="H8" s="16" t="s">
        <v>4</v>
      </c>
      <c r="I8" s="15">
        <v>6.9131589358510026E-3</v>
      </c>
      <c r="J8" s="15">
        <v>6.4672763366371939E-3</v>
      </c>
      <c r="K8" s="15">
        <v>6.4649782808381779E-3</v>
      </c>
      <c r="L8" s="15">
        <v>6.4692032116640888E-3</v>
      </c>
    </row>
    <row r="9" spans="1:15">
      <c r="A9" s="16" t="s">
        <v>0</v>
      </c>
      <c r="B9" s="15">
        <v>8.4555105590943709E-3</v>
      </c>
      <c r="C9" s="15">
        <v>8.3327206481573022E-3</v>
      </c>
      <c r="D9" s="15">
        <v>8.4258860553858162E-3</v>
      </c>
      <c r="E9" s="15">
        <v>7.8329857968980083E-3</v>
      </c>
      <c r="H9" s="16" t="s">
        <v>0</v>
      </c>
      <c r="I9" s="15">
        <v>1.5092163576435738E-2</v>
      </c>
      <c r="J9" s="15">
        <v>1.4041572221754601E-2</v>
      </c>
      <c r="K9" s="15">
        <v>1.3698333530769937E-2</v>
      </c>
      <c r="L9" s="15">
        <v>1.1364547364967557E-2</v>
      </c>
    </row>
    <row r="10" spans="1:15">
      <c r="A10" s="16" t="s">
        <v>2</v>
      </c>
      <c r="B10" s="15">
        <v>8.4475647488764185</v>
      </c>
      <c r="C10" s="15">
        <v>8.3229334953613847</v>
      </c>
      <c r="D10" s="15">
        <v>8.3337423079315567</v>
      </c>
      <c r="E10" s="15">
        <v>7.9350329726814719</v>
      </c>
      <c r="H10" s="16" t="s">
        <v>2</v>
      </c>
      <c r="I10" s="15">
        <v>7.0194082533236073E-3</v>
      </c>
      <c r="J10" s="15">
        <v>6.5616015333744534E-3</v>
      </c>
      <c r="K10" s="15">
        <v>6.5279781314575742E-3</v>
      </c>
      <c r="L10" s="15">
        <v>6.501752301559559E-3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>
      <selection activeCell="J2" sqref="J2:L2"/>
    </sheetView>
  </sheetViews>
  <sheetFormatPr baseColWidth="10" defaultRowHeight="15" x14ac:dyDescent="0"/>
  <cols>
    <col min="1" max="1" width="26" customWidth="1"/>
    <col min="2" max="2" width="13.5" customWidth="1"/>
    <col min="3" max="3" width="32.6640625" customWidth="1"/>
    <col min="4" max="4" width="12.1640625" customWidth="1"/>
    <col min="5" max="5" width="18.6640625" customWidth="1"/>
    <col min="6" max="6" width="26" customWidth="1"/>
    <col min="7" max="7" width="18.6640625" customWidth="1"/>
    <col min="8" max="8" width="26" customWidth="1"/>
    <col min="9" max="9" width="13.83203125" customWidth="1"/>
    <col min="10" max="10" width="13.6640625" customWidth="1"/>
    <col min="11" max="11" width="12.16406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1">
      <c r="A1" t="s">
        <v>75</v>
      </c>
      <c r="B1" t="str">
        <f>B2</f>
        <v>(All)</v>
      </c>
      <c r="C1" s="57" t="s">
        <v>77</v>
      </c>
      <c r="H1" t="s">
        <v>76</v>
      </c>
      <c r="I1" t="str">
        <f>I2</f>
        <v>(All)</v>
      </c>
      <c r="J1" s="57" t="s">
        <v>77</v>
      </c>
    </row>
    <row r="2" spans="1:11">
      <c r="A2" s="14" t="s">
        <v>64</v>
      </c>
      <c r="B2" t="s">
        <v>83</v>
      </c>
      <c r="C2" s="58" t="s">
        <v>86</v>
      </c>
      <c r="H2" s="14" t="s">
        <v>64</v>
      </c>
      <c r="I2" t="s">
        <v>83</v>
      </c>
      <c r="J2" s="58" t="s">
        <v>86</v>
      </c>
    </row>
    <row r="4" spans="1:11">
      <c r="A4" s="14" t="s">
        <v>85</v>
      </c>
      <c r="B4" s="14" t="s">
        <v>78</v>
      </c>
      <c r="H4" s="14" t="s">
        <v>85</v>
      </c>
      <c r="I4" s="14" t="s">
        <v>80</v>
      </c>
    </row>
    <row r="5" spans="1:11">
      <c r="A5" s="14" t="s">
        <v>67</v>
      </c>
      <c r="B5" t="s">
        <v>13</v>
      </c>
      <c r="C5" t="s">
        <v>15</v>
      </c>
      <c r="D5" t="s">
        <v>14</v>
      </c>
      <c r="H5" s="14" t="s">
        <v>66</v>
      </c>
      <c r="I5" t="s">
        <v>13</v>
      </c>
      <c r="J5" t="s">
        <v>15</v>
      </c>
      <c r="K5" t="s">
        <v>14</v>
      </c>
    </row>
    <row r="6" spans="1:11">
      <c r="A6" s="16" t="s">
        <v>1</v>
      </c>
      <c r="B6" s="15">
        <v>7.9956764330483514</v>
      </c>
      <c r="C6" s="15">
        <v>8.3391626399484284</v>
      </c>
      <c r="D6" s="15">
        <v>8.4016532215879831</v>
      </c>
      <c r="H6" s="16" t="s">
        <v>1</v>
      </c>
      <c r="I6" s="15">
        <v>1.378401732464811E-2</v>
      </c>
      <c r="J6" s="15">
        <v>1.4505209426576557E-2</v>
      </c>
      <c r="K6" s="15">
        <v>1.4154812982339629E-2</v>
      </c>
    </row>
    <row r="7" spans="1:11">
      <c r="A7" s="16" t="s">
        <v>3</v>
      </c>
      <c r="B7" s="51">
        <v>7.9326165664129125</v>
      </c>
      <c r="C7" s="51">
        <v>8.3620065136897832</v>
      </c>
      <c r="D7" s="51">
        <v>8.3979302298980194</v>
      </c>
      <c r="H7" s="16" t="s">
        <v>3</v>
      </c>
      <c r="I7" s="51">
        <v>5.8391453637764521E-3</v>
      </c>
      <c r="J7" s="51">
        <v>5.729296081570431E-3</v>
      </c>
      <c r="K7" s="51">
        <v>6.3585411349328554E-3</v>
      </c>
    </row>
    <row r="8" spans="1:11">
      <c r="A8" s="16" t="s">
        <v>4</v>
      </c>
      <c r="B8" s="51">
        <v>8.0622262064096155</v>
      </c>
      <c r="C8" s="51">
        <v>8.3181450751774459</v>
      </c>
      <c r="D8" s="51">
        <v>8.4487286501548517</v>
      </c>
      <c r="H8" s="16" t="s">
        <v>4</v>
      </c>
      <c r="I8" s="51">
        <v>6.4116451976984961E-3</v>
      </c>
      <c r="J8" s="51">
        <v>6.6990134538395538E-3</v>
      </c>
      <c r="K8" s="51">
        <v>6.6253039222047977E-3</v>
      </c>
    </row>
    <row r="9" spans="1:11">
      <c r="A9" s="16" t="s">
        <v>0</v>
      </c>
      <c r="B9" s="51">
        <v>8.0077400115320194E-3</v>
      </c>
      <c r="C9" s="51">
        <v>8.3637109858025957E-3</v>
      </c>
      <c r="D9" s="51">
        <v>8.413876297317005E-3</v>
      </c>
      <c r="H9" s="16" t="s">
        <v>0</v>
      </c>
      <c r="I9" s="51">
        <v>1.2314445446439299E-2</v>
      </c>
      <c r="J9" s="51">
        <v>1.4226008023902078E-2</v>
      </c>
      <c r="K9" s="51">
        <v>1.4107009050104499E-2</v>
      </c>
    </row>
    <row r="10" spans="1:11">
      <c r="A10" s="16" t="s">
        <v>2</v>
      </c>
      <c r="B10" s="51">
        <v>8.0312603765662516</v>
      </c>
      <c r="C10" s="51">
        <v>8.3657365680582423</v>
      </c>
      <c r="D10" s="51">
        <v>8.3824581990136302</v>
      </c>
      <c r="H10" s="16" t="s">
        <v>2</v>
      </c>
      <c r="I10" s="51">
        <v>6.4636697414230107E-3</v>
      </c>
      <c r="J10" s="51">
        <v>6.798668027218905E-3</v>
      </c>
      <c r="K10" s="51">
        <v>6.6957173961444804E-3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topLeftCell="F21" workbookViewId="0">
      <selection activeCell="E12" sqref="E12"/>
    </sheetView>
  </sheetViews>
  <sheetFormatPr baseColWidth="10" defaultRowHeight="15" x14ac:dyDescent="0"/>
  <cols>
    <col min="1" max="1" width="26" customWidth="1"/>
    <col min="2" max="2" width="13.1640625" customWidth="1"/>
    <col min="3" max="3" width="13.6640625" customWidth="1"/>
    <col min="4" max="4" width="12.1640625" customWidth="1"/>
    <col min="5" max="5" width="23" customWidth="1"/>
    <col min="6" max="6" width="18" bestFit="1" customWidth="1"/>
    <col min="7" max="7" width="23" bestFit="1" customWidth="1"/>
    <col min="12" max="12" width="26" customWidth="1"/>
    <col min="13" max="13" width="14.33203125" customWidth="1"/>
    <col min="14" max="14" width="13.6640625" customWidth="1"/>
    <col min="15" max="15" width="12.1640625" customWidth="1"/>
    <col min="16" max="16" width="10.83203125" customWidth="1"/>
  </cols>
  <sheetData>
    <row r="1" spans="1:16" hidden="1">
      <c r="A1" t="s">
        <v>75</v>
      </c>
      <c r="B1" t="str">
        <f>B2</f>
        <v>(All)</v>
      </c>
      <c r="C1" t="s">
        <v>7</v>
      </c>
      <c r="L1" t="s">
        <v>76</v>
      </c>
      <c r="M1" t="str">
        <f>M2</f>
        <v>(All)</v>
      </c>
      <c r="N1" t="s">
        <v>7</v>
      </c>
    </row>
    <row r="2" spans="1:16">
      <c r="A2" s="14" t="s">
        <v>7</v>
      </c>
      <c r="B2" t="s">
        <v>83</v>
      </c>
      <c r="C2" s="58" t="s">
        <v>86</v>
      </c>
      <c r="L2" s="14" t="s">
        <v>7</v>
      </c>
      <c r="M2" t="s">
        <v>83</v>
      </c>
      <c r="N2" s="63" t="s">
        <v>86</v>
      </c>
      <c r="O2" s="26"/>
      <c r="P2" s="26"/>
    </row>
    <row r="4" spans="1:16">
      <c r="A4" s="14" t="s">
        <v>85</v>
      </c>
      <c r="B4" s="14" t="s">
        <v>78</v>
      </c>
      <c r="L4" s="14" t="s">
        <v>85</v>
      </c>
      <c r="M4" s="14" t="s">
        <v>79</v>
      </c>
    </row>
    <row r="5" spans="1:16">
      <c r="A5" s="14" t="s">
        <v>68</v>
      </c>
      <c r="B5" t="s">
        <v>13</v>
      </c>
      <c r="C5" t="s">
        <v>15</v>
      </c>
      <c r="D5" t="s">
        <v>14</v>
      </c>
      <c r="L5" s="14" t="s">
        <v>68</v>
      </c>
      <c r="M5" t="s">
        <v>13</v>
      </c>
      <c r="N5" t="s">
        <v>15</v>
      </c>
      <c r="O5" t="s">
        <v>14</v>
      </c>
    </row>
    <row r="6" spans="1:16">
      <c r="A6" s="16">
        <v>1000</v>
      </c>
      <c r="B6" s="15">
        <v>6.819275715862176</v>
      </c>
      <c r="C6" s="15">
        <v>6.6967083208202798</v>
      </c>
      <c r="D6" s="15">
        <v>6.7934805774080713</v>
      </c>
      <c r="L6" s="16">
        <v>1000</v>
      </c>
      <c r="M6" s="15">
        <v>1.0165672614212468E-2</v>
      </c>
      <c r="N6" s="15">
        <v>9.9962894322118915E-3</v>
      </c>
      <c r="O6" s="15">
        <v>1.0042013233691485E-2</v>
      </c>
    </row>
    <row r="7" spans="1:16">
      <c r="A7" s="16">
        <v>5000</v>
      </c>
      <c r="B7" s="15">
        <v>6.5966841078553404</v>
      </c>
      <c r="C7" s="15">
        <v>6.7656545278605691</v>
      </c>
      <c r="D7" s="15">
        <v>6.6285600168329122</v>
      </c>
      <c r="L7" s="16">
        <v>5000</v>
      </c>
      <c r="M7" s="15">
        <v>9.0806611451301929E-3</v>
      </c>
      <c r="N7" s="15">
        <v>9.5137324413886344E-3</v>
      </c>
      <c r="O7" s="15">
        <v>9.454521785821084E-3</v>
      </c>
    </row>
    <row r="8" spans="1:16">
      <c r="A8" s="16">
        <v>10000</v>
      </c>
      <c r="B8" s="15">
        <v>6.6790942237191144</v>
      </c>
      <c r="C8" s="15">
        <v>6.7288147128001032</v>
      </c>
      <c r="D8" s="15">
        <v>6.7527051954578683</v>
      </c>
      <c r="L8" s="16">
        <v>10000</v>
      </c>
      <c r="M8" s="15">
        <v>9.3587302473978132E-3</v>
      </c>
      <c r="N8" s="15">
        <v>9.205577567814538E-3</v>
      </c>
      <c r="O8" s="15">
        <v>9.2524863185145523E-3</v>
      </c>
    </row>
    <row r="9" spans="1:16">
      <c r="A9" s="16">
        <v>256000</v>
      </c>
      <c r="B9" s="15">
        <v>5.5287758105222995</v>
      </c>
      <c r="C9" s="15">
        <v>6.5235540448068097</v>
      </c>
      <c r="D9" s="15">
        <v>6.7366015518625888</v>
      </c>
      <c r="L9" s="16">
        <v>256000</v>
      </c>
      <c r="M9" s="15">
        <v>7.2452744524478226E-3</v>
      </c>
      <c r="N9" s="15">
        <v>9.6509565690709558E-3</v>
      </c>
      <c r="O9" s="15">
        <v>9.6040862505538862E-3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workbookViewId="0">
      <selection activeCell="B106" sqref="B106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117.742</v>
      </c>
      <c r="C3">
        <v>0.124822</v>
      </c>
      <c r="D3">
        <v>0.115297</v>
      </c>
      <c r="E3">
        <v>0.14366399999999999</v>
      </c>
      <c r="F3">
        <v>0.115707</v>
      </c>
      <c r="I3">
        <v>134.18</v>
      </c>
      <c r="J3" s="1">
        <v>0.12912899999999999</v>
      </c>
      <c r="K3" s="1">
        <v>0.12934599999999999</v>
      </c>
      <c r="L3" s="1">
        <v>0.12389</v>
      </c>
      <c r="M3" s="1">
        <v>0.120919</v>
      </c>
      <c r="N3" s="1"/>
      <c r="P3">
        <v>119.333</v>
      </c>
      <c r="Q3">
        <v>0.117454</v>
      </c>
      <c r="R3">
        <v>0.12381499999999999</v>
      </c>
      <c r="S3">
        <v>0.15065100000000001</v>
      </c>
      <c r="T3">
        <v>0.117386</v>
      </c>
      <c r="W3">
        <v>66.450999999999993</v>
      </c>
      <c r="X3">
        <v>64.61</v>
      </c>
      <c r="Y3">
        <v>140.84100000000001</v>
      </c>
      <c r="Z3">
        <v>152.44999999999999</v>
      </c>
      <c r="AA3">
        <v>147.06800000000001</v>
      </c>
      <c r="AD3">
        <v>75.942999999999998</v>
      </c>
      <c r="AE3">
        <v>66.563000000000002</v>
      </c>
      <c r="AF3">
        <v>141.631</v>
      </c>
      <c r="AG3">
        <v>188.75800000000001</v>
      </c>
      <c r="AH3">
        <v>140.81700000000001</v>
      </c>
      <c r="AK3">
        <v>77.263999999999996</v>
      </c>
      <c r="AL3">
        <v>68.239000000000004</v>
      </c>
      <c r="AM3">
        <v>140.934</v>
      </c>
      <c r="AN3">
        <v>154.72999999999999</v>
      </c>
      <c r="AO3">
        <v>224.48599999999999</v>
      </c>
    </row>
    <row r="4" spans="1:41">
      <c r="A4">
        <v>2</v>
      </c>
      <c r="B4">
        <v>115.04600000000001</v>
      </c>
      <c r="C4">
        <v>0.11538</v>
      </c>
      <c r="D4">
        <v>0.114442</v>
      </c>
      <c r="E4" s="1">
        <v>0.11596099999999999</v>
      </c>
      <c r="F4" s="1">
        <v>0.11641899999999999</v>
      </c>
      <c r="G4" s="1"/>
      <c r="I4">
        <v>120.84399999999999</v>
      </c>
      <c r="J4" s="1">
        <v>0.11869499999999999</v>
      </c>
      <c r="K4" s="1">
        <v>0.12389699999999999</v>
      </c>
      <c r="L4">
        <v>0.120084</v>
      </c>
      <c r="M4" s="1">
        <v>0.122111</v>
      </c>
      <c r="N4" s="1"/>
      <c r="P4">
        <v>118.053</v>
      </c>
      <c r="Q4" s="1">
        <v>0.117407</v>
      </c>
      <c r="R4" s="1">
        <v>0.117406</v>
      </c>
      <c r="S4">
        <v>0.11727799999999999</v>
      </c>
      <c r="T4" s="1">
        <v>0.11665399999999999</v>
      </c>
      <c r="U4" s="1"/>
      <c r="W4">
        <v>64.587999999999994</v>
      </c>
      <c r="X4">
        <v>66.141999999999996</v>
      </c>
      <c r="Y4">
        <v>143.626</v>
      </c>
      <c r="Z4">
        <v>146.34200000000001</v>
      </c>
      <c r="AA4">
        <v>146.446</v>
      </c>
      <c r="AD4">
        <v>91.540999999999997</v>
      </c>
      <c r="AE4">
        <v>65</v>
      </c>
      <c r="AF4">
        <v>141.10400000000001</v>
      </c>
      <c r="AG4">
        <v>191.25200000000001</v>
      </c>
      <c r="AH4">
        <v>141.506</v>
      </c>
      <c r="AK4">
        <v>66.590999999999994</v>
      </c>
      <c r="AL4">
        <v>69.063000000000002</v>
      </c>
      <c r="AM4">
        <v>141.774</v>
      </c>
      <c r="AN4">
        <v>173.67500000000001</v>
      </c>
      <c r="AO4">
        <v>143.922</v>
      </c>
    </row>
    <row r="5" spans="1:41">
      <c r="A5">
        <v>3</v>
      </c>
      <c r="B5">
        <v>113.931</v>
      </c>
      <c r="C5" s="1">
        <v>0.114258</v>
      </c>
      <c r="D5" s="1">
        <v>0.115148</v>
      </c>
      <c r="E5">
        <v>0.115606</v>
      </c>
      <c r="F5" s="1">
        <v>0.115202</v>
      </c>
      <c r="G5" s="1"/>
      <c r="I5">
        <v>126.155</v>
      </c>
      <c r="J5">
        <v>0.123874</v>
      </c>
      <c r="K5" s="1">
        <v>0.12228</v>
      </c>
      <c r="L5" s="1">
        <v>0.14944399999999999</v>
      </c>
      <c r="M5" s="1">
        <v>0.12549199999999999</v>
      </c>
      <c r="N5" s="1"/>
      <c r="P5">
        <v>116.196</v>
      </c>
      <c r="Q5">
        <v>0.115866</v>
      </c>
      <c r="R5" s="1">
        <v>0.116492</v>
      </c>
      <c r="S5" s="1">
        <v>0.116953</v>
      </c>
      <c r="T5" s="1">
        <v>0.115577</v>
      </c>
      <c r="U5" s="1"/>
      <c r="W5">
        <v>71.084999999999994</v>
      </c>
      <c r="X5">
        <v>67.192999999999998</v>
      </c>
      <c r="Y5">
        <v>143.04</v>
      </c>
      <c r="Z5">
        <v>181.548</v>
      </c>
      <c r="AA5">
        <v>146.62700000000001</v>
      </c>
      <c r="AD5">
        <v>64.177000000000007</v>
      </c>
      <c r="AE5">
        <v>64.251000000000005</v>
      </c>
      <c r="AF5">
        <v>139.76499999999999</v>
      </c>
      <c r="AG5">
        <v>188.72</v>
      </c>
      <c r="AH5">
        <v>140.596</v>
      </c>
      <c r="AK5">
        <v>65.894000000000005</v>
      </c>
      <c r="AL5">
        <v>68.733999999999995</v>
      </c>
      <c r="AM5">
        <v>140.57</v>
      </c>
      <c r="AN5">
        <v>149.398</v>
      </c>
      <c r="AO5">
        <v>142.22800000000001</v>
      </c>
    </row>
    <row r="6" spans="1:41">
      <c r="A6">
        <v>4</v>
      </c>
      <c r="B6">
        <v>114.09399999999999</v>
      </c>
      <c r="C6" s="1">
        <v>0.11480899999999999</v>
      </c>
      <c r="D6">
        <v>0.114186</v>
      </c>
      <c r="E6" s="1">
        <v>0.11722200000000001</v>
      </c>
      <c r="F6" s="1">
        <v>0.11629200000000001</v>
      </c>
      <c r="G6" s="1"/>
      <c r="I6">
        <v>120.524</v>
      </c>
      <c r="J6" s="1">
        <v>0.153276</v>
      </c>
      <c r="K6" s="1">
        <v>0.12188599999999999</v>
      </c>
      <c r="L6" s="1">
        <v>0.12217600000000001</v>
      </c>
      <c r="M6" s="1">
        <v>0.122548</v>
      </c>
      <c r="N6" s="1"/>
      <c r="P6">
        <v>116.818</v>
      </c>
      <c r="Q6" s="1">
        <v>0.119939</v>
      </c>
      <c r="R6" s="1">
        <v>0.119253</v>
      </c>
      <c r="S6" s="1">
        <v>0.116601</v>
      </c>
      <c r="T6" s="1">
        <v>0.115663</v>
      </c>
      <c r="U6" s="1"/>
      <c r="W6">
        <v>65.884</v>
      </c>
      <c r="X6">
        <v>65.664000000000001</v>
      </c>
      <c r="Y6">
        <v>140.13999999999999</v>
      </c>
      <c r="Z6">
        <v>146.97200000000001</v>
      </c>
      <c r="AA6">
        <v>149.16999999999999</v>
      </c>
      <c r="AD6">
        <v>64.123000000000005</v>
      </c>
      <c r="AE6">
        <v>64.305000000000007</v>
      </c>
      <c r="AF6">
        <v>141.12200000000001</v>
      </c>
      <c r="AG6">
        <v>187.83199999999999</v>
      </c>
      <c r="AH6">
        <v>140.21299999999999</v>
      </c>
      <c r="AK6">
        <v>65.747</v>
      </c>
      <c r="AL6">
        <v>66.84</v>
      </c>
      <c r="AM6">
        <v>140.87899999999999</v>
      </c>
      <c r="AN6">
        <v>148.084</v>
      </c>
      <c r="AO6">
        <v>142.35</v>
      </c>
    </row>
    <row r="7" spans="1:41">
      <c r="A7">
        <v>5</v>
      </c>
      <c r="B7">
        <v>115.233</v>
      </c>
      <c r="C7" s="1">
        <v>0.116422</v>
      </c>
      <c r="D7" s="1">
        <v>0.115758</v>
      </c>
      <c r="E7" s="1">
        <v>0.11550299999999999</v>
      </c>
      <c r="F7" s="1">
        <v>0.14039099999999999</v>
      </c>
      <c r="G7" s="1"/>
      <c r="I7">
        <v>120.373</v>
      </c>
      <c r="J7" s="1">
        <v>0.11963699999999999</v>
      </c>
      <c r="K7" s="1">
        <v>0.12117</v>
      </c>
      <c r="L7" s="1">
        <v>0.126805</v>
      </c>
      <c r="M7" s="1">
        <v>0.120173</v>
      </c>
      <c r="N7" s="1"/>
      <c r="P7">
        <v>134.435</v>
      </c>
      <c r="Q7" s="1">
        <v>0.116505</v>
      </c>
      <c r="R7" s="1">
        <v>0.11692</v>
      </c>
      <c r="S7" s="1">
        <v>0.117766</v>
      </c>
      <c r="T7" s="1">
        <v>0.116677</v>
      </c>
      <c r="U7" s="1"/>
      <c r="W7">
        <v>67.594999999999999</v>
      </c>
      <c r="X7">
        <v>67.370999999999995</v>
      </c>
      <c r="Y7">
        <v>144.13999999999999</v>
      </c>
      <c r="Z7">
        <v>157.43199999999999</v>
      </c>
      <c r="AA7">
        <v>147.691</v>
      </c>
      <c r="AD7">
        <v>64.956000000000003</v>
      </c>
      <c r="AE7">
        <v>64.337999999999994</v>
      </c>
      <c r="AF7">
        <v>139.797</v>
      </c>
      <c r="AG7">
        <v>187.85499999999999</v>
      </c>
      <c r="AH7">
        <v>140.04900000000001</v>
      </c>
      <c r="AK7">
        <v>70.352000000000004</v>
      </c>
      <c r="AL7">
        <v>66.334000000000003</v>
      </c>
      <c r="AM7">
        <v>140.29900000000001</v>
      </c>
      <c r="AN7">
        <v>148.16399999999999</v>
      </c>
      <c r="AO7">
        <v>143.005</v>
      </c>
    </row>
    <row r="8" spans="1:41">
      <c r="A8">
        <v>6</v>
      </c>
      <c r="B8">
        <v>115.337</v>
      </c>
      <c r="C8" s="1">
        <v>0.115466</v>
      </c>
      <c r="D8" s="1">
        <v>0.11455</v>
      </c>
      <c r="E8" s="1">
        <v>0.118482</v>
      </c>
      <c r="F8" s="1">
        <v>0.13084499999999999</v>
      </c>
      <c r="G8" s="1"/>
      <c r="I8">
        <v>128.202</v>
      </c>
      <c r="J8" s="1">
        <v>0.122348</v>
      </c>
      <c r="K8" s="1">
        <v>0.13745299999999999</v>
      </c>
      <c r="L8">
        <v>0.119934</v>
      </c>
      <c r="M8" s="1">
        <v>0.116935</v>
      </c>
      <c r="N8" s="1"/>
      <c r="P8">
        <v>117.22</v>
      </c>
      <c r="Q8" s="1">
        <v>0.115538</v>
      </c>
      <c r="R8" s="1">
        <v>0.11631900000000001</v>
      </c>
      <c r="S8" s="1">
        <v>0.117646</v>
      </c>
      <c r="T8" s="1">
        <v>0.115313</v>
      </c>
      <c r="U8" s="1"/>
      <c r="W8">
        <v>66.495999999999995</v>
      </c>
      <c r="X8">
        <v>69.028999999999996</v>
      </c>
      <c r="Y8">
        <v>147.917</v>
      </c>
      <c r="Z8">
        <v>150.04900000000001</v>
      </c>
      <c r="AA8">
        <v>148.62</v>
      </c>
      <c r="AD8">
        <v>64.305999999999997</v>
      </c>
      <c r="AE8">
        <v>85.043999999999997</v>
      </c>
      <c r="AF8">
        <v>141.321</v>
      </c>
      <c r="AG8">
        <v>187.864</v>
      </c>
      <c r="AH8">
        <v>140.26499999999999</v>
      </c>
      <c r="AK8">
        <v>66.043000000000006</v>
      </c>
      <c r="AL8">
        <v>66.816999999999993</v>
      </c>
      <c r="AM8">
        <v>140.697</v>
      </c>
      <c r="AN8">
        <v>148.14400000000001</v>
      </c>
      <c r="AO8">
        <v>169.80699999999999</v>
      </c>
    </row>
    <row r="9" spans="1:41">
      <c r="A9">
        <v>7</v>
      </c>
      <c r="B9">
        <v>116.657</v>
      </c>
      <c r="C9" s="1">
        <v>0.116283</v>
      </c>
      <c r="D9" s="1">
        <v>0.120764</v>
      </c>
      <c r="E9" s="1">
        <v>0.116506</v>
      </c>
      <c r="F9">
        <v>0.11656999999999999</v>
      </c>
      <c r="I9">
        <v>121.956</v>
      </c>
      <c r="J9" s="1">
        <v>0.12474200000000001</v>
      </c>
      <c r="K9" s="1">
        <v>0.126557</v>
      </c>
      <c r="L9" s="1">
        <v>0.123532</v>
      </c>
      <c r="M9" s="1">
        <v>0.118663</v>
      </c>
      <c r="N9" s="1"/>
      <c r="P9">
        <v>116.663</v>
      </c>
      <c r="Q9" s="1">
        <v>0.11602899999999999</v>
      </c>
      <c r="R9" s="1">
        <v>0.118344</v>
      </c>
      <c r="S9" s="1">
        <v>0.117589</v>
      </c>
      <c r="T9" s="1">
        <v>0.11545</v>
      </c>
      <c r="U9" s="1"/>
      <c r="W9">
        <v>66.518000000000001</v>
      </c>
      <c r="X9">
        <v>64.111000000000004</v>
      </c>
      <c r="Y9">
        <v>141.80199999999999</v>
      </c>
      <c r="Z9">
        <v>153.06800000000001</v>
      </c>
      <c r="AA9">
        <v>173.04900000000001</v>
      </c>
      <c r="AD9">
        <v>64.134</v>
      </c>
      <c r="AE9">
        <v>64.847999999999999</v>
      </c>
      <c r="AF9">
        <v>139.322</v>
      </c>
      <c r="AG9">
        <v>187.09</v>
      </c>
      <c r="AH9">
        <v>139.87100000000001</v>
      </c>
      <c r="AK9">
        <v>66.438000000000002</v>
      </c>
      <c r="AL9">
        <v>66.540999999999997</v>
      </c>
      <c r="AM9">
        <v>140.345</v>
      </c>
      <c r="AN9">
        <v>147.94800000000001</v>
      </c>
      <c r="AO9">
        <v>142.173</v>
      </c>
    </row>
    <row r="10" spans="1:41">
      <c r="A10">
        <v>8</v>
      </c>
      <c r="B10">
        <v>115.47499999999999</v>
      </c>
      <c r="C10">
        <v>0.11563</v>
      </c>
      <c r="D10">
        <v>0.115491</v>
      </c>
      <c r="E10" s="1">
        <v>0.11852600000000001</v>
      </c>
      <c r="F10">
        <v>0.11683</v>
      </c>
      <c r="I10">
        <v>117.21899999999999</v>
      </c>
      <c r="J10" s="1">
        <v>0.11620999999999999</v>
      </c>
      <c r="K10" s="1">
        <v>0.121485</v>
      </c>
      <c r="L10">
        <v>0.164382</v>
      </c>
      <c r="M10">
        <v>0.12063500000000001</v>
      </c>
      <c r="P10">
        <v>116.61</v>
      </c>
      <c r="Q10" s="1">
        <v>0.116359</v>
      </c>
      <c r="R10" s="1">
        <v>0.116864</v>
      </c>
      <c r="S10" s="1">
        <v>0.116186</v>
      </c>
      <c r="T10" s="1">
        <v>0.115525</v>
      </c>
      <c r="U10" s="1"/>
      <c r="W10">
        <v>65.192999999999998</v>
      </c>
      <c r="X10">
        <v>66.662000000000006</v>
      </c>
      <c r="Y10">
        <v>140.71299999999999</v>
      </c>
      <c r="Z10">
        <v>146.49700000000001</v>
      </c>
      <c r="AA10">
        <v>145.56</v>
      </c>
      <c r="AD10">
        <v>64.188000000000002</v>
      </c>
      <c r="AE10">
        <v>64.275999999999996</v>
      </c>
      <c r="AF10">
        <v>141.53200000000001</v>
      </c>
      <c r="AG10">
        <v>189.64</v>
      </c>
      <c r="AH10">
        <v>140.83000000000001</v>
      </c>
      <c r="AK10">
        <v>65.501000000000005</v>
      </c>
      <c r="AL10">
        <v>66.477000000000004</v>
      </c>
      <c r="AM10">
        <v>140.22399999999999</v>
      </c>
      <c r="AN10">
        <v>148.36099999999999</v>
      </c>
      <c r="AO10">
        <v>142.35400000000001</v>
      </c>
    </row>
    <row r="11" spans="1:41">
      <c r="A11">
        <v>9</v>
      </c>
      <c r="B11">
        <v>115.093</v>
      </c>
      <c r="C11" s="1">
        <v>0.115828</v>
      </c>
      <c r="D11">
        <v>0.115532</v>
      </c>
      <c r="E11">
        <v>0.116217</v>
      </c>
      <c r="F11" s="1">
        <v>0.11495</v>
      </c>
      <c r="G11" s="1"/>
      <c r="I11">
        <v>130.91999999999999</v>
      </c>
      <c r="J11">
        <v>0.11873599999999999</v>
      </c>
      <c r="K11">
        <v>0.118559</v>
      </c>
      <c r="L11">
        <v>0.121186</v>
      </c>
      <c r="M11">
        <v>0.126801</v>
      </c>
      <c r="P11">
        <v>115.65900000000001</v>
      </c>
      <c r="Q11" s="1">
        <v>0.15098</v>
      </c>
      <c r="R11" s="1">
        <v>0.11668000000000001</v>
      </c>
      <c r="S11" s="1">
        <v>0.116217</v>
      </c>
      <c r="T11" s="1">
        <v>0.120264</v>
      </c>
      <c r="U11" s="1"/>
      <c r="W11">
        <v>66.682000000000002</v>
      </c>
      <c r="X11">
        <v>64.933000000000007</v>
      </c>
      <c r="Y11">
        <v>142.131</v>
      </c>
      <c r="Z11">
        <v>152.98099999999999</v>
      </c>
      <c r="AA11">
        <v>146.77000000000001</v>
      </c>
      <c r="AD11">
        <v>63.985999999999997</v>
      </c>
      <c r="AE11">
        <v>64.563000000000002</v>
      </c>
      <c r="AF11">
        <v>139.43</v>
      </c>
      <c r="AG11">
        <v>187.01300000000001</v>
      </c>
      <c r="AH11">
        <v>140.255</v>
      </c>
      <c r="AK11">
        <v>65.66</v>
      </c>
      <c r="AL11">
        <v>66.552000000000007</v>
      </c>
      <c r="AM11">
        <v>140.684</v>
      </c>
      <c r="AN11">
        <v>148.625</v>
      </c>
      <c r="AO11">
        <v>142.34899999999999</v>
      </c>
    </row>
    <row r="12" spans="1:41">
      <c r="A12">
        <v>10</v>
      </c>
      <c r="B12">
        <v>132.61699999999999</v>
      </c>
      <c r="C12" s="1">
        <v>0.11611200000000001</v>
      </c>
      <c r="D12" s="1">
        <v>0.116398</v>
      </c>
      <c r="E12" s="1">
        <v>0.11495</v>
      </c>
      <c r="F12" s="1">
        <v>0.11486200000000001</v>
      </c>
      <c r="G12" s="1"/>
      <c r="I12">
        <v>120.05200000000001</v>
      </c>
      <c r="J12">
        <v>0.12357899999999999</v>
      </c>
      <c r="K12">
        <v>0.132081</v>
      </c>
      <c r="L12" s="1">
        <v>0.122336</v>
      </c>
      <c r="M12" s="1">
        <v>0.118668</v>
      </c>
      <c r="N12" s="1"/>
      <c r="P12">
        <v>137.61199999999999</v>
      </c>
      <c r="Q12" s="1">
        <v>0.121021</v>
      </c>
      <c r="R12" s="1">
        <v>0.120645</v>
      </c>
      <c r="S12" s="1">
        <v>0.120584</v>
      </c>
      <c r="T12" s="1">
        <v>0.122045</v>
      </c>
      <c r="U12" s="1"/>
      <c r="W12">
        <v>65.272999999999996</v>
      </c>
      <c r="X12">
        <v>64.712000000000003</v>
      </c>
      <c r="Y12">
        <v>139.37</v>
      </c>
      <c r="Z12">
        <v>145.61500000000001</v>
      </c>
      <c r="AA12">
        <v>145.19</v>
      </c>
      <c r="AD12">
        <v>64.453000000000003</v>
      </c>
      <c r="AE12">
        <v>64.33</v>
      </c>
      <c r="AF12">
        <v>167.40199999999999</v>
      </c>
      <c r="AG12">
        <v>187.988</v>
      </c>
      <c r="AH12">
        <v>139.98099999999999</v>
      </c>
      <c r="AK12">
        <v>65.784999999999997</v>
      </c>
      <c r="AL12">
        <v>66.849999999999994</v>
      </c>
      <c r="AM12">
        <v>140.21299999999999</v>
      </c>
      <c r="AN12">
        <v>148.11199999999999</v>
      </c>
      <c r="AO12">
        <v>142.13300000000001</v>
      </c>
    </row>
    <row r="13" spans="1:41">
      <c r="A13">
        <v>11</v>
      </c>
      <c r="B13">
        <v>114.864</v>
      </c>
      <c r="C13" s="1">
        <v>0.116414</v>
      </c>
      <c r="D13" s="1">
        <v>0.115537</v>
      </c>
      <c r="E13" s="1">
        <v>0.117088</v>
      </c>
      <c r="F13" s="1">
        <v>0.11508400000000001</v>
      </c>
      <c r="G13" s="1"/>
      <c r="I13">
        <v>122.715</v>
      </c>
      <c r="J13" s="1">
        <v>0.120961</v>
      </c>
      <c r="K13" s="1">
        <v>0.118988</v>
      </c>
      <c r="L13" s="1">
        <v>0.123666</v>
      </c>
      <c r="M13" s="1">
        <v>0.121543</v>
      </c>
      <c r="N13" s="1"/>
      <c r="P13">
        <v>117.413</v>
      </c>
      <c r="Q13" s="1">
        <v>0.118211</v>
      </c>
      <c r="R13" s="1">
        <v>0.11650000000000001</v>
      </c>
      <c r="S13">
        <v>0.11730500000000001</v>
      </c>
      <c r="T13">
        <v>0.115702</v>
      </c>
      <c r="W13">
        <v>65.668999999999997</v>
      </c>
      <c r="X13">
        <v>64.085999999999999</v>
      </c>
      <c r="Y13">
        <v>141.499</v>
      </c>
      <c r="Z13">
        <v>152.77600000000001</v>
      </c>
      <c r="AA13">
        <v>145.976</v>
      </c>
      <c r="AD13">
        <v>64.683999999999997</v>
      </c>
      <c r="AE13">
        <v>64.912999999999997</v>
      </c>
      <c r="AF13">
        <v>140.09299999999999</v>
      </c>
      <c r="AG13">
        <v>188.16800000000001</v>
      </c>
      <c r="AH13">
        <v>140.733</v>
      </c>
      <c r="AK13">
        <v>65.111999999999995</v>
      </c>
      <c r="AL13">
        <v>100.495</v>
      </c>
      <c r="AM13">
        <v>140.893</v>
      </c>
      <c r="AN13">
        <v>148.20599999999999</v>
      </c>
      <c r="AO13">
        <v>142.83199999999999</v>
      </c>
    </row>
    <row r="14" spans="1:41">
      <c r="A14">
        <v>12</v>
      </c>
      <c r="B14">
        <v>115.571</v>
      </c>
      <c r="C14" s="1">
        <v>0.11712400000000001</v>
      </c>
      <c r="D14" s="1">
        <v>0.11589000000000001</v>
      </c>
      <c r="E14" s="1">
        <v>0.114687</v>
      </c>
      <c r="F14" s="1">
        <v>0.114521</v>
      </c>
      <c r="G14" s="1"/>
      <c r="I14">
        <v>130.298</v>
      </c>
      <c r="J14">
        <v>0.121603</v>
      </c>
      <c r="K14" s="1">
        <v>0.131385</v>
      </c>
      <c r="L14">
        <v>0.126383</v>
      </c>
      <c r="M14" s="1">
        <v>0.15845200000000001</v>
      </c>
      <c r="N14" s="1"/>
      <c r="P14">
        <v>116.11499999999999</v>
      </c>
      <c r="Q14">
        <v>0.11626400000000001</v>
      </c>
      <c r="R14">
        <v>0.117286</v>
      </c>
      <c r="S14">
        <v>0.116852</v>
      </c>
      <c r="T14" s="1">
        <v>0.115422</v>
      </c>
      <c r="U14" s="1"/>
      <c r="W14">
        <v>87.4</v>
      </c>
      <c r="X14">
        <v>70.210999999999999</v>
      </c>
      <c r="Y14">
        <v>139.875</v>
      </c>
      <c r="Z14">
        <v>145.70500000000001</v>
      </c>
      <c r="AA14">
        <v>146.32400000000001</v>
      </c>
      <c r="AD14">
        <v>64.41</v>
      </c>
      <c r="AE14">
        <v>64.647999999999996</v>
      </c>
      <c r="AF14">
        <v>140.59100000000001</v>
      </c>
      <c r="AG14">
        <v>187.654</v>
      </c>
      <c r="AH14">
        <v>140.27500000000001</v>
      </c>
      <c r="AK14">
        <v>66.548000000000002</v>
      </c>
      <c r="AL14">
        <v>66.346999999999994</v>
      </c>
      <c r="AM14">
        <v>141.56200000000001</v>
      </c>
      <c r="AN14">
        <v>148.292</v>
      </c>
      <c r="AO14">
        <v>143.01</v>
      </c>
    </row>
    <row r="15" spans="1:41">
      <c r="A15">
        <v>13</v>
      </c>
      <c r="B15">
        <v>114.679</v>
      </c>
      <c r="C15" s="1">
        <v>0.11440500000000001</v>
      </c>
      <c r="D15" s="1">
        <v>0.11493100000000001</v>
      </c>
      <c r="E15" s="1">
        <v>0.11550199999999999</v>
      </c>
      <c r="F15" s="1">
        <v>0.115579</v>
      </c>
      <c r="G15" s="1"/>
      <c r="I15">
        <v>119.998</v>
      </c>
      <c r="J15" s="1">
        <v>0.12095599999999999</v>
      </c>
      <c r="K15" s="1">
        <v>0.123158</v>
      </c>
      <c r="L15" s="1">
        <v>0.12673000000000001</v>
      </c>
      <c r="M15" s="1">
        <v>0.124664</v>
      </c>
      <c r="N15" s="1"/>
      <c r="P15">
        <v>116.059</v>
      </c>
      <c r="Q15" s="1">
        <v>0.115707</v>
      </c>
      <c r="R15" s="1">
        <v>0.14740800000000001</v>
      </c>
      <c r="S15" s="1">
        <v>0.116385</v>
      </c>
      <c r="T15" s="1">
        <v>0.11876100000000001</v>
      </c>
      <c r="U15" s="1"/>
      <c r="W15">
        <v>64.710999999999999</v>
      </c>
      <c r="X15">
        <v>63.820999999999998</v>
      </c>
      <c r="Y15">
        <v>141.166</v>
      </c>
      <c r="Z15">
        <v>152.542</v>
      </c>
      <c r="AA15">
        <v>145.00399999999999</v>
      </c>
      <c r="AD15">
        <v>64.034999999999997</v>
      </c>
      <c r="AE15">
        <v>64.268000000000001</v>
      </c>
      <c r="AF15">
        <v>140.19499999999999</v>
      </c>
      <c r="AG15">
        <v>188.27500000000001</v>
      </c>
      <c r="AH15">
        <v>140.33699999999999</v>
      </c>
      <c r="AK15">
        <v>70.256</v>
      </c>
      <c r="AL15">
        <v>72.977999999999994</v>
      </c>
      <c r="AM15">
        <v>141.72499999999999</v>
      </c>
      <c r="AN15">
        <v>148.43600000000001</v>
      </c>
      <c r="AO15">
        <v>142.386</v>
      </c>
    </row>
    <row r="16" spans="1:41">
      <c r="A16">
        <v>14</v>
      </c>
      <c r="B16">
        <v>114.60599999999999</v>
      </c>
      <c r="C16">
        <v>0.13269500000000001</v>
      </c>
      <c r="D16">
        <v>0.115873</v>
      </c>
      <c r="E16" s="1">
        <v>0.116287</v>
      </c>
      <c r="F16" s="1">
        <v>0.115409</v>
      </c>
      <c r="G16" s="1"/>
      <c r="I16">
        <v>120.904</v>
      </c>
      <c r="J16" s="1">
        <v>0.12478</v>
      </c>
      <c r="K16" s="1">
        <v>0.121321</v>
      </c>
      <c r="L16" s="1">
        <v>0.120735</v>
      </c>
      <c r="M16" s="1">
        <v>0.12282</v>
      </c>
      <c r="N16" s="1"/>
      <c r="P16">
        <v>116.581</v>
      </c>
      <c r="Q16" s="1">
        <v>0.11749900000000001</v>
      </c>
      <c r="R16" s="1">
        <v>0.115893</v>
      </c>
      <c r="S16" s="1">
        <v>0.120916</v>
      </c>
      <c r="T16" s="1">
        <v>0.124182</v>
      </c>
      <c r="U16" s="1"/>
      <c r="W16">
        <v>65.59</v>
      </c>
      <c r="X16">
        <v>64.180999999999997</v>
      </c>
      <c r="Y16">
        <v>141.22200000000001</v>
      </c>
      <c r="Z16">
        <v>146.578</v>
      </c>
      <c r="AA16">
        <v>145.62299999999999</v>
      </c>
      <c r="AD16">
        <v>64.203999999999994</v>
      </c>
      <c r="AE16">
        <v>64.296000000000006</v>
      </c>
      <c r="AF16">
        <v>175.601</v>
      </c>
      <c r="AG16">
        <v>188.35300000000001</v>
      </c>
      <c r="AH16">
        <v>140.15700000000001</v>
      </c>
      <c r="AK16">
        <v>66.927999999999997</v>
      </c>
      <c r="AL16">
        <v>66.546999999999997</v>
      </c>
      <c r="AM16">
        <v>139.92599999999999</v>
      </c>
      <c r="AN16">
        <v>148.57300000000001</v>
      </c>
      <c r="AO16">
        <v>143.572</v>
      </c>
    </row>
    <row r="17" spans="1:41">
      <c r="A17">
        <v>15</v>
      </c>
      <c r="B17">
        <v>116.566</v>
      </c>
      <c r="C17" s="1">
        <v>0.114637</v>
      </c>
      <c r="D17" s="1">
        <v>0.11462700000000001</v>
      </c>
      <c r="E17" s="1">
        <v>0.115203</v>
      </c>
      <c r="F17" s="1">
        <v>0.11422300000000001</v>
      </c>
      <c r="G17" s="1"/>
      <c r="I17">
        <v>120.526</v>
      </c>
      <c r="J17" s="1">
        <v>0.124168</v>
      </c>
      <c r="K17" s="1">
        <v>0.123128</v>
      </c>
      <c r="L17" s="1">
        <v>0.11995699999999999</v>
      </c>
      <c r="M17" s="1">
        <v>0.120181</v>
      </c>
      <c r="N17" s="1"/>
      <c r="P17">
        <v>127.129</v>
      </c>
      <c r="Q17">
        <v>0.1197</v>
      </c>
      <c r="R17">
        <v>0.119148</v>
      </c>
      <c r="S17" s="1">
        <v>0.129415</v>
      </c>
      <c r="T17" s="1">
        <v>0.116475</v>
      </c>
      <c r="U17" s="1"/>
      <c r="W17">
        <v>64.185000000000002</v>
      </c>
      <c r="X17">
        <v>64.787000000000006</v>
      </c>
      <c r="Y17">
        <v>141.88399999999999</v>
      </c>
      <c r="Z17">
        <v>151.93</v>
      </c>
      <c r="AA17">
        <v>145.22800000000001</v>
      </c>
      <c r="AD17">
        <v>64.082999999999998</v>
      </c>
      <c r="AE17">
        <v>64.453999999999994</v>
      </c>
      <c r="AF17">
        <v>139.874</v>
      </c>
      <c r="AG17">
        <v>187.93</v>
      </c>
      <c r="AH17">
        <v>140.37799999999999</v>
      </c>
      <c r="AK17">
        <v>65.843000000000004</v>
      </c>
      <c r="AL17">
        <v>66.828000000000003</v>
      </c>
      <c r="AM17">
        <v>140.828</v>
      </c>
      <c r="AN17">
        <v>175.816</v>
      </c>
      <c r="AO17">
        <v>144.285</v>
      </c>
    </row>
    <row r="18" spans="1:41">
      <c r="A18">
        <v>16</v>
      </c>
      <c r="B18">
        <v>114.056</v>
      </c>
      <c r="C18" s="1">
        <v>0.116575</v>
      </c>
      <c r="D18" s="1">
        <v>0.115741</v>
      </c>
      <c r="E18" s="1">
        <v>0.115984</v>
      </c>
      <c r="F18" s="1">
        <v>0.115831</v>
      </c>
      <c r="G18" s="1"/>
      <c r="I18">
        <v>138.54300000000001</v>
      </c>
      <c r="J18" s="1">
        <v>0.11895699999999999</v>
      </c>
      <c r="K18" s="1">
        <v>0.12311800000000001</v>
      </c>
      <c r="L18" s="1">
        <v>0.136021</v>
      </c>
      <c r="M18" s="1">
        <v>0.13044700000000001</v>
      </c>
      <c r="N18" s="1"/>
      <c r="P18">
        <v>116.28</v>
      </c>
      <c r="Q18" s="1">
        <v>0.115845</v>
      </c>
      <c r="R18" s="1">
        <v>0.116256</v>
      </c>
      <c r="S18" s="1">
        <v>0.116299</v>
      </c>
      <c r="T18" s="1">
        <v>0.115776</v>
      </c>
      <c r="U18" s="1"/>
      <c r="W18">
        <v>65.206000000000003</v>
      </c>
      <c r="X18">
        <v>63.848999999999997</v>
      </c>
      <c r="Y18">
        <v>167.72499999999999</v>
      </c>
      <c r="Z18">
        <v>145.756</v>
      </c>
      <c r="AA18">
        <v>146.006</v>
      </c>
      <c r="AD18">
        <v>64.709999999999994</v>
      </c>
      <c r="AE18">
        <v>64.542000000000002</v>
      </c>
      <c r="AF18">
        <v>141.041</v>
      </c>
      <c r="AG18">
        <v>187.27799999999999</v>
      </c>
      <c r="AH18">
        <v>140.79</v>
      </c>
      <c r="AK18">
        <v>66.069000000000003</v>
      </c>
      <c r="AL18">
        <v>66.311000000000007</v>
      </c>
      <c r="AM18">
        <v>140.87299999999999</v>
      </c>
      <c r="AN18">
        <v>149.304</v>
      </c>
      <c r="AO18">
        <v>143.071</v>
      </c>
    </row>
    <row r="19" spans="1:41">
      <c r="A19">
        <v>17</v>
      </c>
      <c r="B19">
        <v>114.783</v>
      </c>
      <c r="C19" s="1">
        <v>0.120698</v>
      </c>
      <c r="D19" s="1">
        <v>0.114951</v>
      </c>
      <c r="E19">
        <v>0.117245</v>
      </c>
      <c r="F19" s="1">
        <v>0.11684899999999999</v>
      </c>
      <c r="G19" s="1"/>
      <c r="I19">
        <v>144.928</v>
      </c>
      <c r="J19" s="1">
        <v>0.127361</v>
      </c>
      <c r="K19" s="1">
        <v>0.12337099999999999</v>
      </c>
      <c r="L19">
        <v>0.15045900000000001</v>
      </c>
      <c r="M19" s="1">
        <v>0.14733599999999999</v>
      </c>
      <c r="N19" s="1"/>
      <c r="P19">
        <v>116.18899999999999</v>
      </c>
      <c r="Q19" s="1">
        <v>0.11588900000000001</v>
      </c>
      <c r="R19" s="1">
        <v>0.116773</v>
      </c>
      <c r="S19">
        <v>0.14243800000000001</v>
      </c>
      <c r="T19" s="1">
        <v>0.115214</v>
      </c>
      <c r="U19" s="1"/>
      <c r="W19">
        <v>64.941000000000003</v>
      </c>
      <c r="X19">
        <v>64.802000000000007</v>
      </c>
      <c r="Y19">
        <v>141.673</v>
      </c>
      <c r="Z19">
        <v>152.22300000000001</v>
      </c>
      <c r="AA19">
        <v>144.75800000000001</v>
      </c>
      <c r="AD19">
        <v>65.444000000000003</v>
      </c>
      <c r="AE19">
        <v>64.266000000000005</v>
      </c>
      <c r="AF19">
        <v>139.351</v>
      </c>
      <c r="AG19">
        <v>188.078</v>
      </c>
      <c r="AH19">
        <v>144.41800000000001</v>
      </c>
      <c r="AK19">
        <v>67.728999999999999</v>
      </c>
      <c r="AL19">
        <v>74.667000000000002</v>
      </c>
      <c r="AM19">
        <v>152.87700000000001</v>
      </c>
      <c r="AN19">
        <v>157.322</v>
      </c>
      <c r="AO19">
        <v>153.56299999999999</v>
      </c>
    </row>
    <row r="20" spans="1:41">
      <c r="A20">
        <v>18</v>
      </c>
      <c r="B20">
        <v>114.867</v>
      </c>
      <c r="C20" s="1">
        <v>0.115509</v>
      </c>
      <c r="D20" s="1">
        <v>0.13400899999999999</v>
      </c>
      <c r="E20" s="1">
        <v>0.123656</v>
      </c>
      <c r="F20" s="1">
        <v>0.114913</v>
      </c>
      <c r="G20" s="1"/>
      <c r="H20" s="1"/>
      <c r="I20">
        <v>142.346</v>
      </c>
      <c r="J20" s="1">
        <v>0.124309</v>
      </c>
      <c r="K20" s="1">
        <v>0.138544</v>
      </c>
      <c r="L20" s="1">
        <v>0.13116700000000001</v>
      </c>
      <c r="M20" s="1">
        <v>0.12659899999999999</v>
      </c>
      <c r="N20" s="1"/>
      <c r="P20">
        <v>115.96299999999999</v>
      </c>
      <c r="Q20" s="1">
        <v>0.116392</v>
      </c>
      <c r="R20" s="1">
        <v>0.116871</v>
      </c>
      <c r="S20" s="1">
        <v>0.115981</v>
      </c>
      <c r="T20" s="1">
        <v>0.115523</v>
      </c>
      <c r="U20" s="1"/>
      <c r="W20">
        <v>66.718999999999994</v>
      </c>
      <c r="X20">
        <v>63.774000000000001</v>
      </c>
      <c r="Y20">
        <v>139.67699999999999</v>
      </c>
      <c r="Z20">
        <v>145.73500000000001</v>
      </c>
      <c r="AA20">
        <v>145.637</v>
      </c>
      <c r="AD20">
        <v>68.322000000000003</v>
      </c>
      <c r="AE20">
        <v>65.671999999999997</v>
      </c>
      <c r="AF20">
        <v>141.465</v>
      </c>
      <c r="AG20">
        <v>209.035</v>
      </c>
      <c r="AH20">
        <v>140.863</v>
      </c>
      <c r="AK20">
        <v>69.938999999999993</v>
      </c>
      <c r="AL20">
        <v>70.849999999999994</v>
      </c>
      <c r="AM20">
        <v>150.32599999999999</v>
      </c>
      <c r="AN20">
        <v>150.59800000000001</v>
      </c>
      <c r="AO20">
        <v>147.768</v>
      </c>
    </row>
    <row r="21" spans="1:41">
      <c r="A21">
        <v>19</v>
      </c>
      <c r="B21">
        <v>114.642</v>
      </c>
      <c r="C21" s="1">
        <v>0.114411</v>
      </c>
      <c r="D21" s="1">
        <v>0.114297</v>
      </c>
      <c r="E21" s="1">
        <v>0.12694</v>
      </c>
      <c r="F21" s="1">
        <v>0.115234</v>
      </c>
      <c r="G21" s="1"/>
      <c r="H21" s="1"/>
      <c r="I21">
        <v>130.27199999999999</v>
      </c>
      <c r="J21">
        <v>0.137848</v>
      </c>
      <c r="K21" s="1">
        <v>0.13283300000000001</v>
      </c>
      <c r="L21" s="1">
        <v>0.135348</v>
      </c>
      <c r="M21" s="1">
        <v>0.13470099999999999</v>
      </c>
      <c r="N21" s="1"/>
      <c r="P21">
        <v>115.92400000000001</v>
      </c>
      <c r="Q21" s="1">
        <v>0.117105</v>
      </c>
      <c r="R21" s="1">
        <v>0.11681999999999999</v>
      </c>
      <c r="S21" s="1">
        <v>0.11637</v>
      </c>
      <c r="T21" s="1">
        <v>0.114913</v>
      </c>
      <c r="U21" s="1"/>
      <c r="W21">
        <v>64.14</v>
      </c>
      <c r="X21">
        <v>63.624000000000002</v>
      </c>
      <c r="Y21">
        <v>141.24600000000001</v>
      </c>
      <c r="Z21">
        <v>152.18199999999999</v>
      </c>
      <c r="AA21">
        <v>145.53700000000001</v>
      </c>
      <c r="AD21">
        <v>63.844999999999999</v>
      </c>
      <c r="AE21">
        <v>64.152000000000001</v>
      </c>
      <c r="AF21">
        <v>139.88800000000001</v>
      </c>
      <c r="AG21">
        <v>187.85499999999999</v>
      </c>
      <c r="AH21">
        <v>140.08799999999999</v>
      </c>
      <c r="AK21">
        <v>67.096999999999994</v>
      </c>
      <c r="AL21">
        <v>72.325999999999993</v>
      </c>
      <c r="AM21">
        <v>142.52099999999999</v>
      </c>
      <c r="AN21">
        <v>175.07499999999999</v>
      </c>
      <c r="AO21">
        <v>149.232</v>
      </c>
    </row>
    <row r="22" spans="1:41">
      <c r="A22">
        <v>20</v>
      </c>
      <c r="B22">
        <v>116.086</v>
      </c>
      <c r="C22" s="1">
        <v>0.11554399999999999</v>
      </c>
      <c r="D22" s="1">
        <v>0.11456</v>
      </c>
      <c r="E22" s="1">
        <v>0.115692</v>
      </c>
      <c r="F22" s="1">
        <v>0.11405700000000001</v>
      </c>
      <c r="G22" s="1"/>
      <c r="H22" s="1"/>
      <c r="I22">
        <v>127.82</v>
      </c>
      <c r="J22" s="1">
        <v>0.12445000000000001</v>
      </c>
      <c r="K22" s="1">
        <v>0.118312</v>
      </c>
      <c r="L22" s="1">
        <v>0.12120599999999999</v>
      </c>
      <c r="M22" s="1">
        <v>0.11861099999999999</v>
      </c>
      <c r="N22" s="1"/>
      <c r="P22">
        <v>116.55</v>
      </c>
      <c r="Q22" s="1">
        <v>0.11515599999999999</v>
      </c>
      <c r="R22" s="1">
        <v>0.11672</v>
      </c>
      <c r="S22" s="1">
        <v>0.116299</v>
      </c>
      <c r="T22">
        <v>0.115581</v>
      </c>
      <c r="W22">
        <v>66.337999999999994</v>
      </c>
      <c r="X22">
        <v>63.517000000000003</v>
      </c>
      <c r="Y22">
        <v>139.88</v>
      </c>
      <c r="Z22">
        <v>146.01900000000001</v>
      </c>
      <c r="AA22">
        <v>171.66499999999999</v>
      </c>
      <c r="AD22">
        <v>66.766000000000005</v>
      </c>
      <c r="AE22">
        <v>64.447999999999993</v>
      </c>
      <c r="AF22">
        <v>140.76499999999999</v>
      </c>
      <c r="AG22">
        <v>187.62200000000001</v>
      </c>
      <c r="AH22">
        <v>140.422</v>
      </c>
      <c r="AK22">
        <v>69.929000000000002</v>
      </c>
      <c r="AL22">
        <v>68.549000000000007</v>
      </c>
      <c r="AM22">
        <v>143.44999999999999</v>
      </c>
      <c r="AN22">
        <v>155.035</v>
      </c>
      <c r="AO22">
        <v>149.71199999999999</v>
      </c>
    </row>
    <row r="23" spans="1:41">
      <c r="A23">
        <v>21</v>
      </c>
      <c r="B23">
        <v>115.199</v>
      </c>
      <c r="C23" s="1">
        <v>0.114039</v>
      </c>
      <c r="D23" s="1">
        <v>0.115299</v>
      </c>
      <c r="E23" s="1">
        <v>0.11524</v>
      </c>
      <c r="F23" s="1">
        <v>0.114382</v>
      </c>
      <c r="G23" s="1"/>
      <c r="H23" s="1"/>
      <c r="I23">
        <v>117.83799999999999</v>
      </c>
      <c r="J23" s="1">
        <v>0.14061199999999999</v>
      </c>
      <c r="K23" s="1">
        <v>0.13118199999999999</v>
      </c>
      <c r="L23" s="1">
        <v>0.116453</v>
      </c>
      <c r="M23" s="1">
        <v>0.115509</v>
      </c>
      <c r="N23" s="1"/>
      <c r="P23">
        <v>116.283</v>
      </c>
      <c r="Q23" s="1">
        <v>0.115692</v>
      </c>
      <c r="R23" s="1">
        <v>0.116303</v>
      </c>
      <c r="S23" s="1">
        <v>0.119903</v>
      </c>
      <c r="T23" s="1">
        <v>0.14487800000000001</v>
      </c>
      <c r="U23" s="1"/>
      <c r="W23">
        <v>64.537999999999997</v>
      </c>
      <c r="X23">
        <v>63.765999999999998</v>
      </c>
      <c r="Y23">
        <v>142.77500000000001</v>
      </c>
      <c r="Z23">
        <v>152.61000000000001</v>
      </c>
      <c r="AA23">
        <v>145.041</v>
      </c>
      <c r="AD23">
        <v>63.695999999999998</v>
      </c>
      <c r="AE23">
        <v>63.957000000000001</v>
      </c>
      <c r="AF23">
        <v>139.50299999999999</v>
      </c>
      <c r="AG23">
        <v>187.773</v>
      </c>
      <c r="AH23">
        <v>140.79499999999999</v>
      </c>
      <c r="AK23">
        <v>69.073999999999998</v>
      </c>
      <c r="AL23">
        <v>67.197999999999993</v>
      </c>
      <c r="AM23">
        <v>143.15199999999999</v>
      </c>
      <c r="AN23">
        <v>152.87799999999999</v>
      </c>
      <c r="AO23">
        <v>145.41499999999999</v>
      </c>
    </row>
    <row r="24" spans="1:41">
      <c r="A24">
        <v>22</v>
      </c>
      <c r="B24">
        <v>116.684</v>
      </c>
      <c r="C24" s="1">
        <v>0.115733</v>
      </c>
      <c r="D24" s="1">
        <v>0.119065</v>
      </c>
      <c r="E24" s="1">
        <v>0.114639</v>
      </c>
      <c r="F24" s="1">
        <v>0.13569000000000001</v>
      </c>
      <c r="G24" s="1"/>
      <c r="H24" s="1"/>
      <c r="I24">
        <v>115.684</v>
      </c>
      <c r="J24" s="1">
        <v>0.12246600000000001</v>
      </c>
      <c r="K24" s="1">
        <v>0.11669</v>
      </c>
      <c r="L24" s="1">
        <v>0.11577999999999999</v>
      </c>
      <c r="M24" s="1">
        <v>0.115063</v>
      </c>
      <c r="P24">
        <v>115.717</v>
      </c>
      <c r="Q24" s="1">
        <v>0.11569400000000001</v>
      </c>
      <c r="R24" s="1">
        <v>0.116355</v>
      </c>
      <c r="S24" s="1">
        <v>0.116883</v>
      </c>
      <c r="T24" s="1">
        <v>0.116035</v>
      </c>
      <c r="U24" s="1"/>
      <c r="W24">
        <v>64.105999999999995</v>
      </c>
      <c r="X24">
        <v>65.367000000000004</v>
      </c>
      <c r="Y24">
        <v>140.86500000000001</v>
      </c>
      <c r="Z24">
        <v>145.374</v>
      </c>
      <c r="AA24">
        <v>145.041</v>
      </c>
      <c r="AD24">
        <v>64.825999999999993</v>
      </c>
      <c r="AE24">
        <v>64.307000000000002</v>
      </c>
      <c r="AF24">
        <v>140.91399999999999</v>
      </c>
      <c r="AG24">
        <v>213.54300000000001</v>
      </c>
      <c r="AH24">
        <v>140.37799999999999</v>
      </c>
      <c r="AK24">
        <v>67.238</v>
      </c>
      <c r="AL24">
        <v>68.968000000000004</v>
      </c>
      <c r="AM24">
        <v>147.755</v>
      </c>
      <c r="AN24">
        <v>154.202</v>
      </c>
      <c r="AO24">
        <v>146.179</v>
      </c>
    </row>
    <row r="25" spans="1:41">
      <c r="A25">
        <v>23</v>
      </c>
      <c r="B25">
        <v>114.62</v>
      </c>
      <c r="C25" s="1">
        <v>0.13331999999999999</v>
      </c>
      <c r="D25" s="1">
        <v>0.11654100000000001</v>
      </c>
      <c r="E25" s="1">
        <v>0.158217</v>
      </c>
      <c r="F25" s="1">
        <v>0.116443</v>
      </c>
      <c r="G25" s="1"/>
      <c r="I25">
        <v>117.443</v>
      </c>
      <c r="J25" s="1">
        <v>0.116218</v>
      </c>
      <c r="K25" s="1">
        <v>0.11587</v>
      </c>
      <c r="L25" s="1">
        <v>0.115629</v>
      </c>
      <c r="M25" s="1">
        <v>0.115464</v>
      </c>
      <c r="N25" s="1"/>
      <c r="P25">
        <v>115.747</v>
      </c>
      <c r="Q25" s="1">
        <v>0.11532199999999999</v>
      </c>
      <c r="R25" s="1">
        <v>0.116462</v>
      </c>
      <c r="S25" s="1">
        <v>0.11650199999999999</v>
      </c>
      <c r="T25" s="1">
        <v>0.115109</v>
      </c>
      <c r="U25" s="1"/>
      <c r="W25">
        <v>64.483000000000004</v>
      </c>
      <c r="X25">
        <v>70.210999999999999</v>
      </c>
      <c r="Y25">
        <v>143.751</v>
      </c>
      <c r="Z25">
        <v>152.023</v>
      </c>
      <c r="AA25">
        <v>145.96199999999999</v>
      </c>
      <c r="AD25">
        <v>63.893999999999998</v>
      </c>
      <c r="AE25">
        <v>64.05</v>
      </c>
      <c r="AF25">
        <v>139.26499999999999</v>
      </c>
      <c r="AG25">
        <v>188.03</v>
      </c>
      <c r="AH25">
        <v>139.97999999999999</v>
      </c>
      <c r="AK25">
        <v>70.58</v>
      </c>
      <c r="AL25">
        <v>74.56</v>
      </c>
      <c r="AM25">
        <v>141.39500000000001</v>
      </c>
      <c r="AN25">
        <v>149.01499999999999</v>
      </c>
      <c r="AO25">
        <v>142.345</v>
      </c>
    </row>
    <row r="26" spans="1:41" hidden="1">
      <c r="A26">
        <v>24</v>
      </c>
      <c r="B26">
        <v>116.354</v>
      </c>
      <c r="C26" s="1">
        <v>0.115074</v>
      </c>
      <c r="D26" s="1">
        <v>0.116378</v>
      </c>
      <c r="E26" s="1">
        <v>0.115534</v>
      </c>
      <c r="F26" s="1">
        <v>0.115715</v>
      </c>
      <c r="G26" s="1"/>
      <c r="I26">
        <v>115.11799999999999</v>
      </c>
      <c r="J26" s="1">
        <v>0.11536100000000001</v>
      </c>
      <c r="K26" s="1">
        <v>0.116989</v>
      </c>
      <c r="L26" s="1">
        <v>0.116172</v>
      </c>
      <c r="M26" s="1">
        <v>0.116601</v>
      </c>
      <c r="N26" s="1"/>
      <c r="P26">
        <v>116.09699999999999</v>
      </c>
      <c r="Q26" s="1">
        <v>0.11619500000000001</v>
      </c>
      <c r="R26" s="1">
        <v>0.11795899999999999</v>
      </c>
      <c r="S26" s="1">
        <v>0.11625199999999999</v>
      </c>
      <c r="T26" s="1">
        <v>0.115027</v>
      </c>
      <c r="U26" s="1"/>
      <c r="W26">
        <v>64.742999999999995</v>
      </c>
      <c r="X26">
        <v>64.489000000000004</v>
      </c>
      <c r="Y26">
        <v>139.517</v>
      </c>
      <c r="Z26">
        <v>145.583</v>
      </c>
      <c r="AA26">
        <v>145.48099999999999</v>
      </c>
      <c r="AD26">
        <v>64.298000000000002</v>
      </c>
      <c r="AE26">
        <v>64.760999999999996</v>
      </c>
      <c r="AF26">
        <v>140.97999999999999</v>
      </c>
      <c r="AG26">
        <v>187.33</v>
      </c>
      <c r="AH26">
        <v>139.65</v>
      </c>
      <c r="AK26">
        <v>67.495999999999995</v>
      </c>
      <c r="AL26">
        <v>102.129</v>
      </c>
      <c r="AM26">
        <v>151.75800000000001</v>
      </c>
      <c r="AN26">
        <v>157.392</v>
      </c>
      <c r="AO26">
        <v>146.22800000000001</v>
      </c>
    </row>
    <row r="27" spans="1:41" hidden="1">
      <c r="A27">
        <v>25</v>
      </c>
      <c r="B27">
        <v>115.461</v>
      </c>
      <c r="C27" s="1">
        <v>0.114191</v>
      </c>
      <c r="D27" s="1">
        <v>0.114622</v>
      </c>
      <c r="E27" s="1">
        <v>0.115561</v>
      </c>
      <c r="F27" s="1">
        <v>0.115422</v>
      </c>
      <c r="H27" s="1"/>
      <c r="I27">
        <v>115.66200000000001</v>
      </c>
      <c r="J27" s="1">
        <v>0.14446000000000001</v>
      </c>
      <c r="K27" s="1">
        <v>0.115966</v>
      </c>
      <c r="L27" s="1">
        <v>0.119396</v>
      </c>
      <c r="M27" s="1">
        <v>0.115476</v>
      </c>
      <c r="N27" s="1"/>
      <c r="P27">
        <v>116.57299999999999</v>
      </c>
      <c r="Q27" s="1">
        <v>0.120189</v>
      </c>
      <c r="R27" s="1">
        <v>0.121086</v>
      </c>
      <c r="S27" s="1">
        <v>0.118365</v>
      </c>
      <c r="T27" s="1">
        <v>0.114857</v>
      </c>
      <c r="U27" s="1"/>
      <c r="W27">
        <v>64.438000000000002</v>
      </c>
      <c r="X27">
        <v>90.796000000000006</v>
      </c>
      <c r="Y27">
        <v>141.70400000000001</v>
      </c>
      <c r="Z27">
        <v>152.233</v>
      </c>
      <c r="AA27">
        <v>145.64599999999999</v>
      </c>
      <c r="AD27">
        <v>63.893000000000001</v>
      </c>
      <c r="AE27">
        <v>64.022999999999996</v>
      </c>
      <c r="AF27">
        <v>139.20699999999999</v>
      </c>
      <c r="AG27">
        <v>187.666</v>
      </c>
      <c r="AH27">
        <v>141.90799999999999</v>
      </c>
      <c r="AK27">
        <v>68.238</v>
      </c>
      <c r="AL27">
        <v>67.897999999999996</v>
      </c>
      <c r="AM27">
        <v>144.19</v>
      </c>
      <c r="AN27">
        <v>152.578</v>
      </c>
      <c r="AO27">
        <v>146.845</v>
      </c>
    </row>
    <row r="28" spans="1:41" hidden="1">
      <c r="A28">
        <v>26</v>
      </c>
      <c r="B28">
        <v>114.881</v>
      </c>
      <c r="C28" s="1">
        <v>0.114944</v>
      </c>
      <c r="D28" s="1">
        <v>0.11462600000000001</v>
      </c>
      <c r="E28" s="1">
        <v>0.12656200000000001</v>
      </c>
      <c r="F28" s="1">
        <v>0.135571</v>
      </c>
      <c r="G28" s="1"/>
      <c r="H28" s="1"/>
      <c r="I28">
        <v>115.214</v>
      </c>
      <c r="J28" s="1">
        <v>0.11602</v>
      </c>
      <c r="K28" s="1">
        <v>0.11663800000000001</v>
      </c>
      <c r="L28" s="1">
        <v>0.130936</v>
      </c>
      <c r="M28" s="1">
        <v>0.13217200000000001</v>
      </c>
      <c r="N28" s="1"/>
      <c r="P28">
        <v>149.911</v>
      </c>
      <c r="Q28" s="1">
        <v>0.115985</v>
      </c>
      <c r="R28" s="1">
        <v>0.11576500000000001</v>
      </c>
      <c r="S28" s="1">
        <v>0.115883</v>
      </c>
      <c r="T28" s="1">
        <v>0.114997</v>
      </c>
      <c r="U28" s="1"/>
      <c r="W28">
        <v>66.954999999999998</v>
      </c>
      <c r="X28">
        <v>63.866</v>
      </c>
      <c r="Y28">
        <v>139.54</v>
      </c>
      <c r="Z28">
        <v>146.06399999999999</v>
      </c>
      <c r="AA28">
        <v>145.523</v>
      </c>
      <c r="AD28">
        <v>64.459000000000003</v>
      </c>
      <c r="AE28">
        <v>64.414000000000001</v>
      </c>
      <c r="AF28">
        <v>140.982</v>
      </c>
      <c r="AG28">
        <v>214.191</v>
      </c>
      <c r="AH28">
        <v>140.83000000000001</v>
      </c>
      <c r="AK28">
        <v>66.298000000000002</v>
      </c>
      <c r="AL28">
        <v>66.417000000000002</v>
      </c>
      <c r="AM28">
        <v>140.30500000000001</v>
      </c>
      <c r="AN28">
        <v>148.55199999999999</v>
      </c>
      <c r="AO28">
        <v>142.23699999999999</v>
      </c>
    </row>
    <row r="29" spans="1:41" hidden="1">
      <c r="A29">
        <v>27</v>
      </c>
      <c r="B29">
        <v>114.61199999999999</v>
      </c>
      <c r="C29" s="1">
        <v>0.115004</v>
      </c>
      <c r="D29" s="1">
        <v>0.12098399999999999</v>
      </c>
      <c r="E29" s="1">
        <v>0.115701</v>
      </c>
      <c r="F29" s="1">
        <v>0.115173</v>
      </c>
      <c r="G29" s="1"/>
      <c r="H29" s="1"/>
      <c r="I29">
        <v>119.66500000000001</v>
      </c>
      <c r="J29" s="1">
        <v>0.11737400000000001</v>
      </c>
      <c r="K29" s="1">
        <v>0.116149</v>
      </c>
      <c r="L29" s="1">
        <v>0.11565599999999999</v>
      </c>
      <c r="M29" s="1">
        <v>0.115788</v>
      </c>
      <c r="P29">
        <v>116.301</v>
      </c>
      <c r="Q29" s="1">
        <v>0.115104</v>
      </c>
      <c r="R29" s="1">
        <v>0.11627899999999999</v>
      </c>
      <c r="S29" s="1">
        <v>0.12009499999999999</v>
      </c>
      <c r="T29" s="1">
        <v>0.115729</v>
      </c>
      <c r="U29" s="1"/>
      <c r="W29">
        <v>65.001999999999995</v>
      </c>
      <c r="X29">
        <v>63.987000000000002</v>
      </c>
      <c r="Y29">
        <v>143.392</v>
      </c>
      <c r="Z29">
        <v>152.43199999999999</v>
      </c>
      <c r="AA29">
        <v>144.83000000000001</v>
      </c>
      <c r="AD29">
        <v>64.230999999999995</v>
      </c>
      <c r="AE29">
        <v>64.251999999999995</v>
      </c>
      <c r="AF29">
        <v>139.416</v>
      </c>
      <c r="AG29">
        <v>190.08699999999999</v>
      </c>
      <c r="AH29">
        <v>141.518</v>
      </c>
      <c r="AK29">
        <v>65.093000000000004</v>
      </c>
      <c r="AL29">
        <v>66.135000000000005</v>
      </c>
      <c r="AM29">
        <v>139.767</v>
      </c>
      <c r="AN29">
        <v>148.38499999999999</v>
      </c>
      <c r="AO29">
        <v>141.85599999999999</v>
      </c>
    </row>
    <row r="30" spans="1:41" hidden="1">
      <c r="A30">
        <v>28</v>
      </c>
      <c r="B30">
        <v>114.619</v>
      </c>
      <c r="C30" s="1">
        <v>0.115798</v>
      </c>
      <c r="D30" s="1">
        <v>0.11525100000000001</v>
      </c>
      <c r="E30" s="1">
        <v>0.115052</v>
      </c>
      <c r="F30" s="1">
        <v>0.114883</v>
      </c>
      <c r="G30" s="1"/>
      <c r="H30" s="1"/>
      <c r="I30">
        <v>116.685</v>
      </c>
      <c r="J30" s="1">
        <v>0.116206</v>
      </c>
      <c r="K30" s="1">
        <v>0.115977</v>
      </c>
      <c r="L30" s="1">
        <v>0.11558400000000001</v>
      </c>
      <c r="M30" s="1">
        <v>0.11500100000000001</v>
      </c>
      <c r="N30" s="1"/>
      <c r="P30">
        <v>116.08799999999999</v>
      </c>
      <c r="Q30" s="1">
        <v>0.115427</v>
      </c>
      <c r="R30" s="1">
        <v>0.116733</v>
      </c>
      <c r="S30" s="1">
        <v>0.11686299999999999</v>
      </c>
      <c r="T30" s="1">
        <v>0.11580500000000001</v>
      </c>
      <c r="U30" s="1"/>
      <c r="W30">
        <v>64.881</v>
      </c>
      <c r="X30">
        <v>64.599000000000004</v>
      </c>
      <c r="Y30">
        <v>141.04900000000001</v>
      </c>
      <c r="Z30">
        <v>146.13300000000001</v>
      </c>
      <c r="AA30">
        <v>145.18700000000001</v>
      </c>
      <c r="AD30">
        <v>64.510000000000005</v>
      </c>
      <c r="AE30">
        <v>66.86</v>
      </c>
      <c r="AF30">
        <v>141.602</v>
      </c>
      <c r="AG30">
        <v>197.44800000000001</v>
      </c>
      <c r="AH30">
        <v>140.40299999999999</v>
      </c>
      <c r="AK30">
        <v>65.608999999999995</v>
      </c>
      <c r="AL30">
        <v>66.262</v>
      </c>
      <c r="AM30">
        <v>140.90600000000001</v>
      </c>
      <c r="AN30">
        <v>163.62</v>
      </c>
      <c r="AO30">
        <v>141.86000000000001</v>
      </c>
    </row>
    <row r="31" spans="1:41" hidden="1">
      <c r="A31">
        <v>29</v>
      </c>
      <c r="B31">
        <v>115.95099999999999</v>
      </c>
      <c r="C31" s="1">
        <v>0.11884</v>
      </c>
      <c r="D31" s="1">
        <v>0.115563</v>
      </c>
      <c r="E31" s="1">
        <v>0.115134</v>
      </c>
      <c r="F31" s="1">
        <v>0.114131</v>
      </c>
      <c r="G31" s="1"/>
      <c r="H31" s="1"/>
      <c r="I31">
        <v>120.663</v>
      </c>
      <c r="J31" s="1">
        <v>0.11551500000000001</v>
      </c>
      <c r="K31" s="1">
        <v>0.13545199999999999</v>
      </c>
      <c r="L31" s="1">
        <v>0.116492</v>
      </c>
      <c r="M31" s="1">
        <v>0.116631</v>
      </c>
      <c r="N31" s="1"/>
      <c r="P31">
        <v>116.566</v>
      </c>
      <c r="Q31" s="1">
        <v>0.115368</v>
      </c>
      <c r="R31" s="1">
        <v>0.116452</v>
      </c>
      <c r="S31" s="1">
        <v>0.116156</v>
      </c>
      <c r="T31" s="1">
        <v>0.115232</v>
      </c>
      <c r="U31" s="1"/>
      <c r="W31">
        <v>65.582999999999998</v>
      </c>
      <c r="X31">
        <v>64.489999999999995</v>
      </c>
      <c r="Y31">
        <v>170.839</v>
      </c>
      <c r="Z31">
        <v>152.25299999999999</v>
      </c>
      <c r="AA31">
        <v>145.21199999999999</v>
      </c>
      <c r="AD31">
        <v>69.265000000000001</v>
      </c>
      <c r="AE31">
        <v>64.97</v>
      </c>
      <c r="AF31">
        <v>143.28100000000001</v>
      </c>
      <c r="AG31">
        <v>191.25</v>
      </c>
      <c r="AH31">
        <v>141.285</v>
      </c>
      <c r="AK31">
        <v>113.285</v>
      </c>
      <c r="AL31">
        <v>66.989000000000004</v>
      </c>
      <c r="AM31">
        <v>140.56399999999999</v>
      </c>
      <c r="AN31">
        <v>147.82400000000001</v>
      </c>
      <c r="AO31">
        <v>141.54400000000001</v>
      </c>
    </row>
    <row r="32" spans="1:41" hidden="1">
      <c r="A32">
        <v>30</v>
      </c>
      <c r="B32">
        <v>117.84699999999999</v>
      </c>
      <c r="C32" s="1">
        <v>0.115454</v>
      </c>
      <c r="D32" s="1">
        <v>0.11593100000000001</v>
      </c>
      <c r="E32" s="1">
        <v>0.115385</v>
      </c>
      <c r="F32" s="1">
        <v>0.115913</v>
      </c>
      <c r="G32" s="1"/>
      <c r="H32" s="1"/>
      <c r="I32">
        <v>115.536</v>
      </c>
      <c r="J32" s="1">
        <v>0.115686</v>
      </c>
      <c r="K32" s="1">
        <v>0.11557099999999999</v>
      </c>
      <c r="L32" s="1">
        <v>0.116519</v>
      </c>
      <c r="M32" s="1">
        <v>0.115006</v>
      </c>
      <c r="N32" s="1"/>
      <c r="P32">
        <v>115.557</v>
      </c>
      <c r="Q32" s="1">
        <v>0.141899</v>
      </c>
      <c r="R32" s="1">
        <v>0.117106</v>
      </c>
      <c r="S32" s="1">
        <v>0.116561</v>
      </c>
      <c r="T32" s="1">
        <v>0.11513</v>
      </c>
      <c r="U32" s="1"/>
      <c r="W32">
        <v>64.16</v>
      </c>
      <c r="X32">
        <v>64.924000000000007</v>
      </c>
      <c r="Y32">
        <v>139.87100000000001</v>
      </c>
      <c r="Z32">
        <v>145.61699999999999</v>
      </c>
      <c r="AA32">
        <v>145.465</v>
      </c>
      <c r="AD32">
        <v>66.59</v>
      </c>
      <c r="AE32">
        <v>65.366</v>
      </c>
      <c r="AF32">
        <v>141.03899999999999</v>
      </c>
      <c r="AG32">
        <v>187.87700000000001</v>
      </c>
      <c r="AH32">
        <v>164.38499999999999</v>
      </c>
      <c r="AK32">
        <v>66.055999999999997</v>
      </c>
      <c r="AL32">
        <v>66.066000000000003</v>
      </c>
      <c r="AM32">
        <v>140.505</v>
      </c>
      <c r="AN32">
        <v>147.95699999999999</v>
      </c>
      <c r="AO32">
        <v>146.93700000000001</v>
      </c>
    </row>
    <row r="33" spans="1:41" hidden="1">
      <c r="A33">
        <v>31</v>
      </c>
      <c r="B33">
        <v>147.36199999999999</v>
      </c>
      <c r="C33" s="1">
        <v>0.118257</v>
      </c>
      <c r="D33" s="1">
        <v>0.114009</v>
      </c>
      <c r="E33" s="1">
        <v>0.11530799999999999</v>
      </c>
      <c r="F33" s="1">
        <v>0.11469699999999999</v>
      </c>
      <c r="G33" s="1"/>
      <c r="H33" s="1"/>
      <c r="I33">
        <v>115.389</v>
      </c>
      <c r="J33" s="1">
        <v>0.115663</v>
      </c>
      <c r="K33" s="1">
        <v>0.116273</v>
      </c>
      <c r="L33" s="1">
        <v>0.11723699999999999</v>
      </c>
      <c r="M33" s="1">
        <v>0.11511399999999999</v>
      </c>
      <c r="P33">
        <v>116.16200000000001</v>
      </c>
      <c r="Q33" s="1">
        <v>0.115615</v>
      </c>
      <c r="R33" s="1">
        <v>0.11598</v>
      </c>
      <c r="S33" s="1">
        <v>0.115645</v>
      </c>
      <c r="T33" s="1">
        <v>0.11501599999999999</v>
      </c>
      <c r="U33" s="1"/>
      <c r="W33">
        <v>65.813000000000002</v>
      </c>
      <c r="X33">
        <v>64.215000000000003</v>
      </c>
      <c r="Y33">
        <v>141.495</v>
      </c>
      <c r="Z33">
        <v>151.91300000000001</v>
      </c>
      <c r="AA33">
        <v>147.65799999999999</v>
      </c>
      <c r="AD33">
        <v>64.394999999999996</v>
      </c>
      <c r="AE33">
        <v>64.503</v>
      </c>
      <c r="AF33">
        <v>139.238</v>
      </c>
      <c r="AG33">
        <v>190.2</v>
      </c>
      <c r="AH33">
        <v>141.03800000000001</v>
      </c>
      <c r="AK33">
        <v>65.483000000000004</v>
      </c>
      <c r="AL33">
        <v>66.799000000000007</v>
      </c>
      <c r="AM33">
        <v>140.34100000000001</v>
      </c>
      <c r="AN33">
        <v>147.89400000000001</v>
      </c>
      <c r="AO33">
        <v>142.29499999999999</v>
      </c>
    </row>
    <row r="34" spans="1:41" hidden="1">
      <c r="A34">
        <v>32</v>
      </c>
      <c r="B34">
        <v>114.857</v>
      </c>
      <c r="C34" s="1">
        <v>0.11416999999999999</v>
      </c>
      <c r="D34" s="1">
        <v>0.115934</v>
      </c>
      <c r="E34" s="1">
        <v>0.115464</v>
      </c>
      <c r="F34" s="1">
        <v>0.114647</v>
      </c>
      <c r="G34" s="1"/>
      <c r="H34" s="1"/>
      <c r="I34">
        <v>116.82299999999999</v>
      </c>
      <c r="J34" s="1">
        <v>0.11615</v>
      </c>
      <c r="K34" s="1">
        <v>0.116784</v>
      </c>
      <c r="L34" s="1">
        <v>0.12098299999999999</v>
      </c>
      <c r="M34" s="1">
        <v>0.116775</v>
      </c>
      <c r="N34" s="1"/>
      <c r="P34">
        <v>115.983</v>
      </c>
      <c r="Q34" s="1">
        <v>0.115089</v>
      </c>
      <c r="R34" s="1">
        <v>0.11614099999999999</v>
      </c>
      <c r="S34" s="1">
        <v>0.115943</v>
      </c>
      <c r="T34" s="1">
        <v>0.11544699999999999</v>
      </c>
      <c r="U34" s="1"/>
      <c r="W34">
        <v>68.319000000000003</v>
      </c>
      <c r="X34">
        <v>64.462000000000003</v>
      </c>
      <c r="Y34">
        <v>139.65700000000001</v>
      </c>
      <c r="Z34">
        <v>145.828</v>
      </c>
      <c r="AA34">
        <v>145.56700000000001</v>
      </c>
      <c r="AD34">
        <v>64.602000000000004</v>
      </c>
      <c r="AE34">
        <v>64.143000000000001</v>
      </c>
      <c r="AF34">
        <v>140.68100000000001</v>
      </c>
      <c r="AG34">
        <v>189.03299999999999</v>
      </c>
      <c r="AH34">
        <v>140.15299999999999</v>
      </c>
      <c r="AK34">
        <v>67.695999999999998</v>
      </c>
      <c r="AL34">
        <v>66.914000000000001</v>
      </c>
      <c r="AM34">
        <v>140.114</v>
      </c>
      <c r="AN34">
        <v>148.251</v>
      </c>
      <c r="AO34">
        <v>164.17699999999999</v>
      </c>
    </row>
    <row r="35" spans="1:41" hidden="1">
      <c r="A35">
        <v>33</v>
      </c>
      <c r="B35">
        <v>120.968</v>
      </c>
      <c r="C35" s="1">
        <v>0.11415699999999999</v>
      </c>
      <c r="D35" s="1">
        <v>0.116566</v>
      </c>
      <c r="E35" s="1">
        <v>0.11475399999999999</v>
      </c>
      <c r="F35" s="1">
        <v>0.114854</v>
      </c>
      <c r="G35" s="1"/>
      <c r="H35" s="1"/>
      <c r="I35">
        <v>132.74700000000001</v>
      </c>
      <c r="J35" s="1">
        <v>0.122086</v>
      </c>
      <c r="K35" s="1">
        <v>0.11956600000000001</v>
      </c>
      <c r="L35" s="1">
        <v>0.116159</v>
      </c>
      <c r="M35" s="1">
        <v>0.14236399999999999</v>
      </c>
      <c r="N35" s="1"/>
      <c r="P35">
        <v>116.44499999999999</v>
      </c>
      <c r="Q35" s="1">
        <v>0.115759</v>
      </c>
      <c r="R35" s="1">
        <v>0.13671700000000001</v>
      </c>
      <c r="S35" s="1">
        <v>0.119966</v>
      </c>
      <c r="T35" s="1">
        <v>0.115781</v>
      </c>
      <c r="U35" s="1"/>
      <c r="W35">
        <v>64.61</v>
      </c>
      <c r="X35">
        <v>63.74</v>
      </c>
      <c r="Y35">
        <v>141.66800000000001</v>
      </c>
      <c r="Z35">
        <v>153.15299999999999</v>
      </c>
      <c r="AA35">
        <v>171.40799999999999</v>
      </c>
      <c r="AD35">
        <v>63.735999999999997</v>
      </c>
      <c r="AE35">
        <v>63.951999999999998</v>
      </c>
      <c r="AF35">
        <v>138.87700000000001</v>
      </c>
      <c r="AG35">
        <v>186.92599999999999</v>
      </c>
      <c r="AH35">
        <v>139.572</v>
      </c>
      <c r="AK35">
        <v>65.364999999999995</v>
      </c>
      <c r="AL35">
        <v>66.320999999999998</v>
      </c>
      <c r="AM35">
        <v>140.58000000000001</v>
      </c>
      <c r="AN35">
        <v>148.20699999999999</v>
      </c>
      <c r="AO35">
        <v>142.45699999999999</v>
      </c>
    </row>
    <row r="36" spans="1:41" hidden="1">
      <c r="A36">
        <v>34</v>
      </c>
      <c r="B36">
        <v>114.515</v>
      </c>
      <c r="C36" s="1">
        <v>0.115759</v>
      </c>
      <c r="D36" s="1">
        <v>0.114799</v>
      </c>
      <c r="E36" s="1">
        <v>0.11475100000000001</v>
      </c>
      <c r="F36" s="1">
        <v>0.115339</v>
      </c>
      <c r="G36" s="1"/>
      <c r="H36" s="1"/>
      <c r="I36">
        <v>131.61500000000001</v>
      </c>
      <c r="J36" s="1">
        <v>0.11562799999999999</v>
      </c>
      <c r="K36" s="1">
        <v>0.11873</v>
      </c>
      <c r="L36" s="1">
        <v>0.124614</v>
      </c>
      <c r="M36" s="1">
        <v>0.119674</v>
      </c>
      <c r="N36" s="1"/>
      <c r="P36">
        <v>115.783</v>
      </c>
      <c r="Q36" s="1">
        <v>0.115107</v>
      </c>
      <c r="R36" s="1">
        <v>0.14203499999999999</v>
      </c>
      <c r="S36" s="1">
        <v>0.117171</v>
      </c>
      <c r="T36" s="1">
        <v>0.11537699999999999</v>
      </c>
      <c r="W36">
        <v>78.637</v>
      </c>
      <c r="X36">
        <v>68.260999999999996</v>
      </c>
      <c r="Y36">
        <v>142.321</v>
      </c>
      <c r="Z36">
        <v>145.85</v>
      </c>
      <c r="AA36">
        <v>145.244</v>
      </c>
      <c r="AD36">
        <v>63.945999999999998</v>
      </c>
      <c r="AE36">
        <v>63.975999999999999</v>
      </c>
      <c r="AF36">
        <v>140.63</v>
      </c>
      <c r="AG36">
        <v>195.46</v>
      </c>
      <c r="AH36">
        <v>160.88399999999999</v>
      </c>
      <c r="AK36">
        <v>65.724999999999994</v>
      </c>
      <c r="AL36">
        <v>66.278000000000006</v>
      </c>
      <c r="AM36">
        <v>140.26599999999999</v>
      </c>
      <c r="AN36">
        <v>148.536</v>
      </c>
      <c r="AO36">
        <v>142.096</v>
      </c>
    </row>
    <row r="37" spans="1:41" hidden="1">
      <c r="A37">
        <v>35</v>
      </c>
      <c r="B37">
        <v>118.108</v>
      </c>
      <c r="C37" s="1">
        <v>0.114581</v>
      </c>
      <c r="D37" s="1">
        <v>0.13306799999999999</v>
      </c>
      <c r="E37" s="1">
        <v>0.116009</v>
      </c>
      <c r="F37" s="1">
        <v>0.11472</v>
      </c>
      <c r="H37" s="1"/>
      <c r="I37">
        <v>116.372</v>
      </c>
      <c r="J37" s="1">
        <v>0.115355</v>
      </c>
      <c r="K37" s="1">
        <v>0.115684</v>
      </c>
      <c r="L37" s="1">
        <v>0.116845</v>
      </c>
      <c r="M37" s="1">
        <v>0.115122</v>
      </c>
      <c r="N37" s="1"/>
      <c r="P37">
        <v>115.562</v>
      </c>
      <c r="Q37" s="1">
        <v>0.115343</v>
      </c>
      <c r="R37" s="1">
        <v>0.116325</v>
      </c>
      <c r="S37" s="1">
        <v>0.11618199999999999</v>
      </c>
      <c r="T37" s="1">
        <v>0.11563</v>
      </c>
      <c r="U37" s="1"/>
      <c r="W37">
        <v>65.328999999999994</v>
      </c>
      <c r="X37">
        <v>63.768999999999998</v>
      </c>
      <c r="Y37">
        <v>142.327</v>
      </c>
      <c r="Z37">
        <v>152.01300000000001</v>
      </c>
      <c r="AA37">
        <v>145.376</v>
      </c>
      <c r="AD37">
        <v>65.308000000000007</v>
      </c>
      <c r="AE37">
        <v>64.691999999999993</v>
      </c>
      <c r="AF37">
        <v>139.13300000000001</v>
      </c>
      <c r="AG37">
        <v>187.203</v>
      </c>
      <c r="AH37">
        <v>139.83799999999999</v>
      </c>
      <c r="AK37">
        <v>65.143000000000001</v>
      </c>
      <c r="AL37">
        <v>66.465999999999994</v>
      </c>
      <c r="AM37">
        <v>142.857</v>
      </c>
      <c r="AN37">
        <v>148.495</v>
      </c>
      <c r="AO37">
        <v>141.85499999999999</v>
      </c>
    </row>
    <row r="38" spans="1:41" hidden="1">
      <c r="A38">
        <v>36</v>
      </c>
      <c r="B38">
        <v>116.36499999999999</v>
      </c>
      <c r="C38" s="1">
        <v>0.114922</v>
      </c>
      <c r="D38" s="1">
        <v>0.114577</v>
      </c>
      <c r="E38" s="1">
        <v>0.114568</v>
      </c>
      <c r="F38" s="1">
        <v>0.115331</v>
      </c>
      <c r="G38" s="1"/>
      <c r="H38" s="1"/>
      <c r="I38">
        <v>115.50700000000001</v>
      </c>
      <c r="J38" s="1">
        <v>0.114968</v>
      </c>
      <c r="K38" s="1">
        <v>0.116118</v>
      </c>
      <c r="L38" s="1">
        <v>0.117094</v>
      </c>
      <c r="M38" s="1">
        <v>0.11519</v>
      </c>
      <c r="N38" s="1"/>
      <c r="P38">
        <v>115.97</v>
      </c>
      <c r="Q38" s="1">
        <v>0.117203</v>
      </c>
      <c r="R38" s="1">
        <v>0.11658499999999999</v>
      </c>
      <c r="S38" s="1">
        <v>0.116161</v>
      </c>
      <c r="T38" s="1">
        <v>0.115345</v>
      </c>
      <c r="U38" s="1"/>
      <c r="W38">
        <v>64.784999999999997</v>
      </c>
      <c r="X38">
        <v>64.165000000000006</v>
      </c>
      <c r="Y38">
        <v>139.86600000000001</v>
      </c>
      <c r="Z38">
        <v>144.958</v>
      </c>
      <c r="AA38">
        <v>145.589</v>
      </c>
      <c r="AD38">
        <v>64.391000000000005</v>
      </c>
      <c r="AE38">
        <v>64.028999999999996</v>
      </c>
      <c r="AF38">
        <v>140.15700000000001</v>
      </c>
      <c r="AG38">
        <v>186.77099999999999</v>
      </c>
      <c r="AH38">
        <v>139.95099999999999</v>
      </c>
      <c r="AK38">
        <v>65.695999999999998</v>
      </c>
      <c r="AL38">
        <v>67.027000000000001</v>
      </c>
      <c r="AM38">
        <v>140.672</v>
      </c>
      <c r="AN38">
        <v>148.08099999999999</v>
      </c>
      <c r="AO38">
        <v>142.01599999999999</v>
      </c>
    </row>
    <row r="39" spans="1:41" hidden="1">
      <c r="A39">
        <v>37</v>
      </c>
      <c r="B39">
        <v>114.285</v>
      </c>
      <c r="C39" s="1">
        <v>0.11407399999999999</v>
      </c>
      <c r="D39" s="1">
        <v>0.115995</v>
      </c>
      <c r="E39" s="1">
        <v>0.117077</v>
      </c>
      <c r="F39" s="1">
        <v>0.114593</v>
      </c>
      <c r="G39" s="1"/>
      <c r="H39" s="1"/>
      <c r="I39">
        <v>115.756</v>
      </c>
      <c r="J39" s="1">
        <v>0.11521000000000001</v>
      </c>
      <c r="K39" s="1">
        <v>0.124155</v>
      </c>
      <c r="L39" s="1">
        <v>0.115795</v>
      </c>
      <c r="M39" s="1">
        <v>0.13863400000000001</v>
      </c>
      <c r="P39">
        <v>116.221</v>
      </c>
      <c r="Q39" s="1">
        <v>0.115911</v>
      </c>
      <c r="R39" s="1">
        <v>0.116549</v>
      </c>
      <c r="S39" s="1">
        <v>0.11651</v>
      </c>
      <c r="T39" s="1">
        <v>0.115444</v>
      </c>
      <c r="U39" s="1"/>
      <c r="W39">
        <v>64.483999999999995</v>
      </c>
      <c r="X39">
        <v>64.869</v>
      </c>
      <c r="Y39">
        <v>141.92099999999999</v>
      </c>
      <c r="Z39">
        <v>152.32599999999999</v>
      </c>
      <c r="AA39">
        <v>146.16200000000001</v>
      </c>
      <c r="AD39">
        <v>63.793999999999997</v>
      </c>
      <c r="AE39">
        <v>64.039000000000001</v>
      </c>
      <c r="AF39">
        <v>139.84200000000001</v>
      </c>
      <c r="AG39">
        <v>187.64699999999999</v>
      </c>
      <c r="AH39">
        <v>140.19300000000001</v>
      </c>
      <c r="AK39">
        <v>90.402000000000001</v>
      </c>
      <c r="AL39">
        <v>66.638999999999996</v>
      </c>
      <c r="AM39">
        <v>140.61199999999999</v>
      </c>
      <c r="AN39">
        <v>147.87799999999999</v>
      </c>
      <c r="AO39">
        <v>141.95099999999999</v>
      </c>
    </row>
    <row r="40" spans="1:41" hidden="1">
      <c r="A40">
        <v>38</v>
      </c>
      <c r="B40">
        <v>114.33</v>
      </c>
      <c r="C40" s="1">
        <v>0.11458500000000001</v>
      </c>
      <c r="D40" s="1">
        <v>0.11468299999999999</v>
      </c>
      <c r="E40" s="1">
        <v>0.115979</v>
      </c>
      <c r="F40" s="1">
        <v>0.115117</v>
      </c>
      <c r="G40" s="1"/>
      <c r="H40" s="1"/>
      <c r="I40">
        <v>115.533</v>
      </c>
      <c r="J40" s="1">
        <v>0.116739</v>
      </c>
      <c r="K40" s="1">
        <v>0.11666700000000001</v>
      </c>
      <c r="L40" s="1">
        <v>0.116026</v>
      </c>
      <c r="M40" s="1">
        <v>0.116048</v>
      </c>
      <c r="N40" s="1"/>
      <c r="P40">
        <v>116.895</v>
      </c>
      <c r="Q40" s="1">
        <v>0.115495</v>
      </c>
      <c r="R40" s="1">
        <v>0.116178</v>
      </c>
      <c r="S40" s="1">
        <v>0.116133</v>
      </c>
      <c r="T40" s="1">
        <v>0.136214</v>
      </c>
      <c r="U40" s="1"/>
      <c r="W40">
        <v>92.605999999999995</v>
      </c>
      <c r="X40">
        <v>64.159000000000006</v>
      </c>
      <c r="Y40">
        <v>139.59100000000001</v>
      </c>
      <c r="Z40">
        <v>145.18100000000001</v>
      </c>
      <c r="AA40">
        <v>146.40199999999999</v>
      </c>
      <c r="AD40">
        <v>64.290999999999997</v>
      </c>
      <c r="AE40">
        <v>64.168000000000006</v>
      </c>
      <c r="AF40">
        <v>141.852</v>
      </c>
      <c r="AG40">
        <v>187.89</v>
      </c>
      <c r="AH40">
        <v>139.80500000000001</v>
      </c>
      <c r="AK40">
        <v>65.793000000000006</v>
      </c>
      <c r="AL40">
        <v>66.798000000000002</v>
      </c>
      <c r="AM40">
        <v>140.536</v>
      </c>
      <c r="AN40">
        <v>147.58600000000001</v>
      </c>
      <c r="AO40">
        <v>141.88900000000001</v>
      </c>
    </row>
    <row r="41" spans="1:41" hidden="1">
      <c r="A41">
        <v>39</v>
      </c>
      <c r="B41">
        <v>115.66200000000001</v>
      </c>
      <c r="C41" s="1">
        <v>0.114075</v>
      </c>
      <c r="D41" s="1">
        <v>0.116329</v>
      </c>
      <c r="E41" s="1">
        <v>0.14402899999999999</v>
      </c>
      <c r="F41" s="1">
        <v>0.114608</v>
      </c>
      <c r="G41" s="1"/>
      <c r="H41" s="1"/>
      <c r="I41">
        <v>116.791</v>
      </c>
      <c r="J41" s="1">
        <v>0.11577800000000001</v>
      </c>
      <c r="K41" s="1">
        <v>0.115484</v>
      </c>
      <c r="L41" s="1">
        <v>0.115623</v>
      </c>
      <c r="M41" s="1">
        <v>0.11527</v>
      </c>
      <c r="N41" s="1"/>
      <c r="P41">
        <v>115.73</v>
      </c>
      <c r="Q41" s="1">
        <v>0.115874</v>
      </c>
      <c r="R41" s="1">
        <v>0.117768</v>
      </c>
      <c r="S41" s="1">
        <v>0.117104</v>
      </c>
      <c r="T41" s="1">
        <v>0.11508699999999999</v>
      </c>
      <c r="U41" s="1"/>
      <c r="W41">
        <v>65.828000000000003</v>
      </c>
      <c r="X41">
        <v>64.061000000000007</v>
      </c>
      <c r="Y41">
        <v>141.404</v>
      </c>
      <c r="Z41">
        <v>154.22800000000001</v>
      </c>
      <c r="AA41">
        <v>145.51300000000001</v>
      </c>
      <c r="AD41">
        <v>84.114999999999995</v>
      </c>
      <c r="AE41">
        <v>64.971999999999994</v>
      </c>
      <c r="AF41">
        <v>139.74199999999999</v>
      </c>
      <c r="AG41">
        <v>187.815</v>
      </c>
      <c r="AH41">
        <v>140.511</v>
      </c>
      <c r="AK41">
        <v>65.644999999999996</v>
      </c>
      <c r="AL41">
        <v>66.686000000000007</v>
      </c>
      <c r="AM41">
        <v>139.934</v>
      </c>
      <c r="AN41">
        <v>147.93700000000001</v>
      </c>
      <c r="AO41">
        <v>142.333</v>
      </c>
    </row>
    <row r="42" spans="1:41" hidden="1">
      <c r="A42">
        <v>40</v>
      </c>
      <c r="B42">
        <v>114.453</v>
      </c>
      <c r="C42" s="1">
        <v>0.119482</v>
      </c>
      <c r="D42" s="1">
        <v>0.11495</v>
      </c>
      <c r="E42" s="1">
        <v>0.11525000000000001</v>
      </c>
      <c r="F42" s="1">
        <v>0.11459800000000001</v>
      </c>
      <c r="G42" s="1"/>
      <c r="H42" s="1"/>
      <c r="I42">
        <v>116.19499999999999</v>
      </c>
      <c r="J42" s="1">
        <v>0.11532100000000001</v>
      </c>
      <c r="K42" s="1">
        <v>0.115978</v>
      </c>
      <c r="L42" s="1">
        <v>0.11584</v>
      </c>
      <c r="M42" s="1">
        <v>0.115456</v>
      </c>
      <c r="N42" s="1"/>
      <c r="P42">
        <v>117.47499999999999</v>
      </c>
      <c r="Q42" s="1">
        <v>0.11508599999999999</v>
      </c>
      <c r="R42" s="1">
        <v>0.116448</v>
      </c>
      <c r="S42" s="1">
        <v>0.117465</v>
      </c>
      <c r="T42" s="1">
        <v>0.115676</v>
      </c>
      <c r="U42" s="1"/>
      <c r="W42">
        <v>64.117000000000004</v>
      </c>
      <c r="X42">
        <v>63.802</v>
      </c>
      <c r="Y42">
        <v>139.15600000000001</v>
      </c>
      <c r="Z42">
        <v>146.608</v>
      </c>
      <c r="AA42">
        <v>145.26400000000001</v>
      </c>
      <c r="AD42">
        <v>64.703999999999994</v>
      </c>
      <c r="AE42">
        <v>64.784000000000006</v>
      </c>
      <c r="AF42">
        <v>140.57300000000001</v>
      </c>
      <c r="AG42">
        <v>187.923</v>
      </c>
      <c r="AH42">
        <v>140.10499999999999</v>
      </c>
      <c r="AK42">
        <v>65.951999999999998</v>
      </c>
      <c r="AL42">
        <v>66.150999999999996</v>
      </c>
      <c r="AM42">
        <v>140.62299999999999</v>
      </c>
      <c r="AN42">
        <v>147.9</v>
      </c>
      <c r="AO42">
        <v>142.376</v>
      </c>
    </row>
    <row r="43" spans="1:41" hidden="1">
      <c r="A43">
        <v>41</v>
      </c>
      <c r="B43">
        <v>116.375</v>
      </c>
      <c r="C43" s="1">
        <v>0.114814</v>
      </c>
      <c r="D43" s="1">
        <v>0.115421</v>
      </c>
      <c r="E43" s="1">
        <v>0.114939</v>
      </c>
      <c r="F43" s="1">
        <v>0.114969</v>
      </c>
      <c r="G43" s="1"/>
      <c r="I43">
        <v>115.255</v>
      </c>
      <c r="J43" s="1">
        <v>0.11502900000000001</v>
      </c>
      <c r="K43" s="1">
        <v>0.117025</v>
      </c>
      <c r="L43" s="1">
        <v>0.11589099999999999</v>
      </c>
      <c r="M43" s="1">
        <v>0.11705699999999999</v>
      </c>
      <c r="P43">
        <v>115.536</v>
      </c>
      <c r="Q43" s="1">
        <v>0.115745</v>
      </c>
      <c r="R43" s="1">
        <v>0.116841</v>
      </c>
      <c r="S43" s="1">
        <v>0.116192</v>
      </c>
      <c r="T43" s="1">
        <v>0.114893</v>
      </c>
      <c r="W43">
        <v>64.471999999999994</v>
      </c>
      <c r="X43">
        <v>63.750999999999998</v>
      </c>
      <c r="Y43">
        <v>141.59</v>
      </c>
      <c r="Z43">
        <v>152.339</v>
      </c>
      <c r="AA43">
        <v>145.23699999999999</v>
      </c>
      <c r="AD43">
        <v>64.53</v>
      </c>
      <c r="AE43">
        <v>64.094999999999999</v>
      </c>
      <c r="AF43">
        <v>139.297</v>
      </c>
      <c r="AG43">
        <v>188.14</v>
      </c>
      <c r="AH43">
        <v>140.714</v>
      </c>
      <c r="AK43">
        <v>64.942999999999998</v>
      </c>
      <c r="AL43">
        <v>66.513000000000005</v>
      </c>
      <c r="AM43">
        <v>174.239</v>
      </c>
      <c r="AN43">
        <v>148.251</v>
      </c>
      <c r="AO43">
        <v>142.83000000000001</v>
      </c>
    </row>
    <row r="44" spans="1:41" hidden="1">
      <c r="A44">
        <v>42</v>
      </c>
      <c r="B44">
        <v>115.105</v>
      </c>
      <c r="C44" s="1">
        <v>0.113983</v>
      </c>
      <c r="D44" s="1">
        <v>0.114818</v>
      </c>
      <c r="E44" s="1">
        <v>0.114888</v>
      </c>
      <c r="F44" s="1">
        <v>0.116715</v>
      </c>
      <c r="G44" s="1"/>
      <c r="H44" s="1"/>
      <c r="I44">
        <v>115.509</v>
      </c>
      <c r="J44" s="1">
        <v>0.13338900000000001</v>
      </c>
      <c r="K44" s="1">
        <v>0.116051</v>
      </c>
      <c r="L44" s="1">
        <v>0.115644</v>
      </c>
      <c r="M44" s="1">
        <v>0.11779199999999999</v>
      </c>
      <c r="N44" s="1"/>
      <c r="P44">
        <v>116.23099999999999</v>
      </c>
      <c r="Q44" s="1">
        <v>0.115235</v>
      </c>
      <c r="R44" s="1">
        <v>0.11591799999999999</v>
      </c>
      <c r="S44" s="1">
        <v>0.11587699999999999</v>
      </c>
      <c r="T44" s="1">
        <v>0.11472400000000001</v>
      </c>
      <c r="U44" s="1"/>
      <c r="W44">
        <v>65.668999999999997</v>
      </c>
      <c r="X44">
        <v>63.953000000000003</v>
      </c>
      <c r="Y44">
        <v>159.31200000000001</v>
      </c>
      <c r="Z44">
        <v>146.91</v>
      </c>
      <c r="AA44">
        <v>145.21600000000001</v>
      </c>
      <c r="AD44">
        <v>64.204999999999998</v>
      </c>
      <c r="AE44">
        <v>64.144999999999996</v>
      </c>
      <c r="AF44">
        <v>140.476</v>
      </c>
      <c r="AG44">
        <v>187.28299999999999</v>
      </c>
      <c r="AH44">
        <v>141.357</v>
      </c>
      <c r="AK44">
        <v>65.872</v>
      </c>
      <c r="AL44">
        <v>66.147000000000006</v>
      </c>
      <c r="AM44">
        <v>139.99600000000001</v>
      </c>
      <c r="AN44">
        <v>151.24700000000001</v>
      </c>
      <c r="AO44">
        <v>141.89599999999999</v>
      </c>
    </row>
    <row r="45" spans="1:41" hidden="1">
      <c r="A45">
        <v>43</v>
      </c>
      <c r="B45">
        <v>114.877</v>
      </c>
      <c r="C45" s="1">
        <v>0.11537600000000001</v>
      </c>
      <c r="D45" s="1">
        <v>0.115287</v>
      </c>
      <c r="E45" s="1">
        <v>0.115415</v>
      </c>
      <c r="F45" s="1">
        <v>0.140622</v>
      </c>
      <c r="G45" s="1"/>
      <c r="H45" s="1"/>
      <c r="I45">
        <v>115.43</v>
      </c>
      <c r="J45" s="1">
        <v>0.11583300000000001</v>
      </c>
      <c r="K45" s="1">
        <v>0.11695800000000001</v>
      </c>
      <c r="L45" s="1">
        <v>0.11564099999999999</v>
      </c>
      <c r="M45" s="1">
        <v>0.11494600000000001</v>
      </c>
      <c r="N45" s="1"/>
      <c r="P45">
        <v>144.66200000000001</v>
      </c>
      <c r="Q45" s="1">
        <v>0.11559800000000001</v>
      </c>
      <c r="R45" s="1">
        <v>0.116647</v>
      </c>
      <c r="S45" s="1">
        <v>0.116119</v>
      </c>
      <c r="T45" s="1">
        <v>0.115658</v>
      </c>
      <c r="U45" s="1"/>
      <c r="W45">
        <v>64.259</v>
      </c>
      <c r="X45">
        <v>64.516000000000005</v>
      </c>
      <c r="Y45">
        <v>141.35</v>
      </c>
      <c r="Z45">
        <v>152.82400000000001</v>
      </c>
      <c r="AA45">
        <v>145.22499999999999</v>
      </c>
      <c r="AD45">
        <v>63.985999999999997</v>
      </c>
      <c r="AE45">
        <v>92.831000000000003</v>
      </c>
      <c r="AF45">
        <v>139.98599999999999</v>
      </c>
      <c r="AG45">
        <v>188.012</v>
      </c>
      <c r="AH45">
        <v>140.32599999999999</v>
      </c>
      <c r="AK45">
        <v>65.209000000000003</v>
      </c>
      <c r="AL45">
        <v>66.117000000000004</v>
      </c>
      <c r="AM45">
        <v>140.62299999999999</v>
      </c>
      <c r="AN45">
        <v>147.78399999999999</v>
      </c>
      <c r="AO45">
        <v>141.53899999999999</v>
      </c>
    </row>
    <row r="46" spans="1:41" hidden="1">
      <c r="A46">
        <v>44</v>
      </c>
      <c r="B46">
        <v>116.509</v>
      </c>
      <c r="C46" s="1">
        <v>0.114873</v>
      </c>
      <c r="D46" s="1">
        <v>0.115555</v>
      </c>
      <c r="E46" s="1">
        <v>0.116691</v>
      </c>
      <c r="F46" s="1">
        <v>0.117697</v>
      </c>
      <c r="G46" s="1"/>
      <c r="H46" s="1"/>
      <c r="I46">
        <v>115.236</v>
      </c>
      <c r="J46" s="1">
        <v>0.11996800000000001</v>
      </c>
      <c r="K46" s="1">
        <v>0.115691</v>
      </c>
      <c r="L46" s="1">
        <v>0.115456</v>
      </c>
      <c r="M46" s="1">
        <v>0.114831</v>
      </c>
      <c r="N46" s="1"/>
      <c r="P46">
        <v>116.19799999999999</v>
      </c>
      <c r="Q46" s="1">
        <v>0.115677</v>
      </c>
      <c r="R46" s="1">
        <v>0.116602</v>
      </c>
      <c r="S46" s="1">
        <v>0.116171</v>
      </c>
      <c r="T46" s="1">
        <v>0.116019</v>
      </c>
      <c r="U46" s="1"/>
      <c r="W46">
        <v>64.13</v>
      </c>
      <c r="X46">
        <v>64.722999999999999</v>
      </c>
      <c r="Y46">
        <v>140.77500000000001</v>
      </c>
      <c r="Z46">
        <v>145.95500000000001</v>
      </c>
      <c r="AA46">
        <v>148.727</v>
      </c>
      <c r="AD46">
        <v>64.555999999999997</v>
      </c>
      <c r="AE46">
        <v>64.239000000000004</v>
      </c>
      <c r="AF46">
        <v>142.447</v>
      </c>
      <c r="AG46">
        <v>187.52</v>
      </c>
      <c r="AH46">
        <v>140.42699999999999</v>
      </c>
      <c r="AK46">
        <v>65.81</v>
      </c>
      <c r="AL46">
        <v>66.188000000000002</v>
      </c>
      <c r="AM46">
        <v>140.43199999999999</v>
      </c>
      <c r="AN46">
        <v>147.68199999999999</v>
      </c>
      <c r="AO46">
        <v>142.25800000000001</v>
      </c>
    </row>
    <row r="47" spans="1:41" hidden="1">
      <c r="A47">
        <v>45</v>
      </c>
      <c r="B47">
        <v>116.922</v>
      </c>
      <c r="C47" s="1">
        <v>0.11519600000000001</v>
      </c>
      <c r="D47" s="1">
        <v>0.11622200000000001</v>
      </c>
      <c r="E47" s="1">
        <v>0.11518399999999999</v>
      </c>
      <c r="F47" s="1">
        <v>0.114316</v>
      </c>
      <c r="G47" s="1"/>
      <c r="H47" s="1"/>
      <c r="I47">
        <v>116.02800000000001</v>
      </c>
      <c r="J47" s="1">
        <v>0.115775</v>
      </c>
      <c r="K47" s="1">
        <v>0.115759</v>
      </c>
      <c r="L47" s="1">
        <v>0.115462</v>
      </c>
      <c r="M47" s="1">
        <v>0.115316</v>
      </c>
      <c r="N47" s="1"/>
      <c r="P47">
        <v>115.982</v>
      </c>
      <c r="Q47" s="1">
        <v>0.115539</v>
      </c>
      <c r="R47" s="1">
        <v>0.12052599999999999</v>
      </c>
      <c r="S47" s="1">
        <v>0.116345</v>
      </c>
      <c r="T47" s="1">
        <v>0.11505</v>
      </c>
      <c r="U47" s="1"/>
      <c r="W47">
        <v>65.418000000000006</v>
      </c>
      <c r="X47">
        <v>64.295000000000002</v>
      </c>
      <c r="Y47">
        <v>140.9</v>
      </c>
      <c r="Z47">
        <v>152.33799999999999</v>
      </c>
      <c r="AA47">
        <v>147.54300000000001</v>
      </c>
      <c r="AD47">
        <v>63.963999999999999</v>
      </c>
      <c r="AE47">
        <v>64.683000000000007</v>
      </c>
      <c r="AF47">
        <v>139.261</v>
      </c>
      <c r="AG47">
        <v>188.13499999999999</v>
      </c>
      <c r="AH47">
        <v>140.38499999999999</v>
      </c>
      <c r="AK47">
        <v>65.37</v>
      </c>
      <c r="AL47">
        <v>66.64</v>
      </c>
      <c r="AM47">
        <v>140.74199999999999</v>
      </c>
      <c r="AN47">
        <v>147.87200000000001</v>
      </c>
      <c r="AO47">
        <v>167.88499999999999</v>
      </c>
    </row>
    <row r="48" spans="1:41" hidden="1">
      <c r="A48">
        <v>46</v>
      </c>
      <c r="B48">
        <v>114.88</v>
      </c>
      <c r="C48" s="1">
        <v>0.11593299999999999</v>
      </c>
      <c r="D48" s="1">
        <v>0.115135</v>
      </c>
      <c r="E48" s="1">
        <v>0.11487</v>
      </c>
      <c r="F48" s="1">
        <v>0.114647</v>
      </c>
      <c r="G48" s="1"/>
      <c r="H48" s="1"/>
      <c r="I48">
        <v>115.639</v>
      </c>
      <c r="J48" s="1">
        <v>0.115956</v>
      </c>
      <c r="K48" s="1">
        <v>0.13467000000000001</v>
      </c>
      <c r="L48" s="1">
        <v>0.115761</v>
      </c>
      <c r="M48" s="1">
        <v>0.116576</v>
      </c>
      <c r="N48" s="1"/>
      <c r="P48">
        <v>115.319</v>
      </c>
      <c r="Q48" s="1">
        <v>0.114983</v>
      </c>
      <c r="R48" s="1">
        <v>0.116245</v>
      </c>
      <c r="S48" s="1">
        <v>0.116732</v>
      </c>
      <c r="T48" s="1">
        <v>0.11526500000000001</v>
      </c>
      <c r="U48" s="1"/>
      <c r="W48">
        <v>66.366</v>
      </c>
      <c r="X48">
        <v>63.994999999999997</v>
      </c>
      <c r="Y48">
        <v>139.94300000000001</v>
      </c>
      <c r="Z48">
        <v>169.792</v>
      </c>
      <c r="AA48">
        <v>147.035</v>
      </c>
      <c r="AD48">
        <v>64.317999999999998</v>
      </c>
      <c r="AE48">
        <v>64.186000000000007</v>
      </c>
      <c r="AF48">
        <v>140.43</v>
      </c>
      <c r="AG48">
        <v>188.28299999999999</v>
      </c>
      <c r="AH48">
        <v>140.43199999999999</v>
      </c>
      <c r="AK48">
        <v>66.641000000000005</v>
      </c>
      <c r="AL48">
        <v>66.381</v>
      </c>
      <c r="AM48">
        <v>140.21899999999999</v>
      </c>
      <c r="AN48">
        <v>148.31800000000001</v>
      </c>
      <c r="AO48">
        <v>142.77799999999999</v>
      </c>
    </row>
    <row r="49" spans="1:41" hidden="1">
      <c r="A49">
        <v>47</v>
      </c>
      <c r="B49">
        <v>115.49</v>
      </c>
      <c r="C49" s="1">
        <v>0.11537500000000001</v>
      </c>
      <c r="D49" s="1">
        <v>0.11498999999999999</v>
      </c>
      <c r="E49" s="1">
        <v>0.11494799999999999</v>
      </c>
      <c r="F49" s="1">
        <v>0.114634</v>
      </c>
      <c r="G49" s="1"/>
      <c r="H49" s="1"/>
      <c r="I49">
        <v>115.422</v>
      </c>
      <c r="J49" s="1">
        <v>0.11548</v>
      </c>
      <c r="K49" s="1">
        <v>0.11570800000000001</v>
      </c>
      <c r="L49" s="1">
        <v>0.11666700000000001</v>
      </c>
      <c r="M49" s="1">
        <v>0.11519799999999999</v>
      </c>
      <c r="N49" s="1"/>
      <c r="P49">
        <v>115.598</v>
      </c>
      <c r="Q49" s="1">
        <v>0.140955</v>
      </c>
      <c r="R49" s="1">
        <v>0.116657</v>
      </c>
      <c r="S49" s="1">
        <v>0.116393</v>
      </c>
      <c r="T49" s="1">
        <v>0.11482000000000001</v>
      </c>
      <c r="U49" s="1"/>
      <c r="W49">
        <v>65.462000000000003</v>
      </c>
      <c r="X49">
        <v>63.936999999999998</v>
      </c>
      <c r="Y49">
        <v>141.75800000000001</v>
      </c>
      <c r="Z49">
        <v>152.95500000000001</v>
      </c>
      <c r="AA49">
        <v>147.142</v>
      </c>
      <c r="AD49">
        <v>63.936</v>
      </c>
      <c r="AE49">
        <v>64.158000000000001</v>
      </c>
      <c r="AF49">
        <v>157.57900000000001</v>
      </c>
      <c r="AG49">
        <v>188.08799999999999</v>
      </c>
      <c r="AH49">
        <v>140.16900000000001</v>
      </c>
      <c r="AK49">
        <v>65.513000000000005</v>
      </c>
      <c r="AL49">
        <v>66.296999999999997</v>
      </c>
      <c r="AM49">
        <v>140.22900000000001</v>
      </c>
      <c r="AN49">
        <v>150.49</v>
      </c>
      <c r="AO49">
        <v>142.56299999999999</v>
      </c>
    </row>
    <row r="50" spans="1:41" hidden="1">
      <c r="A50">
        <v>48</v>
      </c>
      <c r="B50">
        <v>117.473</v>
      </c>
      <c r="C50" s="1">
        <v>0.13681199999999999</v>
      </c>
      <c r="D50" s="1">
        <v>0.11493100000000001</v>
      </c>
      <c r="E50" s="1">
        <v>0.11522</v>
      </c>
      <c r="F50" s="1">
        <v>0.11619599999999999</v>
      </c>
      <c r="G50" s="1"/>
      <c r="H50" s="1"/>
      <c r="I50">
        <v>115.366</v>
      </c>
      <c r="J50" s="1">
        <v>0.11537600000000001</v>
      </c>
      <c r="K50" s="1">
        <v>0.11612500000000001</v>
      </c>
      <c r="L50" s="1">
        <v>0.116449</v>
      </c>
      <c r="M50" s="1">
        <v>0.114978</v>
      </c>
      <c r="N50" s="1"/>
      <c r="P50">
        <v>115.233</v>
      </c>
      <c r="Q50" s="1">
        <v>0.11597200000000001</v>
      </c>
      <c r="R50" s="1">
        <v>0.115924</v>
      </c>
      <c r="S50" s="1">
        <v>0.11600100000000001</v>
      </c>
      <c r="T50" s="1">
        <v>0.115105</v>
      </c>
      <c r="U50" s="1"/>
      <c r="W50">
        <v>66.957999999999998</v>
      </c>
      <c r="X50">
        <v>64.697000000000003</v>
      </c>
      <c r="Y50">
        <v>144.10300000000001</v>
      </c>
      <c r="Z50">
        <v>146.584</v>
      </c>
      <c r="AA50">
        <v>145.47399999999999</v>
      </c>
      <c r="AD50">
        <v>64.138999999999996</v>
      </c>
      <c r="AE50">
        <v>64.096000000000004</v>
      </c>
      <c r="AF50">
        <v>141.452</v>
      </c>
      <c r="AG50">
        <v>187.17</v>
      </c>
      <c r="AH50">
        <v>140.11000000000001</v>
      </c>
      <c r="AK50">
        <v>65.86</v>
      </c>
      <c r="AL50">
        <v>66.381</v>
      </c>
      <c r="AM50">
        <v>140.28100000000001</v>
      </c>
      <c r="AN50">
        <v>148.98400000000001</v>
      </c>
      <c r="AO50">
        <v>142.41900000000001</v>
      </c>
    </row>
    <row r="51" spans="1:41" hidden="1">
      <c r="A51">
        <v>49</v>
      </c>
      <c r="B51">
        <v>115.008</v>
      </c>
      <c r="C51" s="1">
        <v>0.11534899999999999</v>
      </c>
      <c r="D51" s="1">
        <v>0.11550100000000001</v>
      </c>
      <c r="E51" s="1">
        <v>0.11598799999999999</v>
      </c>
      <c r="F51" s="1">
        <v>0.11597399999999999</v>
      </c>
      <c r="G51" s="1"/>
      <c r="H51" s="1"/>
      <c r="I51">
        <v>117.93600000000001</v>
      </c>
      <c r="J51" s="1">
        <v>0.11543299999999999</v>
      </c>
      <c r="K51" s="1">
        <v>0.117012</v>
      </c>
      <c r="L51" s="1">
        <v>0.11622300000000001</v>
      </c>
      <c r="M51" s="1">
        <v>0.115187</v>
      </c>
      <c r="N51" s="1"/>
      <c r="P51">
        <v>117.249</v>
      </c>
      <c r="Q51" s="1">
        <v>0.11852600000000001</v>
      </c>
      <c r="R51" s="1">
        <v>0.11638999999999999</v>
      </c>
      <c r="S51" s="1">
        <v>0.117298</v>
      </c>
      <c r="T51" s="1">
        <v>0.13628499999999999</v>
      </c>
      <c r="U51" s="1"/>
      <c r="W51">
        <v>66.144000000000005</v>
      </c>
      <c r="X51">
        <v>64.054000000000002</v>
      </c>
      <c r="Y51">
        <v>141.54900000000001</v>
      </c>
      <c r="Z51">
        <v>153.018</v>
      </c>
      <c r="AA51">
        <v>145.18299999999999</v>
      </c>
      <c r="AD51">
        <v>65.412000000000006</v>
      </c>
      <c r="AE51">
        <v>64.540000000000006</v>
      </c>
      <c r="AF51">
        <v>140.244</v>
      </c>
      <c r="AG51">
        <v>187.75899999999999</v>
      </c>
      <c r="AH51">
        <v>141.05600000000001</v>
      </c>
      <c r="AK51">
        <v>65.260999999999996</v>
      </c>
      <c r="AL51">
        <v>66.06</v>
      </c>
      <c r="AM51">
        <v>141.852</v>
      </c>
      <c r="AN51">
        <v>148.45400000000001</v>
      </c>
      <c r="AO51">
        <v>141.76499999999999</v>
      </c>
    </row>
    <row r="52" spans="1:41" hidden="1">
      <c r="A52">
        <v>50</v>
      </c>
      <c r="B52">
        <v>114.965</v>
      </c>
      <c r="C52" s="1">
        <v>0.115885</v>
      </c>
      <c r="D52" s="1">
        <v>0.115436</v>
      </c>
      <c r="E52" s="1">
        <v>0.116342</v>
      </c>
      <c r="F52" s="1">
        <v>0.11502999999999999</v>
      </c>
      <c r="G52" s="1"/>
      <c r="H52" s="1"/>
      <c r="I52">
        <v>115.633</v>
      </c>
      <c r="J52" s="1">
        <v>0.116586</v>
      </c>
      <c r="K52" s="1">
        <v>0.116134</v>
      </c>
      <c r="L52" s="1">
        <v>0.141545</v>
      </c>
      <c r="M52" s="1">
        <v>0.115241</v>
      </c>
      <c r="N52" s="1"/>
      <c r="P52">
        <v>120.94199999999999</v>
      </c>
      <c r="Q52" s="1">
        <v>0.116754</v>
      </c>
      <c r="R52" s="1">
        <v>0.115927</v>
      </c>
      <c r="S52" s="1">
        <v>0.116491</v>
      </c>
      <c r="T52" s="1">
        <v>0.115796</v>
      </c>
      <c r="U52" s="1"/>
      <c r="W52">
        <v>64.450999999999993</v>
      </c>
      <c r="X52">
        <v>63.802999999999997</v>
      </c>
      <c r="Y52">
        <v>140.56899999999999</v>
      </c>
      <c r="Z52">
        <v>145.523</v>
      </c>
      <c r="AA52">
        <v>144.97900000000001</v>
      </c>
      <c r="AD52">
        <v>64.156999999999996</v>
      </c>
      <c r="AE52">
        <v>64.804000000000002</v>
      </c>
      <c r="AF52">
        <v>140.97300000000001</v>
      </c>
      <c r="AG52">
        <v>187.84399999999999</v>
      </c>
      <c r="AH52">
        <v>140.44499999999999</v>
      </c>
      <c r="AK52">
        <v>65.924999999999997</v>
      </c>
      <c r="AL52">
        <v>86.932000000000002</v>
      </c>
      <c r="AM52">
        <v>140.66200000000001</v>
      </c>
      <c r="AN52">
        <v>148.36699999999999</v>
      </c>
      <c r="AO52">
        <v>142.358</v>
      </c>
    </row>
    <row r="53" spans="1:41" hidden="1">
      <c r="A53">
        <v>51</v>
      </c>
      <c r="B53">
        <v>115.458</v>
      </c>
      <c r="C53" s="1">
        <v>0.11479399999999999</v>
      </c>
      <c r="D53" s="1">
        <v>0.11658399999999999</v>
      </c>
      <c r="E53" s="1">
        <v>0.115743</v>
      </c>
      <c r="F53" s="1">
        <v>0.114986</v>
      </c>
      <c r="G53" s="1"/>
      <c r="I53">
        <v>116.751</v>
      </c>
      <c r="J53" s="1">
        <v>0.115402</v>
      </c>
      <c r="K53" s="1">
        <v>0.115879</v>
      </c>
      <c r="L53" s="1">
        <v>0.115706</v>
      </c>
      <c r="M53" s="1">
        <v>0.116257</v>
      </c>
      <c r="N53" s="1"/>
      <c r="P53">
        <v>116.03700000000001</v>
      </c>
      <c r="Q53" s="1">
        <v>0.1154</v>
      </c>
      <c r="R53" s="1">
        <v>0.14982100000000001</v>
      </c>
      <c r="S53" s="1">
        <v>0.11770700000000001</v>
      </c>
      <c r="T53" s="1">
        <v>0.115484</v>
      </c>
      <c r="U53" s="1"/>
      <c r="W53">
        <v>96.983000000000004</v>
      </c>
      <c r="X53">
        <v>63.54</v>
      </c>
      <c r="Y53">
        <v>142.90199999999999</v>
      </c>
      <c r="Z53">
        <v>151.76400000000001</v>
      </c>
      <c r="AA53">
        <v>146.71100000000001</v>
      </c>
      <c r="AD53">
        <v>63.814</v>
      </c>
      <c r="AE53">
        <v>64.222999999999999</v>
      </c>
      <c r="AF53">
        <v>154.96700000000001</v>
      </c>
      <c r="AG53">
        <v>187.63200000000001</v>
      </c>
      <c r="AH53">
        <v>140.553</v>
      </c>
      <c r="AK53">
        <v>65.900000000000006</v>
      </c>
      <c r="AL53">
        <v>66.117000000000004</v>
      </c>
      <c r="AM53">
        <v>140.71600000000001</v>
      </c>
      <c r="AN53">
        <v>147.68299999999999</v>
      </c>
      <c r="AO53">
        <v>141.739</v>
      </c>
    </row>
    <row r="54" spans="1:41" hidden="1">
      <c r="A54">
        <v>52</v>
      </c>
      <c r="B54">
        <v>115.446</v>
      </c>
      <c r="C54" s="1">
        <v>0.11576500000000001</v>
      </c>
      <c r="D54" s="1">
        <v>0.142012</v>
      </c>
      <c r="E54" s="1">
        <v>0.115272</v>
      </c>
      <c r="F54" s="1">
        <v>0.114882</v>
      </c>
      <c r="G54" s="1"/>
      <c r="H54" s="1"/>
      <c r="I54">
        <v>116.505</v>
      </c>
      <c r="J54" s="1">
        <v>0.115379</v>
      </c>
      <c r="K54" s="1">
        <v>0.115963</v>
      </c>
      <c r="L54" s="1">
        <v>0.11555799999999999</v>
      </c>
      <c r="M54" s="1">
        <v>0.116317</v>
      </c>
      <c r="N54" s="1"/>
      <c r="P54">
        <v>115.64</v>
      </c>
      <c r="Q54" s="1">
        <v>0.116201</v>
      </c>
      <c r="R54" s="1">
        <v>0.116601</v>
      </c>
      <c r="S54" s="1">
        <v>0.11648699999999999</v>
      </c>
      <c r="T54" s="1">
        <v>0.115089</v>
      </c>
      <c r="U54" s="1"/>
      <c r="W54">
        <v>65.412000000000006</v>
      </c>
      <c r="X54">
        <v>64.843999999999994</v>
      </c>
      <c r="Y54">
        <v>139.672</v>
      </c>
      <c r="Z54">
        <v>145.19800000000001</v>
      </c>
      <c r="AA54">
        <v>146.423</v>
      </c>
      <c r="AD54">
        <v>64.197999999999993</v>
      </c>
      <c r="AE54">
        <v>64.290000000000006</v>
      </c>
      <c r="AF54">
        <v>140.88</v>
      </c>
      <c r="AG54">
        <v>188.19900000000001</v>
      </c>
      <c r="AH54">
        <v>139.81700000000001</v>
      </c>
      <c r="AK54">
        <v>65.924000000000007</v>
      </c>
      <c r="AL54">
        <v>66.144000000000005</v>
      </c>
      <c r="AM54">
        <v>140.86500000000001</v>
      </c>
      <c r="AN54">
        <v>148.31399999999999</v>
      </c>
      <c r="AO54">
        <v>143.012</v>
      </c>
    </row>
    <row r="55" spans="1:41" hidden="1">
      <c r="A55">
        <v>53</v>
      </c>
      <c r="B55">
        <v>116.54300000000001</v>
      </c>
      <c r="C55" s="1">
        <v>0.115464</v>
      </c>
      <c r="D55" s="1">
        <v>0.115337</v>
      </c>
      <c r="E55" s="1">
        <v>0.11665300000000001</v>
      </c>
      <c r="F55" s="1">
        <v>0.116646</v>
      </c>
      <c r="G55" s="1"/>
      <c r="I55">
        <v>115.548</v>
      </c>
      <c r="J55" s="1">
        <v>0.11540300000000001</v>
      </c>
      <c r="K55" s="1">
        <v>0.115606</v>
      </c>
      <c r="L55" s="1">
        <v>0.116692</v>
      </c>
      <c r="M55" s="1">
        <v>0.115258</v>
      </c>
      <c r="N55" s="1"/>
      <c r="P55">
        <v>115.694</v>
      </c>
      <c r="Q55" s="1">
        <v>0.11594500000000001</v>
      </c>
      <c r="R55" s="1">
        <v>0.11655600000000001</v>
      </c>
      <c r="S55" s="1">
        <v>0.11608</v>
      </c>
      <c r="T55" s="1">
        <v>0.11519799999999999</v>
      </c>
      <c r="U55" s="1"/>
      <c r="W55">
        <v>65.106999999999999</v>
      </c>
      <c r="X55">
        <v>64.070999999999998</v>
      </c>
      <c r="Y55">
        <v>140.57300000000001</v>
      </c>
      <c r="Z55">
        <v>152.32900000000001</v>
      </c>
      <c r="AA55">
        <v>146.06700000000001</v>
      </c>
      <c r="AD55">
        <v>63.828000000000003</v>
      </c>
      <c r="AE55">
        <v>64.513999999999996</v>
      </c>
      <c r="AF55">
        <v>139.69999999999999</v>
      </c>
      <c r="AG55">
        <v>188.06700000000001</v>
      </c>
      <c r="AH55">
        <v>140.053</v>
      </c>
      <c r="AK55">
        <v>65.638999999999996</v>
      </c>
      <c r="AL55">
        <v>66.903000000000006</v>
      </c>
      <c r="AM55">
        <v>140.13200000000001</v>
      </c>
      <c r="AN55">
        <v>150.215</v>
      </c>
      <c r="AO55">
        <v>143.208</v>
      </c>
    </row>
    <row r="56" spans="1:41" hidden="1">
      <c r="A56">
        <v>54</v>
      </c>
      <c r="B56">
        <v>115.90900000000001</v>
      </c>
      <c r="C56" s="1">
        <v>0.16103500000000001</v>
      </c>
      <c r="D56" s="1">
        <v>0.129055</v>
      </c>
      <c r="E56" s="1">
        <v>0.121395</v>
      </c>
      <c r="F56" s="1">
        <v>0.118244</v>
      </c>
      <c r="G56" s="1"/>
      <c r="H56" s="1"/>
      <c r="I56">
        <v>114.998</v>
      </c>
      <c r="J56" s="1">
        <v>0.11464000000000001</v>
      </c>
      <c r="K56" s="1">
        <v>0.115577</v>
      </c>
      <c r="L56" s="1">
        <v>0.116837</v>
      </c>
      <c r="M56" s="1">
        <v>0.140795</v>
      </c>
      <c r="N56" s="1"/>
      <c r="P56">
        <v>116.149</v>
      </c>
      <c r="Q56" s="1">
        <v>0.115519</v>
      </c>
      <c r="R56" s="1">
        <v>0.115855</v>
      </c>
      <c r="S56" s="1">
        <v>0.11598</v>
      </c>
      <c r="T56" s="1">
        <v>0.115853</v>
      </c>
      <c r="U56" s="1"/>
      <c r="W56">
        <v>67.555000000000007</v>
      </c>
      <c r="X56">
        <v>64.724999999999994</v>
      </c>
      <c r="Y56">
        <v>142.142</v>
      </c>
      <c r="Z56">
        <v>146.642</v>
      </c>
      <c r="AA56">
        <v>145.935</v>
      </c>
      <c r="AD56">
        <v>64.09</v>
      </c>
      <c r="AE56">
        <v>64.570999999999998</v>
      </c>
      <c r="AF56">
        <v>140.732</v>
      </c>
      <c r="AG56">
        <v>187.33799999999999</v>
      </c>
      <c r="AH56">
        <v>142.458</v>
      </c>
      <c r="AK56">
        <v>67.725999999999999</v>
      </c>
      <c r="AL56">
        <v>66.296999999999997</v>
      </c>
      <c r="AM56">
        <v>139.702</v>
      </c>
      <c r="AN56">
        <v>177.08600000000001</v>
      </c>
      <c r="AO56">
        <v>144.44300000000001</v>
      </c>
    </row>
    <row r="57" spans="1:41" hidden="1">
      <c r="A57">
        <v>55</v>
      </c>
      <c r="B57">
        <v>117.98699999999999</v>
      </c>
      <c r="C57" s="1">
        <v>0.11591</v>
      </c>
      <c r="D57" s="1">
        <v>0.11593299999999999</v>
      </c>
      <c r="E57" s="1">
        <v>0.11830400000000001</v>
      </c>
      <c r="F57" s="1">
        <v>0.117073</v>
      </c>
      <c r="G57" s="1"/>
      <c r="H57" s="1"/>
      <c r="I57">
        <v>119.751</v>
      </c>
      <c r="J57" s="1">
        <v>0.11607099999999999</v>
      </c>
      <c r="K57" s="1">
        <v>0.118072</v>
      </c>
      <c r="L57" s="1">
        <v>0.115934</v>
      </c>
      <c r="M57" s="1">
        <v>0.11619699999999999</v>
      </c>
      <c r="N57" s="1"/>
      <c r="P57">
        <v>116.125</v>
      </c>
      <c r="Q57" s="1">
        <v>0.11669499999999999</v>
      </c>
      <c r="R57" s="1">
        <v>0.116179</v>
      </c>
      <c r="S57" s="1">
        <v>0.13533800000000001</v>
      </c>
      <c r="T57" s="1">
        <v>0.11586200000000001</v>
      </c>
      <c r="U57" s="1"/>
      <c r="W57">
        <v>69.828999999999994</v>
      </c>
      <c r="X57">
        <v>67.965999999999994</v>
      </c>
      <c r="Y57">
        <v>211.75700000000001</v>
      </c>
      <c r="Z57">
        <v>161.94300000000001</v>
      </c>
      <c r="AA57">
        <v>152.18700000000001</v>
      </c>
      <c r="AD57">
        <v>64.192999999999998</v>
      </c>
      <c r="AE57">
        <v>64.509</v>
      </c>
      <c r="AF57">
        <v>139.13200000000001</v>
      </c>
      <c r="AG57">
        <v>212.73400000000001</v>
      </c>
      <c r="AH57">
        <v>145.53899999999999</v>
      </c>
      <c r="AK57">
        <v>65.313999999999993</v>
      </c>
      <c r="AL57">
        <v>66.266999999999996</v>
      </c>
      <c r="AM57">
        <v>140.27199999999999</v>
      </c>
      <c r="AN57">
        <v>148.374</v>
      </c>
      <c r="AO57">
        <v>142.77099999999999</v>
      </c>
    </row>
    <row r="58" spans="1:41" hidden="1">
      <c r="A58">
        <v>56</v>
      </c>
      <c r="B58">
        <v>117.533</v>
      </c>
      <c r="C58" s="1">
        <v>0.116186</v>
      </c>
      <c r="D58" s="1">
        <v>0.13847599999999999</v>
      </c>
      <c r="E58" s="1">
        <v>0.118114</v>
      </c>
      <c r="F58" s="1">
        <v>0.11629200000000001</v>
      </c>
      <c r="G58" s="1"/>
      <c r="H58" s="1"/>
      <c r="I58">
        <v>115.46599999999999</v>
      </c>
      <c r="J58" s="1">
        <v>0.116228</v>
      </c>
      <c r="K58" s="1">
        <v>0.11587500000000001</v>
      </c>
      <c r="L58" s="1">
        <v>0.115674</v>
      </c>
      <c r="M58" s="1">
        <v>0.11534</v>
      </c>
      <c r="N58" s="1"/>
      <c r="P58">
        <v>115.70399999999999</v>
      </c>
      <c r="Q58" s="1">
        <v>0.115563</v>
      </c>
      <c r="R58" s="1">
        <v>0.11602999999999999</v>
      </c>
      <c r="S58" s="1">
        <v>0.117664</v>
      </c>
      <c r="T58" s="1">
        <v>0.115721</v>
      </c>
      <c r="U58" s="1"/>
      <c r="W58">
        <v>67.257000000000005</v>
      </c>
      <c r="X58">
        <v>67.215999999999994</v>
      </c>
      <c r="Y58">
        <v>148.96700000000001</v>
      </c>
      <c r="Z58">
        <v>228.22</v>
      </c>
      <c r="AA58">
        <v>146.55099999999999</v>
      </c>
      <c r="AD58">
        <v>64.613</v>
      </c>
      <c r="AE58">
        <v>65.224999999999994</v>
      </c>
      <c r="AF58">
        <v>141.393</v>
      </c>
      <c r="AG58">
        <v>189.08</v>
      </c>
      <c r="AH58">
        <v>143.18799999999999</v>
      </c>
      <c r="AK58">
        <v>65.89</v>
      </c>
      <c r="AL58">
        <v>66.084000000000003</v>
      </c>
      <c r="AM58">
        <v>140.43799999999999</v>
      </c>
      <c r="AN58">
        <v>147.941</v>
      </c>
      <c r="AO58">
        <v>142.01599999999999</v>
      </c>
    </row>
    <row r="59" spans="1:41" hidden="1">
      <c r="A59">
        <v>57</v>
      </c>
      <c r="B59">
        <v>116.355</v>
      </c>
      <c r="C59" s="1">
        <v>0.117442</v>
      </c>
      <c r="D59" s="1">
        <v>0.124858</v>
      </c>
      <c r="E59" s="1">
        <v>0.116284</v>
      </c>
      <c r="F59" s="1">
        <v>0.11637500000000001</v>
      </c>
      <c r="G59" s="1"/>
      <c r="H59" s="1"/>
      <c r="I59">
        <v>116.77200000000001</v>
      </c>
      <c r="J59" s="1">
        <v>0.115745</v>
      </c>
      <c r="K59" s="1">
        <v>0.11587</v>
      </c>
      <c r="L59" s="1">
        <v>0.116005</v>
      </c>
      <c r="M59" s="1">
        <v>0.115773</v>
      </c>
      <c r="P59">
        <v>115.833</v>
      </c>
      <c r="Q59" s="1">
        <v>0.118812</v>
      </c>
      <c r="R59" s="1">
        <v>0.116989</v>
      </c>
      <c r="S59" s="1">
        <v>0.116756</v>
      </c>
      <c r="T59" s="1">
        <v>0.115325</v>
      </c>
      <c r="W59">
        <v>64.527000000000001</v>
      </c>
      <c r="X59">
        <v>64.245999999999995</v>
      </c>
      <c r="Y59">
        <v>140.489</v>
      </c>
      <c r="Z59">
        <v>152.94800000000001</v>
      </c>
      <c r="AA59">
        <v>145.53200000000001</v>
      </c>
      <c r="AD59">
        <v>64.322999999999993</v>
      </c>
      <c r="AE59">
        <v>64.269000000000005</v>
      </c>
      <c r="AF59">
        <v>139.929</v>
      </c>
      <c r="AG59">
        <v>193.37299999999999</v>
      </c>
      <c r="AH59">
        <v>141.995</v>
      </c>
      <c r="AK59">
        <v>65.058000000000007</v>
      </c>
      <c r="AL59">
        <v>66.587999999999994</v>
      </c>
      <c r="AM59">
        <v>141.80199999999999</v>
      </c>
      <c r="AN59">
        <v>154.60599999999999</v>
      </c>
      <c r="AO59">
        <v>141.62799999999999</v>
      </c>
    </row>
    <row r="60" spans="1:41" hidden="1">
      <c r="A60">
        <v>58</v>
      </c>
      <c r="B60">
        <v>117.337</v>
      </c>
      <c r="C60" s="1">
        <v>0.117066</v>
      </c>
      <c r="D60" s="1">
        <v>0.11629399999999999</v>
      </c>
      <c r="E60" s="1">
        <v>0.115622</v>
      </c>
      <c r="F60" s="1">
        <v>0.116064</v>
      </c>
      <c r="G60" s="1"/>
      <c r="H60" s="1"/>
      <c r="I60">
        <v>115.855</v>
      </c>
      <c r="J60" s="1">
        <v>0.116284</v>
      </c>
      <c r="K60" s="1">
        <v>0.115924</v>
      </c>
      <c r="L60" s="1">
        <v>0.115621</v>
      </c>
      <c r="M60" s="1">
        <v>0.11583499999999999</v>
      </c>
      <c r="N60" s="1"/>
      <c r="P60">
        <v>116.511</v>
      </c>
      <c r="Q60" s="1">
        <v>0.116049</v>
      </c>
      <c r="R60" s="1">
        <v>0.116407</v>
      </c>
      <c r="S60" s="1">
        <v>0.116933</v>
      </c>
      <c r="T60" s="1">
        <v>0.11609700000000001</v>
      </c>
      <c r="U60" s="1"/>
      <c r="W60">
        <v>64.811999999999998</v>
      </c>
      <c r="X60">
        <v>63.875</v>
      </c>
      <c r="Y60">
        <v>138.886</v>
      </c>
      <c r="Z60">
        <v>147.36500000000001</v>
      </c>
      <c r="AA60">
        <v>145.20400000000001</v>
      </c>
      <c r="AD60">
        <v>64.346000000000004</v>
      </c>
      <c r="AE60">
        <v>64.921000000000006</v>
      </c>
      <c r="AF60">
        <v>142.76599999999999</v>
      </c>
      <c r="AG60">
        <v>191.047</v>
      </c>
      <c r="AH60">
        <v>143.24199999999999</v>
      </c>
      <c r="AK60">
        <v>65.600999999999999</v>
      </c>
      <c r="AL60">
        <v>66.334000000000003</v>
      </c>
      <c r="AM60">
        <v>140.69900000000001</v>
      </c>
      <c r="AN60">
        <v>147.86000000000001</v>
      </c>
      <c r="AO60">
        <v>158.29400000000001</v>
      </c>
    </row>
    <row r="61" spans="1:41" hidden="1">
      <c r="A61">
        <v>59</v>
      </c>
      <c r="B61">
        <v>115.667</v>
      </c>
      <c r="C61" s="1">
        <v>0.115109</v>
      </c>
      <c r="D61" s="1">
        <v>0.11594</v>
      </c>
      <c r="E61" s="1">
        <v>0.11754000000000001</v>
      </c>
      <c r="F61" s="1">
        <v>0.118612</v>
      </c>
      <c r="G61" s="1"/>
      <c r="H61" s="1"/>
      <c r="I61">
        <v>115.61799999999999</v>
      </c>
      <c r="J61" s="1">
        <v>0.13819899999999999</v>
      </c>
      <c r="K61" s="1">
        <v>0.115992</v>
      </c>
      <c r="L61" s="1">
        <v>0.116715</v>
      </c>
      <c r="M61" s="1">
        <v>0.11534899999999999</v>
      </c>
      <c r="N61" s="1"/>
      <c r="P61">
        <v>116.72</v>
      </c>
      <c r="Q61" s="1">
        <v>0.115993</v>
      </c>
      <c r="R61" s="1">
        <v>0.1164</v>
      </c>
      <c r="S61" s="1">
        <v>0.11651</v>
      </c>
      <c r="T61" s="1">
        <v>0.14046800000000001</v>
      </c>
      <c r="U61" s="1"/>
      <c r="W61">
        <v>64.504000000000005</v>
      </c>
      <c r="X61">
        <v>63.667000000000002</v>
      </c>
      <c r="Y61">
        <v>140.28100000000001</v>
      </c>
      <c r="Z61">
        <v>152.03899999999999</v>
      </c>
      <c r="AA61">
        <v>144.87899999999999</v>
      </c>
      <c r="AD61">
        <v>65.150000000000006</v>
      </c>
      <c r="AE61">
        <v>64.992000000000004</v>
      </c>
      <c r="AF61">
        <v>141.20400000000001</v>
      </c>
      <c r="AG61">
        <v>215.304</v>
      </c>
      <c r="AH61">
        <v>142.44399999999999</v>
      </c>
      <c r="AK61">
        <v>65.432000000000002</v>
      </c>
      <c r="AL61">
        <v>66.399000000000001</v>
      </c>
      <c r="AM61">
        <v>141.339</v>
      </c>
      <c r="AN61">
        <v>147.86600000000001</v>
      </c>
      <c r="AO61">
        <v>144.65899999999999</v>
      </c>
    </row>
    <row r="62" spans="1:41" hidden="1">
      <c r="A62">
        <v>60</v>
      </c>
      <c r="B62">
        <v>120.09099999999999</v>
      </c>
      <c r="C62" s="1">
        <v>0.116836</v>
      </c>
      <c r="D62" s="1">
        <v>0.116161</v>
      </c>
      <c r="E62" s="1">
        <v>0.14343800000000001</v>
      </c>
      <c r="F62" s="1">
        <v>0.117826</v>
      </c>
      <c r="G62" s="1"/>
      <c r="H62" s="1"/>
      <c r="I62">
        <v>115.373</v>
      </c>
      <c r="J62" s="1">
        <v>0.11534</v>
      </c>
      <c r="K62" s="1">
        <v>0.117259</v>
      </c>
      <c r="L62" s="1">
        <v>0.11683300000000001</v>
      </c>
      <c r="M62" s="1">
        <v>0.11510099999999999</v>
      </c>
      <c r="N62" s="1"/>
      <c r="P62">
        <v>116.444</v>
      </c>
      <c r="Q62" s="1">
        <v>0.11590300000000001</v>
      </c>
      <c r="R62" s="1">
        <v>0.116607</v>
      </c>
      <c r="S62" s="1">
        <v>0.116345</v>
      </c>
      <c r="T62" s="1">
        <v>0.115895</v>
      </c>
      <c r="U62" s="1"/>
      <c r="W62">
        <v>63.984999999999999</v>
      </c>
      <c r="X62">
        <v>63.55</v>
      </c>
      <c r="Y62">
        <v>157.904</v>
      </c>
      <c r="Z62">
        <v>150.68799999999999</v>
      </c>
      <c r="AA62">
        <v>145.56200000000001</v>
      </c>
      <c r="AD62">
        <v>64.653999999999996</v>
      </c>
      <c r="AE62">
        <v>64.057000000000002</v>
      </c>
      <c r="AF62">
        <v>141.28899999999999</v>
      </c>
      <c r="AG62">
        <v>189.40899999999999</v>
      </c>
      <c r="AH62">
        <v>140.80699999999999</v>
      </c>
      <c r="AK62">
        <v>65.704999999999998</v>
      </c>
      <c r="AL62">
        <v>67.331000000000003</v>
      </c>
      <c r="AM62">
        <v>139.779</v>
      </c>
      <c r="AN62">
        <v>147.94300000000001</v>
      </c>
      <c r="AO62">
        <v>141.917</v>
      </c>
    </row>
    <row r="63" spans="1:41" hidden="1">
      <c r="A63">
        <v>61</v>
      </c>
      <c r="B63">
        <v>116.556</v>
      </c>
      <c r="C63" s="1">
        <v>0.115255</v>
      </c>
      <c r="D63" s="1">
        <v>0.115942</v>
      </c>
      <c r="E63" s="1">
        <v>0.116204</v>
      </c>
      <c r="F63" s="1">
        <v>0.11540400000000001</v>
      </c>
      <c r="G63" s="1"/>
      <c r="H63" s="1"/>
      <c r="I63">
        <v>118.20099999999999</v>
      </c>
      <c r="J63" s="1">
        <v>0.11559700000000001</v>
      </c>
      <c r="K63" s="1">
        <v>0.116465</v>
      </c>
      <c r="L63" s="1">
        <v>0.115799</v>
      </c>
      <c r="M63" s="1">
        <v>0.115967</v>
      </c>
      <c r="N63" s="1"/>
      <c r="P63">
        <v>116.151</v>
      </c>
      <c r="Q63" s="1">
        <v>0.11570999999999999</v>
      </c>
      <c r="R63" s="1">
        <v>0.116149</v>
      </c>
      <c r="S63" s="1">
        <v>0.11691600000000001</v>
      </c>
      <c r="T63" s="1">
        <v>0.115372</v>
      </c>
      <c r="U63" s="1"/>
      <c r="W63">
        <v>63.869</v>
      </c>
      <c r="X63">
        <v>63.625999999999998</v>
      </c>
      <c r="Y63">
        <v>141.28899999999999</v>
      </c>
      <c r="Z63">
        <v>152.45699999999999</v>
      </c>
      <c r="AA63">
        <v>144.49799999999999</v>
      </c>
      <c r="AD63">
        <v>64.299000000000007</v>
      </c>
      <c r="AE63">
        <v>64.498999999999995</v>
      </c>
      <c r="AF63">
        <v>139.56800000000001</v>
      </c>
      <c r="AG63">
        <v>188.05099999999999</v>
      </c>
      <c r="AH63">
        <v>140.19800000000001</v>
      </c>
      <c r="AK63">
        <v>66.284999999999997</v>
      </c>
      <c r="AL63">
        <v>66.254000000000005</v>
      </c>
      <c r="AM63">
        <v>140.13999999999999</v>
      </c>
      <c r="AN63">
        <v>148.05600000000001</v>
      </c>
      <c r="AO63">
        <v>142.23099999999999</v>
      </c>
    </row>
    <row r="64" spans="1:41" hidden="1">
      <c r="A64">
        <v>62</v>
      </c>
      <c r="B64">
        <v>115.705</v>
      </c>
      <c r="C64" s="1">
        <v>0.11584999999999999</v>
      </c>
      <c r="D64" s="1">
        <v>0.115164</v>
      </c>
      <c r="E64" s="1">
        <v>0.114846</v>
      </c>
      <c r="F64" s="1">
        <v>0.11407</v>
      </c>
      <c r="G64" s="1"/>
      <c r="H64" s="1"/>
      <c r="I64">
        <v>115.496</v>
      </c>
      <c r="J64" s="1">
        <v>0.117018</v>
      </c>
      <c r="K64" s="1">
        <v>0.11618000000000001</v>
      </c>
      <c r="L64" s="1">
        <v>0.11611100000000001</v>
      </c>
      <c r="M64" s="1">
        <v>0.115203</v>
      </c>
      <c r="N64" s="1"/>
      <c r="P64">
        <v>116.158</v>
      </c>
      <c r="Q64" s="1">
        <v>0.115462</v>
      </c>
      <c r="R64" s="1">
        <v>0.11674900000000001</v>
      </c>
      <c r="S64" s="1">
        <v>0.116689</v>
      </c>
      <c r="T64" s="1">
        <v>0.115216</v>
      </c>
      <c r="U64" s="1"/>
      <c r="W64">
        <v>63.945</v>
      </c>
      <c r="X64">
        <v>63.951999999999998</v>
      </c>
      <c r="Y64">
        <v>139.54499999999999</v>
      </c>
      <c r="Z64">
        <v>145.435</v>
      </c>
      <c r="AA64">
        <v>145.87200000000001</v>
      </c>
      <c r="AD64">
        <v>64.165000000000006</v>
      </c>
      <c r="AE64">
        <v>64.38</v>
      </c>
      <c r="AF64">
        <v>140.947</v>
      </c>
      <c r="AG64">
        <v>187.524</v>
      </c>
      <c r="AH64">
        <v>140.322</v>
      </c>
      <c r="AK64">
        <v>65.632000000000005</v>
      </c>
      <c r="AL64">
        <v>66.203000000000003</v>
      </c>
      <c r="AM64">
        <v>139.316</v>
      </c>
      <c r="AN64">
        <v>148.21700000000001</v>
      </c>
      <c r="AO64">
        <v>142.78299999999999</v>
      </c>
    </row>
    <row r="65" spans="1:41" hidden="1">
      <c r="A65">
        <v>63</v>
      </c>
      <c r="B65">
        <v>114.625</v>
      </c>
      <c r="C65" s="1">
        <v>0.114799</v>
      </c>
      <c r="D65" s="1">
        <v>0.11504300000000001</v>
      </c>
      <c r="E65" s="1">
        <v>0.11479</v>
      </c>
      <c r="F65" s="1">
        <v>0.114202</v>
      </c>
      <c r="G65" s="1"/>
      <c r="I65">
        <v>116.991</v>
      </c>
      <c r="J65" s="1">
        <v>0.115006</v>
      </c>
      <c r="K65" s="1">
        <v>0.13771800000000001</v>
      </c>
      <c r="L65" s="1">
        <v>0.115424</v>
      </c>
      <c r="M65" s="1">
        <v>0.11533599999999999</v>
      </c>
      <c r="N65" s="1"/>
      <c r="P65">
        <v>115.851</v>
      </c>
      <c r="Q65" s="1">
        <v>0.12003</v>
      </c>
      <c r="R65" s="1">
        <v>0.116711</v>
      </c>
      <c r="S65" s="1">
        <v>0.116914</v>
      </c>
      <c r="T65" s="1">
        <v>0.11568000000000001</v>
      </c>
      <c r="U65" s="1"/>
      <c r="W65">
        <v>64.694000000000003</v>
      </c>
      <c r="X65">
        <v>63.954000000000001</v>
      </c>
      <c r="Y65">
        <v>140.316</v>
      </c>
      <c r="Z65">
        <v>152.58500000000001</v>
      </c>
      <c r="AA65">
        <v>144.93700000000001</v>
      </c>
      <c r="AD65">
        <v>63.927</v>
      </c>
      <c r="AE65">
        <v>64.933999999999997</v>
      </c>
      <c r="AF65">
        <v>140.679</v>
      </c>
      <c r="AG65">
        <v>217.685</v>
      </c>
      <c r="AH65">
        <v>144.06399999999999</v>
      </c>
      <c r="AK65">
        <v>65.153000000000006</v>
      </c>
      <c r="AL65">
        <v>66.284000000000006</v>
      </c>
      <c r="AM65">
        <v>167.244</v>
      </c>
      <c r="AN65">
        <v>148.393</v>
      </c>
      <c r="AO65">
        <v>141.59200000000001</v>
      </c>
    </row>
    <row r="66" spans="1:41" hidden="1">
      <c r="A66">
        <v>64</v>
      </c>
      <c r="B66">
        <v>115.429</v>
      </c>
      <c r="C66" s="1">
        <v>0.11494500000000001</v>
      </c>
      <c r="D66" s="1">
        <v>0.11536</v>
      </c>
      <c r="E66" s="1">
        <v>0.114937</v>
      </c>
      <c r="F66" s="1">
        <v>0.115479</v>
      </c>
      <c r="G66" s="1"/>
      <c r="H66" s="1"/>
      <c r="I66">
        <v>115.755</v>
      </c>
      <c r="J66" s="1">
        <v>0.11472300000000001</v>
      </c>
      <c r="K66" s="1">
        <v>0.115773</v>
      </c>
      <c r="L66" s="1">
        <v>0.11595800000000001</v>
      </c>
      <c r="M66" s="1">
        <v>0.114963</v>
      </c>
      <c r="N66" s="1"/>
      <c r="P66">
        <v>133.434</v>
      </c>
      <c r="Q66" s="1">
        <v>0.115227</v>
      </c>
      <c r="R66" s="1">
        <v>0.116551</v>
      </c>
      <c r="S66" s="1">
        <v>0.11659</v>
      </c>
      <c r="T66" s="1">
        <v>0.115166</v>
      </c>
      <c r="U66" s="1"/>
      <c r="W66">
        <v>66.03</v>
      </c>
      <c r="X66">
        <v>63.917000000000002</v>
      </c>
      <c r="Y66">
        <v>139.85</v>
      </c>
      <c r="Z66">
        <v>171.73699999999999</v>
      </c>
      <c r="AA66">
        <v>146.11600000000001</v>
      </c>
      <c r="AD66">
        <v>66.62</v>
      </c>
      <c r="AE66">
        <v>65.52</v>
      </c>
      <c r="AF66">
        <v>141.596</v>
      </c>
      <c r="AG66">
        <v>189.72399999999999</v>
      </c>
      <c r="AH66">
        <v>142.703</v>
      </c>
      <c r="AK66">
        <v>65.846000000000004</v>
      </c>
      <c r="AL66">
        <v>66.191999999999993</v>
      </c>
      <c r="AM66">
        <v>140.352</v>
      </c>
      <c r="AN66">
        <v>148.86000000000001</v>
      </c>
      <c r="AO66">
        <v>142.239</v>
      </c>
    </row>
    <row r="67" spans="1:41" hidden="1">
      <c r="A67">
        <v>65</v>
      </c>
      <c r="B67">
        <v>145.14400000000001</v>
      </c>
      <c r="C67" s="1">
        <v>0.115176</v>
      </c>
      <c r="D67" s="1">
        <v>0.115064</v>
      </c>
      <c r="E67" s="1">
        <v>0.11566</v>
      </c>
      <c r="F67" s="1">
        <v>0.114911</v>
      </c>
      <c r="G67" s="1"/>
      <c r="H67" s="1"/>
      <c r="I67">
        <v>114.81</v>
      </c>
      <c r="J67" s="1">
        <v>0.114909</v>
      </c>
      <c r="K67" s="1">
        <v>0.115638</v>
      </c>
      <c r="L67" s="1">
        <v>0.11593000000000001</v>
      </c>
      <c r="M67" s="1">
        <v>0.11478099999999999</v>
      </c>
      <c r="N67" s="1"/>
      <c r="P67">
        <v>116.538</v>
      </c>
      <c r="Q67" s="1">
        <v>0.11609700000000001</v>
      </c>
      <c r="R67" s="1">
        <v>0.11687400000000001</v>
      </c>
      <c r="S67" s="1">
        <v>0.116302</v>
      </c>
      <c r="T67" s="1">
        <v>0.115786</v>
      </c>
      <c r="W67">
        <v>64.253</v>
      </c>
      <c r="X67">
        <v>63.465000000000003</v>
      </c>
      <c r="Y67">
        <v>140.90899999999999</v>
      </c>
      <c r="Z67">
        <v>152.87799999999999</v>
      </c>
      <c r="AA67">
        <v>145.09299999999999</v>
      </c>
      <c r="AD67">
        <v>65.361999999999995</v>
      </c>
      <c r="AE67">
        <v>64.480999999999995</v>
      </c>
      <c r="AF67">
        <v>142.505</v>
      </c>
      <c r="AG67">
        <v>189.98599999999999</v>
      </c>
      <c r="AH67">
        <v>142.87100000000001</v>
      </c>
      <c r="AK67">
        <v>65.212000000000003</v>
      </c>
      <c r="AL67">
        <v>66.341999999999999</v>
      </c>
      <c r="AM67">
        <v>140.71799999999999</v>
      </c>
      <c r="AN67">
        <v>147.77799999999999</v>
      </c>
      <c r="AO67">
        <v>141.89500000000001</v>
      </c>
    </row>
    <row r="68" spans="1:41" hidden="1">
      <c r="A68">
        <v>66</v>
      </c>
      <c r="B68">
        <v>115.616</v>
      </c>
      <c r="C68" s="1">
        <v>0.115937</v>
      </c>
      <c r="D68" s="1">
        <v>0.114887</v>
      </c>
      <c r="E68" s="1">
        <v>0.11609800000000001</v>
      </c>
      <c r="F68" s="1">
        <v>0.11695700000000001</v>
      </c>
      <c r="G68" s="1"/>
      <c r="H68" s="1"/>
      <c r="I68">
        <v>115.121</v>
      </c>
      <c r="J68" s="1">
        <v>0.114757</v>
      </c>
      <c r="K68" s="1">
        <v>0.116352</v>
      </c>
      <c r="L68" s="1">
        <v>0.11554499999999999</v>
      </c>
      <c r="M68" s="1">
        <v>0.115075</v>
      </c>
      <c r="N68" s="1"/>
      <c r="P68">
        <v>115.855</v>
      </c>
      <c r="Q68" s="1">
        <v>0.134823</v>
      </c>
      <c r="R68" s="1">
        <v>0.124351</v>
      </c>
      <c r="S68" s="1">
        <v>0.116803</v>
      </c>
      <c r="T68" s="1">
        <v>0.11594400000000001</v>
      </c>
      <c r="U68" s="1"/>
      <c r="W68">
        <v>65.652000000000001</v>
      </c>
      <c r="X68">
        <v>63.587000000000003</v>
      </c>
      <c r="Y68">
        <v>139.214</v>
      </c>
      <c r="Z68">
        <v>145.50899999999999</v>
      </c>
      <c r="AA68">
        <v>145.07599999999999</v>
      </c>
      <c r="AD68">
        <v>65.191000000000003</v>
      </c>
      <c r="AE68">
        <v>83.852999999999994</v>
      </c>
      <c r="AF68">
        <v>151.04499999999999</v>
      </c>
      <c r="AG68">
        <v>189.56200000000001</v>
      </c>
      <c r="AH68">
        <v>140.68299999999999</v>
      </c>
      <c r="AK68">
        <v>68.850999999999999</v>
      </c>
      <c r="AL68">
        <v>66.061999999999998</v>
      </c>
      <c r="AM68">
        <v>141.15799999999999</v>
      </c>
      <c r="AN68">
        <v>148.17099999999999</v>
      </c>
      <c r="AO68">
        <v>142.06100000000001</v>
      </c>
    </row>
    <row r="69" spans="1:41" hidden="1">
      <c r="A69">
        <v>67</v>
      </c>
      <c r="B69">
        <v>115.498</v>
      </c>
      <c r="C69" s="1">
        <v>0.11770899999999999</v>
      </c>
      <c r="D69" s="1">
        <v>0.11580799999999999</v>
      </c>
      <c r="E69" s="1">
        <v>0.11629299999999999</v>
      </c>
      <c r="F69" s="1">
        <v>0.11715100000000001</v>
      </c>
      <c r="G69" s="1"/>
      <c r="H69" s="1"/>
      <c r="I69">
        <v>118.45699999999999</v>
      </c>
      <c r="J69" s="1">
        <v>0.11576</v>
      </c>
      <c r="K69" s="1">
        <v>0.11700099999999999</v>
      </c>
      <c r="L69" s="1">
        <v>0.11608400000000001</v>
      </c>
      <c r="M69" s="1">
        <v>0.116165</v>
      </c>
      <c r="N69" s="1"/>
      <c r="P69">
        <v>115.998</v>
      </c>
      <c r="Q69" s="1">
        <v>0.115685</v>
      </c>
      <c r="R69" s="1">
        <v>0.11629</v>
      </c>
      <c r="S69" s="1">
        <v>0.116741</v>
      </c>
      <c r="T69" s="1">
        <v>0.115799</v>
      </c>
      <c r="U69" s="1"/>
      <c r="W69">
        <v>64.460999999999999</v>
      </c>
      <c r="X69">
        <v>63.661999999999999</v>
      </c>
      <c r="Y69">
        <v>140.66499999999999</v>
      </c>
      <c r="Z69">
        <v>153.37</v>
      </c>
      <c r="AA69">
        <v>145.06800000000001</v>
      </c>
      <c r="AD69">
        <v>63.921999999999997</v>
      </c>
      <c r="AE69">
        <v>64.399000000000001</v>
      </c>
      <c r="AF69">
        <v>140.13</v>
      </c>
      <c r="AG69">
        <v>187.893</v>
      </c>
      <c r="AH69">
        <v>140.41800000000001</v>
      </c>
      <c r="AK69">
        <v>65.135000000000005</v>
      </c>
      <c r="AL69">
        <v>66.584999999999994</v>
      </c>
      <c r="AM69">
        <v>139.86699999999999</v>
      </c>
      <c r="AN69">
        <v>165.37299999999999</v>
      </c>
      <c r="AO69">
        <v>141.82499999999999</v>
      </c>
    </row>
    <row r="70" spans="1:41" hidden="1">
      <c r="A70">
        <v>68</v>
      </c>
      <c r="B70">
        <v>118.056</v>
      </c>
      <c r="C70" s="1">
        <v>0.11644</v>
      </c>
      <c r="D70" s="1">
        <v>0.11698600000000001</v>
      </c>
      <c r="E70" s="1">
        <v>0.116185</v>
      </c>
      <c r="F70" s="1">
        <v>0.11453099999999999</v>
      </c>
      <c r="G70" s="1"/>
      <c r="H70" s="1"/>
      <c r="I70">
        <v>115.38</v>
      </c>
      <c r="J70" s="1">
        <v>0.144451</v>
      </c>
      <c r="K70" s="1">
        <v>0.11580500000000001</v>
      </c>
      <c r="L70" s="1">
        <v>0.115518</v>
      </c>
      <c r="M70" s="1">
        <v>0.11551400000000001</v>
      </c>
      <c r="P70">
        <v>116.05200000000001</v>
      </c>
      <c r="Q70" s="1">
        <v>0.14023099999999999</v>
      </c>
      <c r="R70" s="1">
        <v>0.116396</v>
      </c>
      <c r="S70" s="1">
        <v>0.11622399999999999</v>
      </c>
      <c r="T70" s="1">
        <v>0.115922</v>
      </c>
      <c r="U70" s="1"/>
      <c r="W70">
        <v>64.195999999999998</v>
      </c>
      <c r="X70">
        <v>63.63</v>
      </c>
      <c r="Y70">
        <v>139.095</v>
      </c>
      <c r="Z70">
        <v>144.74</v>
      </c>
      <c r="AA70">
        <v>144.80600000000001</v>
      </c>
      <c r="AD70">
        <v>64.590999999999994</v>
      </c>
      <c r="AE70">
        <v>64.239000000000004</v>
      </c>
      <c r="AF70">
        <v>162.28899999999999</v>
      </c>
      <c r="AG70">
        <v>188.08099999999999</v>
      </c>
      <c r="AH70">
        <v>142.244</v>
      </c>
      <c r="AK70">
        <v>65.965999999999994</v>
      </c>
      <c r="AL70">
        <v>67.197999999999993</v>
      </c>
      <c r="AM70">
        <v>139.625</v>
      </c>
      <c r="AN70">
        <v>148.67599999999999</v>
      </c>
      <c r="AO70">
        <v>142.816</v>
      </c>
    </row>
    <row r="71" spans="1:41" hidden="1">
      <c r="A71">
        <v>69</v>
      </c>
      <c r="B71">
        <v>114.949</v>
      </c>
      <c r="C71" s="1">
        <v>0.13947100000000001</v>
      </c>
      <c r="D71" s="1">
        <v>0.117766</v>
      </c>
      <c r="E71" s="1">
        <v>0.116504</v>
      </c>
      <c r="F71" s="1">
        <v>0.117531</v>
      </c>
      <c r="G71" s="1"/>
      <c r="H71" s="1"/>
      <c r="I71">
        <v>116.71599999999999</v>
      </c>
      <c r="J71" s="1">
        <v>0.11587500000000001</v>
      </c>
      <c r="K71" s="1">
        <v>0.115728</v>
      </c>
      <c r="L71" s="1">
        <v>0.11552999999999999</v>
      </c>
      <c r="M71" s="1">
        <v>0.115214</v>
      </c>
      <c r="N71" s="1"/>
      <c r="P71">
        <v>115.69799999999999</v>
      </c>
      <c r="Q71" s="1">
        <v>0.121222</v>
      </c>
      <c r="R71" s="1">
        <v>0.11737</v>
      </c>
      <c r="S71" s="1">
        <v>0.116629</v>
      </c>
      <c r="T71" s="1">
        <v>0.11501500000000001</v>
      </c>
      <c r="U71" s="1"/>
      <c r="W71">
        <v>63.738999999999997</v>
      </c>
      <c r="X71">
        <v>85.197000000000003</v>
      </c>
      <c r="Y71">
        <v>141.471</v>
      </c>
      <c r="Z71">
        <v>152.79900000000001</v>
      </c>
      <c r="AA71">
        <v>144.52699999999999</v>
      </c>
      <c r="AD71">
        <v>64.495000000000005</v>
      </c>
      <c r="AE71">
        <v>64.186999999999998</v>
      </c>
      <c r="AF71">
        <v>139.49700000000001</v>
      </c>
      <c r="AG71">
        <v>188.804</v>
      </c>
      <c r="AH71">
        <v>141.33699999999999</v>
      </c>
      <c r="AK71">
        <v>65.183000000000007</v>
      </c>
      <c r="AL71">
        <v>66.39</v>
      </c>
      <c r="AM71">
        <v>139.93</v>
      </c>
      <c r="AN71">
        <v>149.24299999999999</v>
      </c>
      <c r="AO71">
        <v>146.02600000000001</v>
      </c>
    </row>
    <row r="72" spans="1:41" hidden="1">
      <c r="A72">
        <v>70</v>
      </c>
      <c r="B72">
        <v>116.929</v>
      </c>
      <c r="C72" s="1">
        <v>0.115166</v>
      </c>
      <c r="D72" s="1">
        <v>0.117316</v>
      </c>
      <c r="E72" s="1">
        <v>0.118591</v>
      </c>
      <c r="F72" s="1">
        <v>0.11609</v>
      </c>
      <c r="G72" s="1"/>
      <c r="I72">
        <v>115.363</v>
      </c>
      <c r="J72" s="1">
        <v>0.115478</v>
      </c>
      <c r="K72" s="1">
        <v>0.11592</v>
      </c>
      <c r="L72" s="1">
        <v>0.115818</v>
      </c>
      <c r="M72" s="1">
        <v>0.11508500000000001</v>
      </c>
      <c r="N72" s="1"/>
      <c r="P72">
        <v>116.163</v>
      </c>
      <c r="Q72" s="1">
        <v>0.115957</v>
      </c>
      <c r="R72" s="1">
        <v>0.116679</v>
      </c>
      <c r="S72" s="1">
        <v>0.116059</v>
      </c>
      <c r="T72" s="1">
        <v>0.114841</v>
      </c>
      <c r="U72" s="1"/>
      <c r="W72">
        <v>64.945999999999998</v>
      </c>
      <c r="X72">
        <v>64.105000000000004</v>
      </c>
      <c r="Y72">
        <v>139.72499999999999</v>
      </c>
      <c r="Z72">
        <v>145.69399999999999</v>
      </c>
      <c r="AA72">
        <v>144.934</v>
      </c>
      <c r="AD72">
        <v>64.274000000000001</v>
      </c>
      <c r="AE72">
        <v>64.334999999999994</v>
      </c>
      <c r="AF72">
        <v>142.08500000000001</v>
      </c>
      <c r="AG72">
        <v>189.267</v>
      </c>
      <c r="AH72">
        <v>139.98599999999999</v>
      </c>
      <c r="AK72">
        <v>65.784999999999997</v>
      </c>
      <c r="AL72">
        <v>66.563999999999993</v>
      </c>
      <c r="AM72">
        <v>140.876</v>
      </c>
      <c r="AN72">
        <v>148.65199999999999</v>
      </c>
      <c r="AO72">
        <v>142.06200000000001</v>
      </c>
    </row>
    <row r="73" spans="1:41" hidden="1">
      <c r="A73">
        <v>71</v>
      </c>
      <c r="B73">
        <v>116.07599999999999</v>
      </c>
      <c r="C73" s="1">
        <v>0.122185</v>
      </c>
      <c r="D73" s="1">
        <v>0.116697</v>
      </c>
      <c r="E73" s="1">
        <v>0.11820899999999999</v>
      </c>
      <c r="F73" s="1">
        <v>0.115187</v>
      </c>
      <c r="G73" s="1"/>
      <c r="H73" s="1"/>
      <c r="I73">
        <v>115.43600000000001</v>
      </c>
      <c r="J73" s="1">
        <v>0.11488900000000001</v>
      </c>
      <c r="K73" s="1">
        <v>0.115408</v>
      </c>
      <c r="L73" s="1">
        <v>0.115484</v>
      </c>
      <c r="M73" s="1">
        <v>0.114788</v>
      </c>
      <c r="N73" s="1"/>
      <c r="P73">
        <v>115.625</v>
      </c>
      <c r="Q73" s="1">
        <v>0.11534999999999999</v>
      </c>
      <c r="R73" s="1">
        <v>0.116017</v>
      </c>
      <c r="S73" s="1">
        <v>0.115898</v>
      </c>
      <c r="T73" s="1">
        <v>0.115478</v>
      </c>
      <c r="U73" s="1"/>
      <c r="W73">
        <v>64.488</v>
      </c>
      <c r="X73">
        <v>64.403000000000006</v>
      </c>
      <c r="Y73">
        <v>140.727</v>
      </c>
      <c r="Z73">
        <v>151.48500000000001</v>
      </c>
      <c r="AA73">
        <v>145.03800000000001</v>
      </c>
      <c r="AD73">
        <v>63.784999999999997</v>
      </c>
      <c r="AE73">
        <v>64</v>
      </c>
      <c r="AF73">
        <v>139.27500000000001</v>
      </c>
      <c r="AG73">
        <v>187.84</v>
      </c>
      <c r="AH73">
        <v>139.73699999999999</v>
      </c>
      <c r="AK73">
        <v>65.13</v>
      </c>
      <c r="AL73">
        <v>66.281999999999996</v>
      </c>
      <c r="AM73">
        <v>140.26</v>
      </c>
      <c r="AN73">
        <v>148.64500000000001</v>
      </c>
      <c r="AO73">
        <v>165.429</v>
      </c>
    </row>
    <row r="74" spans="1:41" hidden="1">
      <c r="A74">
        <v>72</v>
      </c>
      <c r="B74">
        <v>119.271</v>
      </c>
      <c r="C74" s="1">
        <v>0.119767</v>
      </c>
      <c r="D74" s="1">
        <v>0.11858</v>
      </c>
      <c r="E74" s="1">
        <v>0.120659</v>
      </c>
      <c r="F74" s="1">
        <v>0.117812</v>
      </c>
      <c r="G74" s="1"/>
      <c r="H74" s="1"/>
      <c r="I74">
        <v>115.42400000000001</v>
      </c>
      <c r="J74" s="1">
        <v>0.115608</v>
      </c>
      <c r="K74" s="1">
        <v>0.13675000000000001</v>
      </c>
      <c r="L74" s="1">
        <v>0.116095</v>
      </c>
      <c r="M74" s="1">
        <v>0.115276</v>
      </c>
      <c r="N74" s="1"/>
      <c r="P74">
        <v>115.58</v>
      </c>
      <c r="Q74" s="1">
        <v>0.11587799999999999</v>
      </c>
      <c r="R74" s="1">
        <v>0.14094200000000001</v>
      </c>
      <c r="S74" s="1">
        <v>0.11604200000000001</v>
      </c>
      <c r="T74" s="1">
        <v>0.115635</v>
      </c>
      <c r="U74" s="1"/>
      <c r="W74">
        <v>63.923000000000002</v>
      </c>
      <c r="X74">
        <v>63.475000000000001</v>
      </c>
      <c r="Y74">
        <v>139.589</v>
      </c>
      <c r="Z74">
        <v>145.34299999999999</v>
      </c>
      <c r="AA74">
        <v>145.08500000000001</v>
      </c>
      <c r="AD74">
        <v>64.725999999999999</v>
      </c>
      <c r="AE74">
        <v>65.602000000000004</v>
      </c>
      <c r="AF74">
        <v>169.648</v>
      </c>
      <c r="AG74">
        <v>187.791</v>
      </c>
      <c r="AH74">
        <v>140.96600000000001</v>
      </c>
      <c r="AK74">
        <v>65.784000000000006</v>
      </c>
      <c r="AL74">
        <v>68.486000000000004</v>
      </c>
      <c r="AM74">
        <v>140.905</v>
      </c>
      <c r="AN74">
        <v>148.095</v>
      </c>
      <c r="AO74">
        <v>141.90100000000001</v>
      </c>
    </row>
    <row r="75" spans="1:41" hidden="1">
      <c r="A75">
        <v>73</v>
      </c>
      <c r="B75">
        <v>118.083</v>
      </c>
      <c r="C75" s="1">
        <v>0.116148</v>
      </c>
      <c r="D75" s="1">
        <v>0.14622599999999999</v>
      </c>
      <c r="E75" s="1">
        <v>0.117747</v>
      </c>
      <c r="F75" s="1">
        <v>0.119618</v>
      </c>
      <c r="G75" s="1"/>
      <c r="H75" s="1"/>
      <c r="I75">
        <v>116.881</v>
      </c>
      <c r="J75" s="1">
        <v>0.11494</v>
      </c>
      <c r="K75" s="1">
        <v>0.115608</v>
      </c>
      <c r="L75" s="1">
        <v>0.115115</v>
      </c>
      <c r="M75" s="1">
        <v>0.114749</v>
      </c>
      <c r="N75" s="1"/>
      <c r="P75">
        <v>115.717</v>
      </c>
      <c r="Q75" s="1">
        <v>0.11511399999999999</v>
      </c>
      <c r="R75" s="1">
        <v>0.116339</v>
      </c>
      <c r="S75" s="1">
        <v>0.11656</v>
      </c>
      <c r="T75" s="1">
        <v>0.115621</v>
      </c>
      <c r="U75" s="1"/>
      <c r="W75">
        <v>63.823999999999998</v>
      </c>
      <c r="X75">
        <v>64.162999999999997</v>
      </c>
      <c r="Y75">
        <v>140.45699999999999</v>
      </c>
      <c r="Z75">
        <v>179.101</v>
      </c>
      <c r="AA75">
        <v>144.33600000000001</v>
      </c>
      <c r="AD75">
        <v>64.058999999999997</v>
      </c>
      <c r="AE75">
        <v>65.015000000000001</v>
      </c>
      <c r="AF75">
        <v>139.60599999999999</v>
      </c>
      <c r="AG75">
        <v>187.80799999999999</v>
      </c>
      <c r="AH75">
        <v>139.68</v>
      </c>
      <c r="AK75">
        <v>65.760000000000005</v>
      </c>
      <c r="AL75">
        <v>66.177000000000007</v>
      </c>
      <c r="AM75">
        <v>140.125</v>
      </c>
      <c r="AN75">
        <v>148.57499999999999</v>
      </c>
      <c r="AO75">
        <v>141.947</v>
      </c>
    </row>
    <row r="76" spans="1:41" hidden="1">
      <c r="A76">
        <v>74</v>
      </c>
      <c r="B76">
        <v>118.021</v>
      </c>
      <c r="C76" s="1">
        <v>0.116466</v>
      </c>
      <c r="D76" s="1">
        <v>0.115707</v>
      </c>
      <c r="E76" s="1">
        <v>0.117794</v>
      </c>
      <c r="F76" s="1">
        <v>0.1157</v>
      </c>
      <c r="G76" s="1"/>
      <c r="H76" s="1"/>
      <c r="I76">
        <v>116.616</v>
      </c>
      <c r="J76" s="1">
        <v>0.115687</v>
      </c>
      <c r="K76" s="1">
        <v>0.11584700000000001</v>
      </c>
      <c r="L76" s="1">
        <v>0.115076</v>
      </c>
      <c r="M76" s="1">
        <v>0.11966400000000001</v>
      </c>
      <c r="N76" s="1"/>
      <c r="P76">
        <v>116.047</v>
      </c>
      <c r="Q76" s="1">
        <v>0.115454</v>
      </c>
      <c r="R76" s="1">
        <v>0.116117</v>
      </c>
      <c r="S76" s="1">
        <v>0.116189</v>
      </c>
      <c r="T76" s="1">
        <v>0.115143</v>
      </c>
      <c r="U76" s="1"/>
      <c r="W76">
        <v>64.954999999999998</v>
      </c>
      <c r="X76">
        <v>63.256999999999998</v>
      </c>
      <c r="Y76">
        <v>139.233</v>
      </c>
      <c r="Z76">
        <v>146.00299999999999</v>
      </c>
      <c r="AA76">
        <v>145.08799999999999</v>
      </c>
      <c r="AD76">
        <v>64.753</v>
      </c>
      <c r="AE76">
        <v>64.227999999999994</v>
      </c>
      <c r="AF76">
        <v>141.9</v>
      </c>
      <c r="AG76">
        <v>187.809</v>
      </c>
      <c r="AH76">
        <v>141.26499999999999</v>
      </c>
      <c r="AK76">
        <v>65.734999999999999</v>
      </c>
      <c r="AL76">
        <v>66.221999999999994</v>
      </c>
      <c r="AM76">
        <v>140.49799999999999</v>
      </c>
      <c r="AN76">
        <v>148.077</v>
      </c>
      <c r="AO76">
        <v>142.38300000000001</v>
      </c>
    </row>
    <row r="77" spans="1:41" hidden="1">
      <c r="A77">
        <v>75</v>
      </c>
      <c r="B77">
        <v>119.416</v>
      </c>
      <c r="C77" s="1">
        <v>0.115485</v>
      </c>
      <c r="D77" s="1">
        <v>0.116715</v>
      </c>
      <c r="E77" s="1">
        <v>0.115089</v>
      </c>
      <c r="F77" s="1">
        <v>0.114645</v>
      </c>
      <c r="G77" s="1"/>
      <c r="H77" s="1"/>
      <c r="I77">
        <v>116.289</v>
      </c>
      <c r="J77" s="1">
        <v>0.11540499999999999</v>
      </c>
      <c r="K77" s="1">
        <v>0.11518299999999999</v>
      </c>
      <c r="L77" s="1">
        <v>0.115466</v>
      </c>
      <c r="M77" s="1">
        <v>0.11537799999999999</v>
      </c>
      <c r="N77" s="1"/>
      <c r="P77">
        <v>116.03700000000001</v>
      </c>
      <c r="Q77" s="1">
        <v>0.11967800000000001</v>
      </c>
      <c r="R77" s="1">
        <v>0.11716500000000001</v>
      </c>
      <c r="S77" s="1">
        <v>0.117006</v>
      </c>
      <c r="T77" s="1">
        <v>0.115276</v>
      </c>
      <c r="U77" s="1"/>
      <c r="W77">
        <v>63.61</v>
      </c>
      <c r="X77">
        <v>63.732999999999997</v>
      </c>
      <c r="Y77">
        <v>141.07599999999999</v>
      </c>
      <c r="Z77">
        <v>152.94999999999999</v>
      </c>
      <c r="AA77">
        <v>151.66300000000001</v>
      </c>
      <c r="AD77">
        <v>63.753999999999998</v>
      </c>
      <c r="AE77">
        <v>64.275000000000006</v>
      </c>
      <c r="AF77">
        <v>139.03899999999999</v>
      </c>
      <c r="AG77">
        <v>187.16</v>
      </c>
      <c r="AH77">
        <v>139.66499999999999</v>
      </c>
      <c r="AK77">
        <v>65.143000000000001</v>
      </c>
      <c r="AL77">
        <v>66.933000000000007</v>
      </c>
      <c r="AM77">
        <v>140.05600000000001</v>
      </c>
      <c r="AN77">
        <v>148.00299999999999</v>
      </c>
      <c r="AO77">
        <v>141.429</v>
      </c>
    </row>
    <row r="78" spans="1:41" hidden="1">
      <c r="A78">
        <v>76</v>
      </c>
      <c r="B78">
        <v>116.84699999999999</v>
      </c>
      <c r="C78" s="1">
        <v>0.115162</v>
      </c>
      <c r="D78" s="1">
        <v>0.115385</v>
      </c>
      <c r="E78" s="1">
        <v>0.11525100000000001</v>
      </c>
      <c r="F78" s="1">
        <v>0.117919</v>
      </c>
      <c r="G78" s="1"/>
      <c r="H78" s="1"/>
      <c r="I78">
        <v>116.17700000000001</v>
      </c>
      <c r="J78" s="1">
        <v>0.11579</v>
      </c>
      <c r="K78" s="1">
        <v>0.116068</v>
      </c>
      <c r="L78" s="1">
        <v>0.14279800000000001</v>
      </c>
      <c r="M78" s="1">
        <v>0.11558499999999999</v>
      </c>
      <c r="N78" s="1"/>
      <c r="P78">
        <v>116.461</v>
      </c>
      <c r="Q78" s="1">
        <v>0.115595</v>
      </c>
      <c r="R78" s="1">
        <v>0.117977</v>
      </c>
      <c r="S78" s="1">
        <v>0.14194899999999999</v>
      </c>
      <c r="T78" s="1">
        <v>0.115214</v>
      </c>
      <c r="U78" s="1"/>
      <c r="W78">
        <v>66.400999999999996</v>
      </c>
      <c r="X78">
        <v>64.623000000000005</v>
      </c>
      <c r="Y78">
        <v>140.179</v>
      </c>
      <c r="Z78">
        <v>145.71600000000001</v>
      </c>
      <c r="AA78">
        <v>144.77799999999999</v>
      </c>
      <c r="AD78">
        <v>63.947000000000003</v>
      </c>
      <c r="AE78">
        <v>64.111000000000004</v>
      </c>
      <c r="AF78">
        <v>140.74299999999999</v>
      </c>
      <c r="AG78">
        <v>215.506</v>
      </c>
      <c r="AH78">
        <v>139.614</v>
      </c>
      <c r="AK78">
        <v>65.688000000000002</v>
      </c>
      <c r="AL78">
        <v>65.936999999999998</v>
      </c>
      <c r="AM78">
        <v>157.89099999999999</v>
      </c>
      <c r="AN78">
        <v>147.82599999999999</v>
      </c>
      <c r="AO78">
        <v>141.977</v>
      </c>
    </row>
    <row r="79" spans="1:41" hidden="1">
      <c r="A79">
        <v>77</v>
      </c>
      <c r="B79">
        <v>116.048</v>
      </c>
      <c r="C79" s="1">
        <v>0.115219</v>
      </c>
      <c r="D79" s="1">
        <v>0.115036</v>
      </c>
      <c r="E79" s="1">
        <v>0.14397599999999999</v>
      </c>
      <c r="F79" s="1">
        <v>0.115064</v>
      </c>
      <c r="G79" s="1"/>
      <c r="H79" s="1"/>
      <c r="I79">
        <v>115.685</v>
      </c>
      <c r="J79" s="1">
        <v>0.11519500000000001</v>
      </c>
      <c r="K79" s="1">
        <v>0.11598600000000001</v>
      </c>
      <c r="L79" s="1">
        <v>0.116521</v>
      </c>
      <c r="M79" s="1">
        <v>0.11609800000000001</v>
      </c>
      <c r="N79" s="1"/>
      <c r="P79">
        <v>116.03100000000001</v>
      </c>
      <c r="Q79" s="1">
        <v>0.11490599999999999</v>
      </c>
      <c r="R79" s="1">
        <v>0.11612</v>
      </c>
      <c r="S79" s="1">
        <v>0.115846</v>
      </c>
      <c r="T79" s="1">
        <v>0.115049</v>
      </c>
      <c r="U79" s="1"/>
      <c r="W79">
        <v>64.302000000000007</v>
      </c>
      <c r="X79">
        <v>63.723999999999997</v>
      </c>
      <c r="Y79">
        <v>141.39599999999999</v>
      </c>
      <c r="Z79">
        <v>152.077</v>
      </c>
      <c r="AA79">
        <v>171.42099999999999</v>
      </c>
      <c r="AD79">
        <v>63.857999999999997</v>
      </c>
      <c r="AE79">
        <v>64.007000000000005</v>
      </c>
      <c r="AF79">
        <v>139.03200000000001</v>
      </c>
      <c r="AG79">
        <v>187.24100000000001</v>
      </c>
      <c r="AH79">
        <v>141.916</v>
      </c>
      <c r="AK79">
        <v>65.546999999999997</v>
      </c>
      <c r="AL79">
        <v>66.167000000000002</v>
      </c>
      <c r="AM79">
        <v>139.971</v>
      </c>
      <c r="AN79">
        <v>147.81800000000001</v>
      </c>
      <c r="AO79">
        <v>142.03100000000001</v>
      </c>
    </row>
    <row r="80" spans="1:41" hidden="1">
      <c r="A80">
        <v>78</v>
      </c>
      <c r="B80">
        <v>115.584</v>
      </c>
      <c r="C80" s="1">
        <v>0.116989</v>
      </c>
      <c r="D80" s="1">
        <v>0.120018</v>
      </c>
      <c r="E80" s="1">
        <v>0.11779199999999999</v>
      </c>
      <c r="F80" s="1">
        <v>0.115313</v>
      </c>
      <c r="G80" s="1"/>
      <c r="H80" s="1"/>
      <c r="I80">
        <v>115.702</v>
      </c>
      <c r="J80" s="1">
        <v>0.117078</v>
      </c>
      <c r="K80" s="1">
        <v>0.11655600000000001</v>
      </c>
      <c r="L80" s="1">
        <v>0.128557</v>
      </c>
      <c r="M80" s="1">
        <v>0.11539099999999999</v>
      </c>
      <c r="P80">
        <v>116.026</v>
      </c>
      <c r="Q80" s="1">
        <v>0.11538</v>
      </c>
      <c r="R80" s="1">
        <v>0.115715</v>
      </c>
      <c r="S80" s="1">
        <v>0.116434</v>
      </c>
      <c r="T80" s="1">
        <v>0.11554</v>
      </c>
      <c r="U80" s="1"/>
      <c r="W80">
        <v>63.822000000000003</v>
      </c>
      <c r="X80">
        <v>63.499000000000002</v>
      </c>
      <c r="Y80">
        <v>139.726</v>
      </c>
      <c r="Z80">
        <v>144.965</v>
      </c>
      <c r="AA80">
        <v>144.59</v>
      </c>
      <c r="AD80">
        <v>64.194000000000003</v>
      </c>
      <c r="AE80">
        <v>66.716999999999999</v>
      </c>
      <c r="AF80">
        <v>140.93600000000001</v>
      </c>
      <c r="AG80">
        <v>187.81299999999999</v>
      </c>
      <c r="AH80">
        <v>141.00200000000001</v>
      </c>
      <c r="AK80">
        <v>65.617999999999995</v>
      </c>
      <c r="AL80">
        <v>66.188000000000002</v>
      </c>
      <c r="AM80">
        <v>143.21100000000001</v>
      </c>
      <c r="AN80">
        <v>148.994</v>
      </c>
      <c r="AO80">
        <v>142.34100000000001</v>
      </c>
    </row>
    <row r="81" spans="1:41" hidden="1">
      <c r="A81">
        <v>79</v>
      </c>
      <c r="B81">
        <v>117.30800000000001</v>
      </c>
      <c r="C81" s="1">
        <v>0.116142</v>
      </c>
      <c r="D81" s="1">
        <v>0.117617</v>
      </c>
      <c r="E81" s="1">
        <v>0.116663</v>
      </c>
      <c r="F81" s="1">
        <v>0.116933</v>
      </c>
      <c r="G81" s="1"/>
      <c r="H81" s="1"/>
      <c r="I81">
        <v>118.06399999999999</v>
      </c>
      <c r="J81" s="1">
        <v>0.116727</v>
      </c>
      <c r="K81" s="1">
        <v>0.11582099999999999</v>
      </c>
      <c r="L81" s="1">
        <v>0.116327</v>
      </c>
      <c r="M81" s="1">
        <v>0.116532</v>
      </c>
      <c r="N81" s="1"/>
      <c r="P81">
        <v>116.30800000000001</v>
      </c>
      <c r="Q81" s="1">
        <v>0.115407</v>
      </c>
      <c r="R81" s="1">
        <v>0.116546</v>
      </c>
      <c r="S81" s="1">
        <v>0.116559</v>
      </c>
      <c r="T81" s="1">
        <v>0.114943</v>
      </c>
      <c r="U81" s="1"/>
      <c r="W81">
        <v>64.14</v>
      </c>
      <c r="X81">
        <v>63.298999999999999</v>
      </c>
      <c r="Y81">
        <v>141.453</v>
      </c>
      <c r="Z81">
        <v>151.77699999999999</v>
      </c>
      <c r="AA81">
        <v>144.50399999999999</v>
      </c>
      <c r="AD81">
        <v>64.481999999999999</v>
      </c>
      <c r="AE81">
        <v>64.198999999999998</v>
      </c>
      <c r="AF81">
        <v>138.916</v>
      </c>
      <c r="AG81">
        <v>188.376</v>
      </c>
      <c r="AH81">
        <v>140.50399999999999</v>
      </c>
      <c r="AK81">
        <v>65.272999999999996</v>
      </c>
      <c r="AL81">
        <v>66.44</v>
      </c>
      <c r="AM81">
        <v>140.55799999999999</v>
      </c>
      <c r="AN81">
        <v>148.23099999999999</v>
      </c>
      <c r="AO81">
        <v>141.749</v>
      </c>
    </row>
    <row r="82" spans="1:41" hidden="1">
      <c r="A82">
        <v>80</v>
      </c>
      <c r="B82">
        <v>117.91500000000001</v>
      </c>
      <c r="C82" s="1">
        <v>0.116281</v>
      </c>
      <c r="D82" s="1">
        <v>0.11691699999999999</v>
      </c>
      <c r="E82" s="1">
        <v>0.115355</v>
      </c>
      <c r="F82" s="1">
        <v>0.115357</v>
      </c>
      <c r="G82" s="1"/>
      <c r="I82">
        <v>115.90600000000001</v>
      </c>
      <c r="J82" s="1">
        <v>0.11584800000000001</v>
      </c>
      <c r="K82" s="1">
        <v>0.11547</v>
      </c>
      <c r="L82" s="1">
        <v>0.116037</v>
      </c>
      <c r="M82" s="1">
        <v>0.115171</v>
      </c>
      <c r="N82" s="1"/>
      <c r="P82">
        <v>115.363</v>
      </c>
      <c r="Q82" s="1">
        <v>0.11491800000000001</v>
      </c>
      <c r="R82" s="1">
        <v>0.116493</v>
      </c>
      <c r="S82" s="1">
        <v>0.11722299999999999</v>
      </c>
      <c r="T82" s="1">
        <v>0.116509</v>
      </c>
      <c r="U82" s="1"/>
      <c r="W82">
        <v>65.286000000000001</v>
      </c>
      <c r="X82">
        <v>63.872999999999998</v>
      </c>
      <c r="Y82">
        <v>138.97900000000001</v>
      </c>
      <c r="Z82">
        <v>145.27799999999999</v>
      </c>
      <c r="AA82">
        <v>144.58699999999999</v>
      </c>
      <c r="AD82">
        <v>64.082999999999998</v>
      </c>
      <c r="AE82">
        <v>63.917000000000002</v>
      </c>
      <c r="AF82">
        <v>140.71299999999999</v>
      </c>
      <c r="AG82">
        <v>215.34800000000001</v>
      </c>
      <c r="AH82">
        <v>140.345</v>
      </c>
      <c r="AK82">
        <v>65.635999999999996</v>
      </c>
      <c r="AL82">
        <v>66.415999999999997</v>
      </c>
      <c r="AM82">
        <v>143.04300000000001</v>
      </c>
      <c r="AN82">
        <v>184.19300000000001</v>
      </c>
      <c r="AO82">
        <v>175.52600000000001</v>
      </c>
    </row>
    <row r="83" spans="1:41" hidden="1">
      <c r="A83">
        <v>81</v>
      </c>
      <c r="B83">
        <v>117.48399999999999</v>
      </c>
      <c r="C83" s="1">
        <v>0.11540300000000001</v>
      </c>
      <c r="D83" s="1">
        <v>0.115469</v>
      </c>
      <c r="E83" s="1">
        <v>0.11515499999999999</v>
      </c>
      <c r="F83" s="1">
        <v>0.13964499999999999</v>
      </c>
      <c r="G83" s="1"/>
      <c r="H83" s="1"/>
      <c r="I83">
        <v>132.636</v>
      </c>
      <c r="J83" s="1">
        <v>0.115645</v>
      </c>
      <c r="K83" s="1">
        <v>0.115718</v>
      </c>
      <c r="L83" s="1">
        <v>0.115562</v>
      </c>
      <c r="M83" s="1">
        <v>0.11602999999999999</v>
      </c>
      <c r="P83">
        <v>138.715</v>
      </c>
      <c r="Q83" s="1">
        <v>0.116588</v>
      </c>
      <c r="R83" s="1">
        <v>0.117768</v>
      </c>
      <c r="S83" s="1">
        <v>0.11629299999999999</v>
      </c>
      <c r="T83" s="1">
        <v>0.115069</v>
      </c>
      <c r="U83" s="1"/>
      <c r="W83">
        <v>65.16</v>
      </c>
      <c r="X83">
        <v>63.893999999999998</v>
      </c>
      <c r="Y83">
        <v>140.59299999999999</v>
      </c>
      <c r="Z83">
        <v>151.78100000000001</v>
      </c>
      <c r="AA83">
        <v>144.547</v>
      </c>
      <c r="AD83">
        <v>63.582999999999998</v>
      </c>
      <c r="AE83">
        <v>64.072999999999993</v>
      </c>
      <c r="AF83">
        <v>139.16900000000001</v>
      </c>
      <c r="AG83">
        <v>188.83099999999999</v>
      </c>
      <c r="AH83">
        <v>141.375</v>
      </c>
      <c r="AK83">
        <v>65.522000000000006</v>
      </c>
      <c r="AL83">
        <v>66.289000000000001</v>
      </c>
      <c r="AM83">
        <v>140.024</v>
      </c>
      <c r="AN83">
        <v>147.649</v>
      </c>
      <c r="AO83">
        <v>142.63800000000001</v>
      </c>
    </row>
    <row r="84" spans="1:41" hidden="1">
      <c r="A84">
        <v>82</v>
      </c>
      <c r="B84">
        <v>119.22499999999999</v>
      </c>
      <c r="C84" s="1">
        <v>0.116954</v>
      </c>
      <c r="D84" s="1">
        <v>0.11765299999999999</v>
      </c>
      <c r="E84" s="1">
        <v>0.118696</v>
      </c>
      <c r="F84" s="1">
        <v>0.11537500000000001</v>
      </c>
      <c r="G84" s="1"/>
      <c r="H84" s="1"/>
      <c r="I84">
        <v>115.595</v>
      </c>
      <c r="J84" s="1">
        <v>0.114926</v>
      </c>
      <c r="K84" s="1">
        <v>0.119092</v>
      </c>
      <c r="L84" s="1">
        <v>0.119384</v>
      </c>
      <c r="M84" s="1">
        <v>0.118252</v>
      </c>
      <c r="N84" s="1"/>
      <c r="P84">
        <v>116.303</v>
      </c>
      <c r="Q84" s="1">
        <v>0.115704</v>
      </c>
      <c r="R84" s="1">
        <v>0.11608599999999999</v>
      </c>
      <c r="S84" s="1">
        <v>0.11634</v>
      </c>
      <c r="T84" s="1">
        <v>0.115173</v>
      </c>
      <c r="U84" s="1"/>
      <c r="W84">
        <v>63.703000000000003</v>
      </c>
      <c r="X84">
        <v>65.483999999999995</v>
      </c>
      <c r="Y84">
        <v>160.09</v>
      </c>
      <c r="Z84">
        <v>145.935</v>
      </c>
      <c r="AA84">
        <v>145.30799999999999</v>
      </c>
      <c r="AD84">
        <v>66.644000000000005</v>
      </c>
      <c r="AE84">
        <v>64.629000000000005</v>
      </c>
      <c r="AF84">
        <v>140.874</v>
      </c>
      <c r="AG84">
        <v>187.79599999999999</v>
      </c>
      <c r="AH84">
        <v>140.21600000000001</v>
      </c>
      <c r="AK84">
        <v>66.543999999999997</v>
      </c>
      <c r="AL84">
        <v>66.316000000000003</v>
      </c>
      <c r="AM84">
        <v>143.17400000000001</v>
      </c>
      <c r="AN84">
        <v>151.27099999999999</v>
      </c>
      <c r="AO84">
        <v>143.255</v>
      </c>
    </row>
    <row r="85" spans="1:41" hidden="1">
      <c r="A85">
        <v>83</v>
      </c>
      <c r="B85">
        <v>116.07</v>
      </c>
      <c r="C85" s="1">
        <v>0.11491700000000001</v>
      </c>
      <c r="D85" s="1">
        <v>0.11516999999999999</v>
      </c>
      <c r="E85" s="1">
        <v>0.117314</v>
      </c>
      <c r="F85" s="1">
        <v>0.116009</v>
      </c>
      <c r="G85" s="1"/>
      <c r="H85" s="1"/>
      <c r="I85">
        <v>119.14100000000001</v>
      </c>
      <c r="J85" s="1">
        <v>0.130941</v>
      </c>
      <c r="K85" s="1">
        <v>0.123086</v>
      </c>
      <c r="L85" s="1">
        <v>0.13455900000000001</v>
      </c>
      <c r="M85" s="1">
        <v>0.128807</v>
      </c>
      <c r="N85" s="1"/>
      <c r="P85">
        <v>115.741</v>
      </c>
      <c r="Q85" s="1">
        <v>0.11526500000000001</v>
      </c>
      <c r="R85" s="1">
        <v>0.11594500000000001</v>
      </c>
      <c r="S85" s="1">
        <v>0.115909</v>
      </c>
      <c r="T85" s="1">
        <v>0.115037</v>
      </c>
      <c r="U85" s="1"/>
      <c r="W85">
        <v>64.682000000000002</v>
      </c>
      <c r="X85">
        <v>63.503</v>
      </c>
      <c r="Y85">
        <v>141.874</v>
      </c>
      <c r="Z85">
        <v>154.46799999999999</v>
      </c>
      <c r="AA85">
        <v>144.50399999999999</v>
      </c>
      <c r="AD85">
        <v>63.88</v>
      </c>
      <c r="AE85">
        <v>64.396000000000001</v>
      </c>
      <c r="AF85">
        <v>139.148</v>
      </c>
      <c r="AG85">
        <v>189.19900000000001</v>
      </c>
      <c r="AH85">
        <v>140.148</v>
      </c>
      <c r="AK85">
        <v>65.515000000000001</v>
      </c>
      <c r="AL85">
        <v>66.308999999999997</v>
      </c>
      <c r="AM85">
        <v>140.441</v>
      </c>
      <c r="AN85">
        <v>148.22200000000001</v>
      </c>
      <c r="AO85">
        <v>142.44</v>
      </c>
    </row>
    <row r="86" spans="1:41" hidden="1">
      <c r="A86">
        <v>84</v>
      </c>
      <c r="B86">
        <v>117.396</v>
      </c>
      <c r="C86" s="1">
        <v>0.115659</v>
      </c>
      <c r="D86" s="1">
        <v>0.115895</v>
      </c>
      <c r="E86" s="1">
        <v>0.11545800000000001</v>
      </c>
      <c r="F86" s="1">
        <v>0.11458500000000001</v>
      </c>
      <c r="G86" s="1"/>
      <c r="H86" s="1"/>
      <c r="I86">
        <v>133.161</v>
      </c>
      <c r="J86" s="1">
        <v>0.125835</v>
      </c>
      <c r="K86" s="1">
        <v>0.129689</v>
      </c>
      <c r="L86" s="1">
        <v>0.12975100000000001</v>
      </c>
      <c r="M86" s="1">
        <v>0.118172</v>
      </c>
      <c r="N86" s="1"/>
      <c r="P86">
        <v>116.535</v>
      </c>
      <c r="Q86" s="1">
        <v>0.115379</v>
      </c>
      <c r="R86" s="1">
        <v>0.115837</v>
      </c>
      <c r="S86" s="1">
        <v>0.116108</v>
      </c>
      <c r="T86" s="1">
        <v>0.115226</v>
      </c>
      <c r="U86" s="1"/>
      <c r="W86">
        <v>69.876000000000005</v>
      </c>
      <c r="X86">
        <v>63.784999999999997</v>
      </c>
      <c r="Y86">
        <v>138.97</v>
      </c>
      <c r="Z86">
        <v>145.62100000000001</v>
      </c>
      <c r="AA86">
        <v>144.67099999999999</v>
      </c>
      <c r="AD86">
        <v>64.572999999999993</v>
      </c>
      <c r="AE86">
        <v>64.58</v>
      </c>
      <c r="AF86">
        <v>140.995</v>
      </c>
      <c r="AG86">
        <v>213.53</v>
      </c>
      <c r="AH86">
        <v>140.58199999999999</v>
      </c>
      <c r="AK86">
        <v>66.037999999999997</v>
      </c>
      <c r="AL86">
        <v>66.248999999999995</v>
      </c>
      <c r="AM86">
        <v>141.94399999999999</v>
      </c>
      <c r="AN86">
        <v>148.143</v>
      </c>
      <c r="AO86">
        <v>167.92400000000001</v>
      </c>
    </row>
    <row r="87" spans="1:41" hidden="1">
      <c r="A87">
        <v>85</v>
      </c>
      <c r="B87">
        <v>119.92100000000001</v>
      </c>
      <c r="C87" s="1">
        <v>0.11572499999999999</v>
      </c>
      <c r="D87" s="1">
        <v>0.115561</v>
      </c>
      <c r="E87" s="1">
        <v>0.11665200000000001</v>
      </c>
      <c r="F87" s="1">
        <v>0.115369</v>
      </c>
      <c r="G87" s="1"/>
      <c r="H87" s="1"/>
      <c r="I87">
        <v>147.434</v>
      </c>
      <c r="J87" s="1">
        <v>0.11507299999999999</v>
      </c>
      <c r="K87" s="1">
        <v>0.11586</v>
      </c>
      <c r="L87" s="1">
        <v>0.11680599999999999</v>
      </c>
      <c r="M87" s="1">
        <v>0.115453</v>
      </c>
      <c r="N87" s="1"/>
      <c r="P87">
        <v>115.58799999999999</v>
      </c>
      <c r="Q87" s="1">
        <v>0.138295</v>
      </c>
      <c r="R87" s="1">
        <v>0.116989</v>
      </c>
      <c r="S87" s="1">
        <v>0.116717</v>
      </c>
      <c r="T87" s="1">
        <v>0.115319</v>
      </c>
      <c r="U87" s="1"/>
      <c r="W87">
        <v>65.647000000000006</v>
      </c>
      <c r="X87">
        <v>63.515999999999998</v>
      </c>
      <c r="Y87">
        <v>140.92699999999999</v>
      </c>
      <c r="Z87">
        <v>152.34299999999999</v>
      </c>
      <c r="AA87">
        <v>144.797</v>
      </c>
      <c r="AD87">
        <v>63.866</v>
      </c>
      <c r="AE87">
        <v>64.091999999999999</v>
      </c>
      <c r="AF87">
        <v>141.08199999999999</v>
      </c>
      <c r="AG87">
        <v>187.92699999999999</v>
      </c>
      <c r="AH87">
        <v>139.96</v>
      </c>
      <c r="AK87">
        <v>65.010000000000005</v>
      </c>
      <c r="AL87">
        <v>66.272000000000006</v>
      </c>
      <c r="AM87">
        <v>140.399</v>
      </c>
      <c r="AN87">
        <v>148.69499999999999</v>
      </c>
      <c r="AO87">
        <v>142.018</v>
      </c>
    </row>
    <row r="88" spans="1:41" hidden="1">
      <c r="A88">
        <v>86</v>
      </c>
      <c r="B88">
        <v>150.25399999999999</v>
      </c>
      <c r="C88" s="1">
        <v>0.114926</v>
      </c>
      <c r="D88" s="1">
        <v>0.115442</v>
      </c>
      <c r="E88" s="1">
        <v>0.115213</v>
      </c>
      <c r="F88" s="1">
        <v>0.115636</v>
      </c>
      <c r="G88" s="1"/>
      <c r="H88" s="1"/>
      <c r="I88">
        <v>116.12</v>
      </c>
      <c r="J88" s="1">
        <v>0.115707</v>
      </c>
      <c r="K88" s="1">
        <v>0.115852</v>
      </c>
      <c r="L88" s="1">
        <v>0.115691</v>
      </c>
      <c r="M88" s="1">
        <v>0.11572300000000001</v>
      </c>
      <c r="N88" s="1"/>
      <c r="P88">
        <v>116.203</v>
      </c>
      <c r="Q88" s="1">
        <v>0.115867</v>
      </c>
      <c r="R88" s="1">
        <v>0.116242</v>
      </c>
      <c r="S88" s="1">
        <v>0.11623799999999999</v>
      </c>
      <c r="T88" s="1">
        <v>0.114799</v>
      </c>
      <c r="U88" s="1"/>
      <c r="W88">
        <v>65.171000000000006</v>
      </c>
      <c r="X88">
        <v>63.572000000000003</v>
      </c>
      <c r="Y88">
        <v>141.006</v>
      </c>
      <c r="Z88">
        <v>171.834</v>
      </c>
      <c r="AA88">
        <v>144.75299999999999</v>
      </c>
      <c r="AD88">
        <v>64.361000000000004</v>
      </c>
      <c r="AE88">
        <v>64.561999999999998</v>
      </c>
      <c r="AF88">
        <v>141.75399999999999</v>
      </c>
      <c r="AG88">
        <v>187.50200000000001</v>
      </c>
      <c r="AH88">
        <v>139.84</v>
      </c>
      <c r="AK88">
        <v>65.748999999999995</v>
      </c>
      <c r="AL88">
        <v>66.593000000000004</v>
      </c>
      <c r="AM88">
        <v>140.56299999999999</v>
      </c>
      <c r="AN88">
        <v>148.03399999999999</v>
      </c>
      <c r="AO88">
        <v>142.26499999999999</v>
      </c>
    </row>
    <row r="89" spans="1:41" hidden="1">
      <c r="A89">
        <v>87</v>
      </c>
      <c r="B89">
        <v>118.148</v>
      </c>
      <c r="C89" s="1">
        <v>0.116234</v>
      </c>
      <c r="D89" s="1">
        <v>0.11737599999999999</v>
      </c>
      <c r="E89" s="1">
        <v>0.116634</v>
      </c>
      <c r="F89" s="1">
        <v>0.114981</v>
      </c>
      <c r="G89" s="1"/>
      <c r="H89" s="1"/>
      <c r="I89">
        <v>115.39100000000001</v>
      </c>
      <c r="J89" s="1">
        <v>0.11548600000000001</v>
      </c>
      <c r="K89" s="1">
        <v>0.115884</v>
      </c>
      <c r="L89" s="1">
        <v>0.116812</v>
      </c>
      <c r="M89" s="1">
        <v>0.115435</v>
      </c>
      <c r="N89" s="1"/>
      <c r="P89">
        <v>117.42</v>
      </c>
      <c r="Q89" s="1">
        <v>0.11677</v>
      </c>
      <c r="R89" s="1">
        <v>0.11645800000000001</v>
      </c>
      <c r="S89" s="1">
        <v>0.116421</v>
      </c>
      <c r="T89" s="1">
        <v>0.114708</v>
      </c>
      <c r="U89" s="1"/>
      <c r="W89">
        <v>65.055999999999997</v>
      </c>
      <c r="X89">
        <v>63.7</v>
      </c>
      <c r="Y89">
        <v>140.988</v>
      </c>
      <c r="Z89">
        <v>152.523</v>
      </c>
      <c r="AA89">
        <v>144.965</v>
      </c>
      <c r="AD89">
        <v>64.679000000000002</v>
      </c>
      <c r="AE89">
        <v>63.933999999999997</v>
      </c>
      <c r="AF89">
        <v>139.38999999999999</v>
      </c>
      <c r="AG89">
        <v>187.25700000000001</v>
      </c>
      <c r="AH89">
        <v>140.55799999999999</v>
      </c>
      <c r="AK89">
        <v>65.025999999999996</v>
      </c>
      <c r="AL89">
        <v>66.180000000000007</v>
      </c>
      <c r="AM89">
        <v>140.84299999999999</v>
      </c>
      <c r="AN89">
        <v>148.166</v>
      </c>
      <c r="AO89">
        <v>142.285</v>
      </c>
    </row>
    <row r="90" spans="1:41" hidden="1">
      <c r="A90">
        <v>88</v>
      </c>
      <c r="B90">
        <v>115.822</v>
      </c>
      <c r="C90" s="1">
        <v>0.114398</v>
      </c>
      <c r="D90" s="1">
        <v>0.114869</v>
      </c>
      <c r="E90" s="1">
        <v>0.115203</v>
      </c>
      <c r="F90" s="1">
        <v>0.114938</v>
      </c>
      <c r="G90" s="1"/>
      <c r="H90" s="1"/>
      <c r="I90">
        <v>116.125</v>
      </c>
      <c r="J90" s="1">
        <v>0.11549</v>
      </c>
      <c r="K90" s="1">
        <v>0.116507</v>
      </c>
      <c r="L90" s="1">
        <v>0.115885</v>
      </c>
      <c r="M90" s="1">
        <v>0.114852</v>
      </c>
      <c r="P90">
        <v>116.065</v>
      </c>
      <c r="Q90" s="1">
        <v>0.11533</v>
      </c>
      <c r="R90" s="1">
        <v>0.116107</v>
      </c>
      <c r="S90" s="1">
        <v>0.116087</v>
      </c>
      <c r="T90" s="1">
        <v>0.115373</v>
      </c>
      <c r="U90" s="1"/>
      <c r="W90">
        <v>65.484999999999999</v>
      </c>
      <c r="X90">
        <v>63.707999999999998</v>
      </c>
      <c r="Y90">
        <v>139.46600000000001</v>
      </c>
      <c r="Z90">
        <v>146.63900000000001</v>
      </c>
      <c r="AA90">
        <v>145.46600000000001</v>
      </c>
      <c r="AD90">
        <v>64.164000000000001</v>
      </c>
      <c r="AE90">
        <v>64.42</v>
      </c>
      <c r="AF90">
        <v>141.041</v>
      </c>
      <c r="AG90">
        <v>189.06299999999999</v>
      </c>
      <c r="AH90">
        <v>158.18600000000001</v>
      </c>
      <c r="AK90">
        <v>65.801000000000002</v>
      </c>
      <c r="AL90">
        <v>66.474000000000004</v>
      </c>
      <c r="AM90">
        <v>140.04300000000001</v>
      </c>
      <c r="AN90">
        <v>148.101</v>
      </c>
      <c r="AO90">
        <v>142.24299999999999</v>
      </c>
    </row>
    <row r="91" spans="1:41" hidden="1">
      <c r="A91">
        <v>89</v>
      </c>
      <c r="B91">
        <v>116.02200000000001</v>
      </c>
      <c r="C91" s="1">
        <v>0.114713</v>
      </c>
      <c r="D91" s="1">
        <v>0.11459900000000001</v>
      </c>
      <c r="E91" s="1">
        <v>0.114921</v>
      </c>
      <c r="F91" s="1">
        <v>0.114427</v>
      </c>
      <c r="G91" s="1"/>
      <c r="H91" s="1"/>
      <c r="I91">
        <v>115.467</v>
      </c>
      <c r="J91" s="1">
        <v>0.133936</v>
      </c>
      <c r="K91" s="1">
        <v>0.117946</v>
      </c>
      <c r="L91" s="1">
        <v>0.115352</v>
      </c>
      <c r="M91" s="1">
        <v>0.115092</v>
      </c>
      <c r="N91" s="1"/>
      <c r="P91">
        <v>116.20099999999999</v>
      </c>
      <c r="Q91" s="1">
        <v>0.115548</v>
      </c>
      <c r="R91" s="1">
        <v>0.14249899999999999</v>
      </c>
      <c r="S91" s="1">
        <v>0.11686299999999999</v>
      </c>
      <c r="T91" s="1">
        <v>0.11583499999999999</v>
      </c>
      <c r="U91" s="1"/>
      <c r="W91">
        <v>64.97</v>
      </c>
      <c r="X91">
        <v>63.947000000000003</v>
      </c>
      <c r="Y91">
        <v>141.42599999999999</v>
      </c>
      <c r="Z91">
        <v>152.65899999999999</v>
      </c>
      <c r="AA91">
        <v>146.215</v>
      </c>
      <c r="AD91">
        <v>64.128</v>
      </c>
      <c r="AE91">
        <v>64.167000000000002</v>
      </c>
      <c r="AF91">
        <v>141.654</v>
      </c>
      <c r="AG91">
        <v>188.381</v>
      </c>
      <c r="AH91">
        <v>140.52099999999999</v>
      </c>
      <c r="AK91">
        <v>65.094999999999999</v>
      </c>
      <c r="AL91">
        <v>66.715999999999994</v>
      </c>
      <c r="AM91">
        <v>156.15700000000001</v>
      </c>
      <c r="AN91">
        <v>148.46100000000001</v>
      </c>
      <c r="AO91">
        <v>141.98500000000001</v>
      </c>
    </row>
    <row r="92" spans="1:41" hidden="1">
      <c r="A92">
        <v>90</v>
      </c>
      <c r="B92">
        <v>117.265</v>
      </c>
      <c r="C92" s="1">
        <v>0.115326</v>
      </c>
      <c r="D92" s="1">
        <v>0.11613</v>
      </c>
      <c r="E92" s="1">
        <v>0.115006</v>
      </c>
      <c r="F92" s="1">
        <v>0.14053199999999999</v>
      </c>
      <c r="G92" s="1"/>
      <c r="H92" s="1"/>
      <c r="I92">
        <v>115.80500000000001</v>
      </c>
      <c r="J92" s="1">
        <v>0.115774</v>
      </c>
      <c r="K92" s="1">
        <v>0.11548</v>
      </c>
      <c r="L92" s="1">
        <v>0.115789</v>
      </c>
      <c r="M92" s="1">
        <v>0.11708200000000001</v>
      </c>
      <c r="N92" s="1"/>
      <c r="P92">
        <v>116.113</v>
      </c>
      <c r="Q92" s="1">
        <v>0.116011</v>
      </c>
      <c r="R92" s="1">
        <v>0.116005</v>
      </c>
      <c r="S92" s="1">
        <v>0.116857</v>
      </c>
      <c r="T92" s="1">
        <v>0.1152</v>
      </c>
      <c r="U92" s="1"/>
      <c r="W92">
        <v>63.856000000000002</v>
      </c>
      <c r="X92">
        <v>63.557000000000002</v>
      </c>
      <c r="Y92">
        <v>140.04300000000001</v>
      </c>
      <c r="Z92">
        <v>145.44499999999999</v>
      </c>
      <c r="AA92">
        <v>144.96899999999999</v>
      </c>
      <c r="AD92">
        <v>64.768000000000001</v>
      </c>
      <c r="AE92">
        <v>64.090999999999994</v>
      </c>
      <c r="AF92">
        <v>141.36500000000001</v>
      </c>
      <c r="AG92">
        <v>187.501</v>
      </c>
      <c r="AH92">
        <v>140.06200000000001</v>
      </c>
      <c r="AK92">
        <v>66.031999999999996</v>
      </c>
      <c r="AL92">
        <v>66.489000000000004</v>
      </c>
      <c r="AM92">
        <v>139.614</v>
      </c>
      <c r="AN92">
        <v>149.72800000000001</v>
      </c>
      <c r="AO92">
        <v>142.44800000000001</v>
      </c>
    </row>
    <row r="93" spans="1:41" hidden="1">
      <c r="A93">
        <v>91</v>
      </c>
      <c r="B93">
        <v>119.48099999999999</v>
      </c>
      <c r="C93" s="1">
        <v>0.114978</v>
      </c>
      <c r="D93" s="1">
        <v>0.11495900000000001</v>
      </c>
      <c r="E93" s="1">
        <v>0.114621</v>
      </c>
      <c r="F93" s="1">
        <v>0.114735</v>
      </c>
      <c r="G93" s="1"/>
      <c r="H93" s="1"/>
      <c r="I93">
        <v>117.291</v>
      </c>
      <c r="J93" s="1">
        <v>0.115552</v>
      </c>
      <c r="K93" s="1">
        <v>0.11606</v>
      </c>
      <c r="L93" s="1">
        <v>0.116936</v>
      </c>
      <c r="M93" s="1">
        <v>0.116231</v>
      </c>
      <c r="P93">
        <v>115.89100000000001</v>
      </c>
      <c r="Q93" s="1">
        <v>0.115727</v>
      </c>
      <c r="R93" s="1">
        <v>0.11627800000000001</v>
      </c>
      <c r="S93" s="1">
        <v>0.116089</v>
      </c>
      <c r="T93" s="1">
        <v>0.114921</v>
      </c>
      <c r="W93">
        <v>99.171000000000006</v>
      </c>
      <c r="X93">
        <v>64.274000000000001</v>
      </c>
      <c r="Y93">
        <v>140.54499999999999</v>
      </c>
      <c r="Z93">
        <v>152.16999999999999</v>
      </c>
      <c r="AA93">
        <v>144.46799999999999</v>
      </c>
      <c r="AD93">
        <v>63.847999999999999</v>
      </c>
      <c r="AE93">
        <v>64.058000000000007</v>
      </c>
      <c r="AF93">
        <v>139.334</v>
      </c>
      <c r="AG93">
        <v>187.68899999999999</v>
      </c>
      <c r="AH93">
        <v>140.35900000000001</v>
      </c>
      <c r="AK93">
        <v>65.384</v>
      </c>
      <c r="AL93">
        <v>66.957999999999998</v>
      </c>
      <c r="AM93">
        <v>140.203</v>
      </c>
      <c r="AN93">
        <v>147.721</v>
      </c>
      <c r="AO93">
        <v>141.703</v>
      </c>
    </row>
    <row r="94" spans="1:41" hidden="1">
      <c r="A94">
        <v>92</v>
      </c>
      <c r="B94">
        <v>118.711</v>
      </c>
      <c r="C94" s="1">
        <v>0.115115</v>
      </c>
      <c r="D94" s="1">
        <v>0.115777</v>
      </c>
      <c r="E94" s="1">
        <v>0.114639</v>
      </c>
      <c r="F94" s="1">
        <v>0.115504</v>
      </c>
      <c r="G94" s="1"/>
      <c r="I94">
        <v>115.84</v>
      </c>
      <c r="J94" s="1">
        <v>0.114924</v>
      </c>
      <c r="K94" s="1">
        <v>0.11601599999999999</v>
      </c>
      <c r="L94" s="1">
        <v>0.116105</v>
      </c>
      <c r="M94" s="1">
        <v>0.115448</v>
      </c>
      <c r="N94" s="1"/>
      <c r="P94">
        <v>115.19</v>
      </c>
      <c r="Q94" s="1">
        <v>0.11546099999999999</v>
      </c>
      <c r="R94" s="1">
        <v>0.116966</v>
      </c>
      <c r="S94" s="1">
        <v>0.116244</v>
      </c>
      <c r="T94" s="1">
        <v>0.115846</v>
      </c>
      <c r="U94" s="1"/>
      <c r="W94">
        <v>64.394999999999996</v>
      </c>
      <c r="X94">
        <v>63.564</v>
      </c>
      <c r="Y94">
        <v>139.12100000000001</v>
      </c>
      <c r="Z94">
        <v>145.18600000000001</v>
      </c>
      <c r="AA94">
        <v>145.31800000000001</v>
      </c>
      <c r="AD94">
        <v>64.629000000000005</v>
      </c>
      <c r="AE94">
        <v>64.185000000000002</v>
      </c>
      <c r="AF94">
        <v>140.78800000000001</v>
      </c>
      <c r="AG94">
        <v>187.89099999999999</v>
      </c>
      <c r="AH94">
        <v>158.09200000000001</v>
      </c>
      <c r="AK94">
        <v>65.656999999999996</v>
      </c>
      <c r="AL94">
        <v>66.468000000000004</v>
      </c>
      <c r="AM94">
        <v>140.625</v>
      </c>
      <c r="AN94">
        <v>148.523</v>
      </c>
      <c r="AO94">
        <v>142.494</v>
      </c>
    </row>
    <row r="95" spans="1:41" hidden="1">
      <c r="A95">
        <v>93</v>
      </c>
      <c r="B95">
        <v>116.611</v>
      </c>
      <c r="C95" s="1">
        <v>0.114671</v>
      </c>
      <c r="D95" s="1">
        <v>0.11505</v>
      </c>
      <c r="E95" s="1">
        <v>0.115158</v>
      </c>
      <c r="F95" s="1">
        <v>0.115149</v>
      </c>
      <c r="G95" s="1"/>
      <c r="H95" s="1"/>
      <c r="I95">
        <v>115.34099999999999</v>
      </c>
      <c r="J95" s="1">
        <v>0.116271</v>
      </c>
      <c r="K95" s="1">
        <v>0.11589000000000001</v>
      </c>
      <c r="L95" s="1">
        <v>0.143483</v>
      </c>
      <c r="M95" s="1">
        <v>0.117169</v>
      </c>
      <c r="N95" s="1"/>
      <c r="P95">
        <v>118.60299999999999</v>
      </c>
      <c r="Q95" s="1">
        <v>0.115936</v>
      </c>
      <c r="R95" s="1">
        <v>0.11697399999999999</v>
      </c>
      <c r="S95" s="1">
        <v>0.11615499999999999</v>
      </c>
      <c r="T95" s="1">
        <v>0.11507000000000001</v>
      </c>
      <c r="W95">
        <v>64.066999999999993</v>
      </c>
      <c r="X95">
        <v>64.363</v>
      </c>
      <c r="Y95">
        <v>141.00200000000001</v>
      </c>
      <c r="Z95">
        <v>151.60900000000001</v>
      </c>
      <c r="AA95">
        <v>146.44399999999999</v>
      </c>
      <c r="AD95">
        <v>64.022000000000006</v>
      </c>
      <c r="AE95">
        <v>67.947999999999993</v>
      </c>
      <c r="AF95">
        <v>139.58199999999999</v>
      </c>
      <c r="AG95">
        <v>189.86699999999999</v>
      </c>
      <c r="AH95">
        <v>140.161</v>
      </c>
      <c r="AK95">
        <v>64.942999999999998</v>
      </c>
      <c r="AL95">
        <v>66.162999999999997</v>
      </c>
      <c r="AM95">
        <v>139.53</v>
      </c>
      <c r="AN95">
        <v>164.91300000000001</v>
      </c>
      <c r="AO95">
        <v>141.708</v>
      </c>
    </row>
    <row r="96" spans="1:41" hidden="1">
      <c r="A96">
        <v>94</v>
      </c>
      <c r="B96">
        <v>115.482</v>
      </c>
      <c r="C96" s="1">
        <v>0.11572300000000001</v>
      </c>
      <c r="D96" s="1">
        <v>0.114758</v>
      </c>
      <c r="E96" s="1">
        <v>0.11505700000000001</v>
      </c>
      <c r="F96" s="1">
        <v>0.11496099999999999</v>
      </c>
      <c r="G96" s="1"/>
      <c r="H96" s="1"/>
      <c r="I96">
        <v>119.886</v>
      </c>
      <c r="J96" s="1">
        <v>0.126002</v>
      </c>
      <c r="K96" s="1">
        <v>0.117565</v>
      </c>
      <c r="L96" s="1">
        <v>0.115756</v>
      </c>
      <c r="M96" s="1">
        <v>0.116184</v>
      </c>
      <c r="N96" s="1"/>
      <c r="P96">
        <v>115.645</v>
      </c>
      <c r="Q96" s="1">
        <v>0.13799700000000001</v>
      </c>
      <c r="R96" s="1">
        <v>0.116102</v>
      </c>
      <c r="S96" s="1">
        <v>0.116565</v>
      </c>
      <c r="T96" s="1">
        <v>0.115145</v>
      </c>
      <c r="U96" s="1"/>
      <c r="W96">
        <v>64.007999999999996</v>
      </c>
      <c r="X96">
        <v>64.126000000000005</v>
      </c>
      <c r="Y96">
        <v>140.59100000000001</v>
      </c>
      <c r="Z96">
        <v>145.16300000000001</v>
      </c>
      <c r="AA96">
        <v>145.476</v>
      </c>
      <c r="AD96">
        <v>64.307000000000002</v>
      </c>
      <c r="AE96">
        <v>64.256</v>
      </c>
      <c r="AF96">
        <v>140.59800000000001</v>
      </c>
      <c r="AG96">
        <v>187.66399999999999</v>
      </c>
      <c r="AH96">
        <v>140.249</v>
      </c>
      <c r="AK96">
        <v>65.591999999999999</v>
      </c>
      <c r="AL96">
        <v>66.727000000000004</v>
      </c>
      <c r="AM96">
        <v>141.863</v>
      </c>
      <c r="AN96">
        <v>148.166</v>
      </c>
      <c r="AO96">
        <v>142.363</v>
      </c>
    </row>
    <row r="97" spans="1:41">
      <c r="A97">
        <v>95</v>
      </c>
      <c r="B97">
        <v>143.82300000000001</v>
      </c>
      <c r="C97" s="1">
        <v>0.115439</v>
      </c>
      <c r="D97" s="1">
        <v>0.115053</v>
      </c>
      <c r="E97" s="1">
        <v>0.11580699999999999</v>
      </c>
      <c r="F97" s="1">
        <v>0.115257</v>
      </c>
      <c r="G97" s="1"/>
      <c r="H97" s="1"/>
      <c r="I97">
        <v>115.336</v>
      </c>
      <c r="J97" s="1">
        <v>0.11665200000000001</v>
      </c>
      <c r="K97" s="1">
        <v>0.115846</v>
      </c>
      <c r="L97" s="1">
        <v>0.11572399999999999</v>
      </c>
      <c r="M97" s="1">
        <v>0.115204</v>
      </c>
      <c r="N97" s="1"/>
      <c r="P97">
        <v>116.142</v>
      </c>
      <c r="Q97" s="1">
        <v>0.115429</v>
      </c>
      <c r="R97" s="1">
        <v>0.116035</v>
      </c>
      <c r="S97" s="1">
        <v>0.11612</v>
      </c>
      <c r="T97" s="1">
        <v>0.115685</v>
      </c>
      <c r="U97" s="1"/>
      <c r="W97">
        <v>64.834000000000003</v>
      </c>
      <c r="X97">
        <v>64.347999999999999</v>
      </c>
      <c r="Y97">
        <v>140.25399999999999</v>
      </c>
      <c r="Z97">
        <v>151.88200000000001</v>
      </c>
      <c r="AA97">
        <v>172.86199999999999</v>
      </c>
      <c r="AD97">
        <v>66.921999999999997</v>
      </c>
      <c r="AE97">
        <v>64.519000000000005</v>
      </c>
      <c r="AF97">
        <v>140.155</v>
      </c>
      <c r="AG97">
        <v>188.001</v>
      </c>
      <c r="AH97">
        <v>140.06399999999999</v>
      </c>
      <c r="AK97">
        <v>65.629000000000005</v>
      </c>
      <c r="AL97">
        <v>66.161000000000001</v>
      </c>
      <c r="AM97">
        <v>145.58500000000001</v>
      </c>
      <c r="AN97">
        <v>151.011</v>
      </c>
      <c r="AO97">
        <v>142.67400000000001</v>
      </c>
    </row>
    <row r="98" spans="1:41">
      <c r="A98">
        <v>96</v>
      </c>
      <c r="B98">
        <v>118.36199999999999</v>
      </c>
      <c r="C98" s="1">
        <v>0.11484900000000001</v>
      </c>
      <c r="D98" s="1">
        <v>0.11531</v>
      </c>
      <c r="E98" s="1">
        <v>0.114929</v>
      </c>
      <c r="F98" s="1">
        <v>0.114554</v>
      </c>
      <c r="G98" s="1"/>
      <c r="H98" s="1"/>
      <c r="I98">
        <v>116.045</v>
      </c>
      <c r="J98" s="1">
        <v>0.116157</v>
      </c>
      <c r="K98" s="1">
        <v>0.115907</v>
      </c>
      <c r="L98" s="1">
        <v>0.116526</v>
      </c>
      <c r="M98" s="1">
        <v>0.11713</v>
      </c>
      <c r="N98" s="1"/>
      <c r="P98">
        <v>115.98</v>
      </c>
      <c r="Q98" s="1">
        <v>0.115478</v>
      </c>
      <c r="R98" s="1">
        <v>0.116448</v>
      </c>
      <c r="S98" s="1">
        <v>0.116288</v>
      </c>
      <c r="T98" s="1">
        <v>0.115575</v>
      </c>
      <c r="W98">
        <v>64.903999999999996</v>
      </c>
      <c r="X98">
        <v>63.671999999999997</v>
      </c>
      <c r="Y98">
        <v>139</v>
      </c>
      <c r="Z98">
        <v>144.75399999999999</v>
      </c>
      <c r="AA98">
        <v>145.27600000000001</v>
      </c>
      <c r="AD98">
        <v>64.56</v>
      </c>
      <c r="AE98">
        <v>64.566000000000003</v>
      </c>
      <c r="AF98">
        <v>141.16900000000001</v>
      </c>
      <c r="AG98">
        <v>187.97300000000001</v>
      </c>
      <c r="AH98">
        <v>140.411</v>
      </c>
      <c r="AK98">
        <v>66.412000000000006</v>
      </c>
      <c r="AL98">
        <v>66.718000000000004</v>
      </c>
      <c r="AM98">
        <v>140.374</v>
      </c>
      <c r="AN98">
        <v>147.87100000000001</v>
      </c>
      <c r="AO98">
        <v>146.648</v>
      </c>
    </row>
    <row r="99" spans="1:41">
      <c r="A99">
        <v>97</v>
      </c>
      <c r="B99">
        <v>118.129</v>
      </c>
      <c r="C99" s="1">
        <v>0.115518</v>
      </c>
      <c r="D99" s="1">
        <v>0.114757</v>
      </c>
      <c r="E99" s="1">
        <v>0.116109</v>
      </c>
      <c r="F99" s="1">
        <v>0.115213</v>
      </c>
      <c r="G99" s="1"/>
      <c r="I99">
        <v>115.331</v>
      </c>
      <c r="J99" s="1">
        <v>0.11494500000000001</v>
      </c>
      <c r="K99" s="1">
        <v>0.115466</v>
      </c>
      <c r="L99" s="1">
        <v>0.116509</v>
      </c>
      <c r="M99" s="1">
        <v>0.13162499999999999</v>
      </c>
      <c r="N99" s="1"/>
      <c r="P99">
        <v>115.98399999999999</v>
      </c>
      <c r="Q99" s="1">
        <v>0.11541800000000001</v>
      </c>
      <c r="R99" s="1">
        <v>0.11767900000000001</v>
      </c>
      <c r="S99" s="1">
        <v>0.117073</v>
      </c>
      <c r="T99" s="1">
        <v>0.115388</v>
      </c>
      <c r="U99" s="1"/>
      <c r="W99">
        <v>64.605000000000004</v>
      </c>
      <c r="X99">
        <v>63.835000000000001</v>
      </c>
      <c r="Y99">
        <v>141.06399999999999</v>
      </c>
      <c r="Z99">
        <v>151.96299999999999</v>
      </c>
      <c r="AA99">
        <v>144.93700000000001</v>
      </c>
      <c r="AD99">
        <v>91.305999999999997</v>
      </c>
      <c r="AE99">
        <v>64.415000000000006</v>
      </c>
      <c r="AF99">
        <v>139.57599999999999</v>
      </c>
      <c r="AG99">
        <v>187.95599999999999</v>
      </c>
      <c r="AH99">
        <v>140.81200000000001</v>
      </c>
      <c r="AK99">
        <v>65.442999999999998</v>
      </c>
      <c r="AL99">
        <v>66.138000000000005</v>
      </c>
      <c r="AM99">
        <v>139.953</v>
      </c>
      <c r="AN99">
        <v>148.33000000000001</v>
      </c>
      <c r="AO99">
        <v>142.70400000000001</v>
      </c>
    </row>
    <row r="100" spans="1:41">
      <c r="A100">
        <v>98</v>
      </c>
      <c r="B100">
        <v>115.768</v>
      </c>
      <c r="C100" s="1">
        <v>0.114415</v>
      </c>
      <c r="D100" s="1">
        <v>0.114732</v>
      </c>
      <c r="E100" s="1">
        <v>0.114953</v>
      </c>
      <c r="F100" s="1">
        <v>0.114769</v>
      </c>
      <c r="G100" s="1"/>
      <c r="H100" s="1"/>
      <c r="I100">
        <v>115.361</v>
      </c>
      <c r="J100" s="1">
        <v>0.115649</v>
      </c>
      <c r="K100" s="1">
        <v>0.11569500000000001</v>
      </c>
      <c r="L100" s="1">
        <v>0.115665</v>
      </c>
      <c r="M100" s="1">
        <v>0.11489000000000001</v>
      </c>
      <c r="N100" s="1"/>
      <c r="P100">
        <v>116.63200000000001</v>
      </c>
      <c r="Q100" s="1">
        <v>0.11615</v>
      </c>
      <c r="R100" s="1">
        <v>0.137793</v>
      </c>
      <c r="S100" s="1">
        <v>0.116608</v>
      </c>
      <c r="T100" s="1">
        <v>0.11523799999999999</v>
      </c>
      <c r="W100">
        <v>63.755000000000003</v>
      </c>
      <c r="X100">
        <v>63.521999999999998</v>
      </c>
      <c r="Y100">
        <v>139.03</v>
      </c>
      <c r="Z100">
        <v>147.624</v>
      </c>
      <c r="AA100">
        <v>144.54499999999999</v>
      </c>
      <c r="AD100">
        <v>64.165999999999997</v>
      </c>
      <c r="AE100">
        <v>64.399000000000001</v>
      </c>
      <c r="AF100">
        <v>141.036</v>
      </c>
      <c r="AG100">
        <v>187.874</v>
      </c>
      <c r="AH100">
        <v>140.02699999999999</v>
      </c>
      <c r="AK100">
        <v>65.802999999999997</v>
      </c>
      <c r="AL100">
        <v>66.382000000000005</v>
      </c>
      <c r="AM100">
        <v>140.53899999999999</v>
      </c>
      <c r="AN100">
        <v>148.21</v>
      </c>
      <c r="AO100">
        <v>142</v>
      </c>
    </row>
    <row r="101" spans="1:41">
      <c r="A101">
        <v>99</v>
      </c>
      <c r="B101">
        <v>117.711</v>
      </c>
      <c r="C101" s="1">
        <v>0.13809199999999999</v>
      </c>
      <c r="D101" s="1">
        <v>0.115119</v>
      </c>
      <c r="E101" s="1">
        <v>0.11547</v>
      </c>
      <c r="F101" s="1">
        <v>0.11521099999999999</v>
      </c>
      <c r="G101" s="1"/>
      <c r="H101" s="1"/>
      <c r="I101">
        <v>115.011</v>
      </c>
      <c r="J101" s="1">
        <v>0.114782</v>
      </c>
      <c r="K101" s="1">
        <v>0.11658300000000001</v>
      </c>
      <c r="L101" s="1">
        <v>0.115702</v>
      </c>
      <c r="M101" s="1">
        <v>0.11468200000000001</v>
      </c>
      <c r="N101" s="1"/>
      <c r="P101">
        <v>119.65</v>
      </c>
      <c r="Q101" s="1">
        <v>0.11548799999999999</v>
      </c>
      <c r="R101" s="1">
        <v>0.117067</v>
      </c>
      <c r="S101" s="1">
        <v>0.116512</v>
      </c>
      <c r="T101" s="1">
        <v>0.115246</v>
      </c>
      <c r="U101" s="1"/>
      <c r="W101">
        <v>64.350999999999999</v>
      </c>
      <c r="X101">
        <v>64.097999999999999</v>
      </c>
      <c r="Y101">
        <v>140.50200000000001</v>
      </c>
      <c r="Z101">
        <v>152.661</v>
      </c>
      <c r="AA101">
        <v>144.69499999999999</v>
      </c>
      <c r="AD101">
        <v>63.981000000000002</v>
      </c>
      <c r="AE101">
        <v>64.103999999999999</v>
      </c>
      <c r="AF101">
        <v>139.059</v>
      </c>
      <c r="AG101">
        <v>187.535</v>
      </c>
      <c r="AH101">
        <v>140.29900000000001</v>
      </c>
      <c r="AK101">
        <v>64.852000000000004</v>
      </c>
      <c r="AL101">
        <v>66.061000000000007</v>
      </c>
      <c r="AM101">
        <v>166.483</v>
      </c>
      <c r="AN101">
        <v>147.98099999999999</v>
      </c>
      <c r="AO101">
        <v>141.59100000000001</v>
      </c>
    </row>
    <row r="102" spans="1:41">
      <c r="A102">
        <v>100</v>
      </c>
      <c r="B102" s="17">
        <v>116.568</v>
      </c>
      <c r="C102" s="60">
        <v>0.115163</v>
      </c>
      <c r="D102" s="60">
        <v>0.11487700000000001</v>
      </c>
      <c r="E102" s="60">
        <v>0.116051</v>
      </c>
      <c r="F102" s="60">
        <v>0.11464000000000001</v>
      </c>
      <c r="G102" s="1"/>
      <c r="H102" s="1"/>
      <c r="I102" s="17">
        <v>115.20099999999999</v>
      </c>
      <c r="J102" s="60">
        <v>0.114678</v>
      </c>
      <c r="K102" s="60">
        <v>0.11604399999999999</v>
      </c>
      <c r="L102" s="60">
        <v>0.11505899999999999</v>
      </c>
      <c r="M102" s="60">
        <v>0.11458500000000001</v>
      </c>
      <c r="N102" s="1"/>
      <c r="P102" s="17">
        <v>116.45399999999999</v>
      </c>
      <c r="Q102" s="60">
        <v>0.115748</v>
      </c>
      <c r="R102" s="60">
        <v>0.11644</v>
      </c>
      <c r="S102" s="60">
        <v>0.11630600000000001</v>
      </c>
      <c r="T102" s="60">
        <v>0.11479300000000001</v>
      </c>
      <c r="U102" s="1"/>
      <c r="W102" s="17">
        <v>64.290000000000006</v>
      </c>
      <c r="X102" s="17">
        <v>64.790999999999997</v>
      </c>
      <c r="Y102" s="17">
        <v>160.489</v>
      </c>
      <c r="Z102" s="17">
        <v>144.75800000000001</v>
      </c>
      <c r="AA102" s="17">
        <v>144.452</v>
      </c>
      <c r="AD102">
        <v>64.224000000000004</v>
      </c>
      <c r="AE102">
        <v>64.36</v>
      </c>
      <c r="AF102">
        <v>141.065</v>
      </c>
      <c r="AG102">
        <v>187.32300000000001</v>
      </c>
      <c r="AH102">
        <v>142.21600000000001</v>
      </c>
      <c r="AK102">
        <v>65.582999999999998</v>
      </c>
      <c r="AL102">
        <v>66.016000000000005</v>
      </c>
      <c r="AM102">
        <v>140.542</v>
      </c>
      <c r="AN102">
        <v>148.24700000000001</v>
      </c>
      <c r="AO102">
        <v>141.65899999999999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AVERAGE(Encrypt16x16[ECB])</f>
        <v>117.66337000000003</v>
      </c>
      <c r="C106">
        <f>AVERAGE(Encrypt16x16[CBC])</f>
        <v>0.11727493999999999</v>
      </c>
      <c r="D106">
        <f>AVERAGE(Encrypt16x16[OFB])</f>
        <v>0.11713888</v>
      </c>
      <c r="E106">
        <f>AVERAGE(Encrypt16x16[CFB])</f>
        <v>0.11785674</v>
      </c>
      <c r="F106">
        <f>AVERAGE(Encrypt16x16[CTR])</f>
        <v>0.11710758999999998</v>
      </c>
      <c r="H106" s="5" t="s">
        <v>8</v>
      </c>
      <c r="I106" s="6">
        <f>AVERAGE(Encrypt24x16[ECB])</f>
        <v>119.3309</v>
      </c>
      <c r="J106" s="6">
        <f>AVERAGE(Encrypt24x16[CBC])</f>
        <v>0.11941117</v>
      </c>
      <c r="K106" s="6">
        <f>AVERAGE(Encrypt24x16[OFB])</f>
        <v>0.11931407999999998</v>
      </c>
      <c r="L106" s="6">
        <f>AVERAGE(Encrypt24x16[CFB])</f>
        <v>0.12024837000000005</v>
      </c>
      <c r="M106" s="6">
        <f>AVERAGE(Encrypt24x16[CTR])</f>
        <v>0.11899982000000002</v>
      </c>
      <c r="O106" s="5" t="s">
        <v>8</v>
      </c>
      <c r="P106" s="6">
        <f>AVERAGE(Encrypt32x16[ECB])</f>
        <v>117.81823</v>
      </c>
      <c r="Q106" s="6">
        <f>AVERAGE(Encrypt32x16[CBC])</f>
        <v>0.11792999999999998</v>
      </c>
      <c r="R106" s="6">
        <f>AVERAGE(Encrypt32x16[OFB])</f>
        <v>0.11870029999999999</v>
      </c>
      <c r="S106" s="6">
        <f>AVERAGE(Encrypt32x16[CFB])</f>
        <v>0.11790259</v>
      </c>
      <c r="T106" s="6">
        <f>AVERAGE(Encrypt32x16[CTR])</f>
        <v>0.11664321</v>
      </c>
      <c r="V106" s="5" t="s">
        <v>8</v>
      </c>
      <c r="W106" s="6">
        <f>AVERAGE(Decrypt16x16[ECB])</f>
        <v>66.499029999999991</v>
      </c>
      <c r="X106" s="6">
        <f>AVERAGE(Decrypt16x16[CBC])</f>
        <v>64.949040000000011</v>
      </c>
      <c r="Y106" s="6">
        <f>AVERAGE(Decrypt16x16[OFB])</f>
        <v>142.99573000000004</v>
      </c>
      <c r="Z106" s="6">
        <f>AVERAGE(Decrypt16x16[CFB])</f>
        <v>151.53071000000003</v>
      </c>
      <c r="AA106" s="7">
        <f>AVERAGE(Decrypt16x16[CTR])</f>
        <v>147.03017000000003</v>
      </c>
      <c r="AC106" s="5" t="s">
        <v>8</v>
      </c>
      <c r="AD106" s="6">
        <f>AVERAGE(Decrypt24x16[ECB])</f>
        <v>65.36763999999998</v>
      </c>
      <c r="AE106" s="6">
        <f>AVERAGE(Decrypt24x16[CBC])</f>
        <v>65.213950000000011</v>
      </c>
      <c r="AF106" s="6">
        <f>AVERAGE(Decrypt24x16[OFB])</f>
        <v>142.01323999999994</v>
      </c>
      <c r="AG106" s="6">
        <f>AVERAGE(Decrypt24x16[CFB])</f>
        <v>190.72768999999997</v>
      </c>
      <c r="AH106" s="7">
        <f>AVERAGE(Decrypt24x16[CTR])</f>
        <v>141.55201</v>
      </c>
      <c r="AJ106" s="5" t="s">
        <v>8</v>
      </c>
      <c r="AK106" s="6">
        <f>AVERAGE(Decrypt32x16[ECB])</f>
        <v>66.93177</v>
      </c>
      <c r="AL106" s="6">
        <f>AVERAGE(Decrypt32x16[CBC])</f>
        <v>67.821669999999969</v>
      </c>
      <c r="AM106" s="6">
        <f>AVERAGE(Decrypt32x16[OFB])</f>
        <v>142.38093999999998</v>
      </c>
      <c r="AN106" s="6">
        <f>AVERAGE(Decrypt32x16[CFB])</f>
        <v>150.87721999999994</v>
      </c>
      <c r="AO106" s="7">
        <f>AVERAGE(Decrypt32x16[CTR])</f>
        <v>145.48394999999999</v>
      </c>
    </row>
    <row r="107" spans="1:41">
      <c r="A107" t="s">
        <v>10</v>
      </c>
      <c r="B107">
        <f>MIN(Encrypt16x16[ECB])</f>
        <v>113.931</v>
      </c>
      <c r="C107">
        <f>MIN(Encrypt16x16[CBC])</f>
        <v>0.113983</v>
      </c>
      <c r="D107">
        <f>MIN(Encrypt16x16[OFB])</f>
        <v>0.114009</v>
      </c>
      <c r="E107">
        <f>MIN(Encrypt16x16[CFB])</f>
        <v>0.114568</v>
      </c>
      <c r="F107">
        <f>MIN(Encrypt16x16[CTR])</f>
        <v>0.11405700000000001</v>
      </c>
      <c r="H107" s="8" t="s">
        <v>10</v>
      </c>
      <c r="I107" s="9">
        <f>MIN(Encrypt24x16[ECB])</f>
        <v>114.81</v>
      </c>
      <c r="J107" s="9">
        <f>MIN(Encrypt24x16[CBC])</f>
        <v>0.11464000000000001</v>
      </c>
      <c r="K107" s="9">
        <f>MIN(Encrypt24x16[OFB])</f>
        <v>0.11518299999999999</v>
      </c>
      <c r="L107" s="9">
        <f>MIN(Encrypt24x16[CFB])</f>
        <v>0.11505899999999999</v>
      </c>
      <c r="M107" s="9">
        <f>MIN(Encrypt24x16[CTR])</f>
        <v>0.11458500000000001</v>
      </c>
      <c r="O107" s="8" t="s">
        <v>10</v>
      </c>
      <c r="P107" s="9">
        <f>MIN(Encrypt32x16[ECB])</f>
        <v>115.19</v>
      </c>
      <c r="Q107" s="9">
        <f>MIN(Encrypt32x16[CBC])</f>
        <v>0.11490599999999999</v>
      </c>
      <c r="R107" s="9">
        <f>MIN(Encrypt32x16[OFB])</f>
        <v>0.115715</v>
      </c>
      <c r="S107" s="9">
        <f>MIN(Encrypt32x16[CFB])</f>
        <v>0.115645</v>
      </c>
      <c r="T107" s="9">
        <f>MIN(Encrypt32x16[CTR])</f>
        <v>0.114708</v>
      </c>
      <c r="V107" s="8" t="s">
        <v>10</v>
      </c>
      <c r="W107" s="9">
        <f>MIN(Decrypt16x16[ECB])</f>
        <v>63.61</v>
      </c>
      <c r="X107" s="9">
        <f>MIN(Decrypt16x16[CBC])</f>
        <v>63.256999999999998</v>
      </c>
      <c r="Y107" s="9">
        <f>MIN(Decrypt16x16[OFB])</f>
        <v>138.886</v>
      </c>
      <c r="Z107" s="9">
        <f>MIN(Decrypt16x16[CFB])</f>
        <v>144.74</v>
      </c>
      <c r="AA107" s="10">
        <f>MIN(Decrypt16x16[CTR])</f>
        <v>144.33600000000001</v>
      </c>
      <c r="AC107" s="8" t="s">
        <v>10</v>
      </c>
      <c r="AD107" s="9">
        <f>MIN(Decrypt24x16[ECB])</f>
        <v>63.582999999999998</v>
      </c>
      <c r="AE107" s="9">
        <f>MIN(Decrypt24x16[CBC])</f>
        <v>63.917000000000002</v>
      </c>
      <c r="AF107" s="9">
        <f>MIN(Decrypt24x16[OFB])</f>
        <v>138.87700000000001</v>
      </c>
      <c r="AG107" s="9">
        <f>MIN(Decrypt24x16[CFB])</f>
        <v>186.77099999999999</v>
      </c>
      <c r="AH107" s="10">
        <f>MIN(Decrypt24x16[CTR])</f>
        <v>139.572</v>
      </c>
      <c r="AJ107" s="8" t="s">
        <v>10</v>
      </c>
      <c r="AK107" s="9">
        <f>MIN(Decrypt32x16[ECB])</f>
        <v>64.852000000000004</v>
      </c>
      <c r="AL107" s="9">
        <f>MIN(Decrypt32x16[CBC])</f>
        <v>65.936999999999998</v>
      </c>
      <c r="AM107" s="9">
        <f>MIN(Decrypt32x16[OFB])</f>
        <v>139.316</v>
      </c>
      <c r="AN107" s="9">
        <f>MIN(Decrypt32x16[CFB])</f>
        <v>147.58600000000001</v>
      </c>
      <c r="AO107" s="10">
        <f>MIN(Decrypt32x16[CTR])</f>
        <v>141.429</v>
      </c>
    </row>
    <row r="108" spans="1:41">
      <c r="A108" t="s">
        <v>11</v>
      </c>
      <c r="B108">
        <f>MAX(Encrypt16x16[ECB])</f>
        <v>150.25399999999999</v>
      </c>
      <c r="C108">
        <f>MAX(Encrypt16x16[CBC])</f>
        <v>0.16103500000000001</v>
      </c>
      <c r="D108">
        <f>MAX(Encrypt16x16[OFB])</f>
        <v>0.14622599999999999</v>
      </c>
      <c r="E108">
        <f>MAX(Encrypt16x16[CFB])</f>
        <v>0.158217</v>
      </c>
      <c r="F108">
        <f>MAX(Encrypt16x16[CTR])</f>
        <v>0.140622</v>
      </c>
      <c r="H108" s="5" t="s">
        <v>11</v>
      </c>
      <c r="I108" s="6">
        <f>MAX(Encrypt24x16[ECB])</f>
        <v>147.434</v>
      </c>
      <c r="J108" s="6">
        <f>MAX(Encrypt24x16[CBC])</f>
        <v>0.153276</v>
      </c>
      <c r="K108" s="6">
        <f>MAX(Encrypt24x16[OFB])</f>
        <v>0.138544</v>
      </c>
      <c r="L108" s="6">
        <f>MAX(Encrypt24x16[CFB])</f>
        <v>0.164382</v>
      </c>
      <c r="M108" s="6">
        <f>MAX(Encrypt24x16[CTR])</f>
        <v>0.15845200000000001</v>
      </c>
      <c r="O108" s="5" t="s">
        <v>11</v>
      </c>
      <c r="P108" s="6">
        <f>MAX(Encrypt32x16[ECB])</f>
        <v>149.911</v>
      </c>
      <c r="Q108" s="6">
        <f>MAX(Encrypt32x16[CBC])</f>
        <v>0.15098</v>
      </c>
      <c r="R108" s="6">
        <f>MAX(Encrypt32x16[OFB])</f>
        <v>0.14982100000000001</v>
      </c>
      <c r="S108" s="6">
        <f>MAX(Encrypt32x16[CFB])</f>
        <v>0.15065100000000001</v>
      </c>
      <c r="T108" s="6">
        <f>MAX(Encrypt32x16[CTR])</f>
        <v>0.14487800000000001</v>
      </c>
      <c r="V108" s="5" t="s">
        <v>11</v>
      </c>
      <c r="W108" s="6">
        <f>MAX(Decrypt16x16[ECB])</f>
        <v>99.171000000000006</v>
      </c>
      <c r="X108" s="6">
        <f>MAX(Decrypt16x16[CBC])</f>
        <v>90.796000000000006</v>
      </c>
      <c r="Y108" s="6">
        <f>MAX(Decrypt16x16[OFB])</f>
        <v>211.75700000000001</v>
      </c>
      <c r="Z108" s="6">
        <f>MAX(Decrypt16x16[CFB])</f>
        <v>228.22</v>
      </c>
      <c r="AA108" s="7">
        <f>MAX(Decrypt16x16[CTR])</f>
        <v>173.04900000000001</v>
      </c>
      <c r="AC108" s="5" t="s">
        <v>11</v>
      </c>
      <c r="AD108" s="6">
        <f>MAX(Decrypt24x16[ECB])</f>
        <v>91.540999999999997</v>
      </c>
      <c r="AE108" s="6">
        <f>MAX(Decrypt24x16[CBC])</f>
        <v>92.831000000000003</v>
      </c>
      <c r="AF108" s="6">
        <f>MAX(Decrypt24x16[OFB])</f>
        <v>175.601</v>
      </c>
      <c r="AG108" s="6">
        <f>MAX(Decrypt24x16[CFB])</f>
        <v>217.685</v>
      </c>
      <c r="AH108" s="7">
        <f>MAX(Decrypt24x16[CTR])</f>
        <v>164.38499999999999</v>
      </c>
      <c r="AJ108" s="5" t="s">
        <v>11</v>
      </c>
      <c r="AK108" s="6">
        <f>MAX(Decrypt32x16[ECB])</f>
        <v>113.285</v>
      </c>
      <c r="AL108" s="6">
        <f>MAX(Decrypt32x16[CBC])</f>
        <v>102.129</v>
      </c>
      <c r="AM108" s="6">
        <f>MAX(Decrypt32x16[OFB])</f>
        <v>174.239</v>
      </c>
      <c r="AN108" s="6">
        <f>MAX(Decrypt32x16[CFB])</f>
        <v>184.19300000000001</v>
      </c>
      <c r="AO108" s="7">
        <f>MAX(Decrypt32x16[CTR])</f>
        <v>224.48599999999999</v>
      </c>
    </row>
    <row r="109" spans="1:41">
      <c r="A109" t="s">
        <v>9</v>
      </c>
      <c r="B109">
        <f>MEDIAN(Encrypt16x16[ECB])</f>
        <v>116.059</v>
      </c>
      <c r="C109">
        <f>MEDIAN(Encrypt16x16[CBC])</f>
        <v>0.11547550000000001</v>
      </c>
      <c r="D109">
        <f>MEDIAN(Encrypt16x16[OFB])</f>
        <v>0.11551649999999999</v>
      </c>
      <c r="E109">
        <f>MEDIAN(Encrypt16x16[CFB])</f>
        <v>0.11572199999999999</v>
      </c>
      <c r="F109">
        <f>MEDIAN(Encrypt16x16[CTR])</f>
        <v>0.11533499999999999</v>
      </c>
      <c r="H109" s="11" t="s">
        <v>9</v>
      </c>
      <c r="I109" s="12">
        <f>MEDIAN(Encrypt24x16[ECB])</f>
        <v>116.18600000000001</v>
      </c>
      <c r="J109" s="12">
        <f>MEDIAN(Encrypt24x16[CBC])</f>
        <v>0.11586150000000001</v>
      </c>
      <c r="K109" s="12">
        <f>MEDIAN(Encrypt24x16[OFB])</f>
        <v>0.11622650000000001</v>
      </c>
      <c r="L109" s="12">
        <f>MEDIAN(Encrypt24x16[CFB])</f>
        <v>0.116275</v>
      </c>
      <c r="M109" s="12">
        <f>MEDIAN(Encrypt24x16[CTR])</f>
        <v>0.115901</v>
      </c>
      <c r="O109" s="11" t="s">
        <v>9</v>
      </c>
      <c r="P109" s="12">
        <f>MEDIAN(Encrypt32x16[ECB])</f>
        <v>116.15</v>
      </c>
      <c r="Q109" s="12">
        <f>MEDIAN(Encrypt32x16[CBC])</f>
        <v>0.1158555</v>
      </c>
      <c r="R109" s="12">
        <f>MEDIAN(Encrypt32x16[OFB])</f>
        <v>0.1165535</v>
      </c>
      <c r="S109" s="12">
        <f>MEDIAN(Encrypt32x16[CFB])</f>
        <v>0.11651</v>
      </c>
      <c r="T109" s="12">
        <f>MEDIAN(Encrypt32x16[CTR])</f>
        <v>0.11544550000000001</v>
      </c>
      <c r="V109" s="11" t="s">
        <v>9</v>
      </c>
      <c r="W109" s="12">
        <f>MEDIAN(Decrypt16x16[ECB])</f>
        <v>64.9435</v>
      </c>
      <c r="X109" s="12">
        <f>MEDIAN(Decrypt16x16[CBC])</f>
        <v>64.066000000000003</v>
      </c>
      <c r="Y109" s="12">
        <f>MEDIAN(Decrypt16x16[OFB])</f>
        <v>140.91800000000001</v>
      </c>
      <c r="Z109" s="12">
        <f>MEDIAN(Decrypt16x16[CFB])</f>
        <v>151.779</v>
      </c>
      <c r="AA109" s="13">
        <f>MEDIAN(Decrypt16x16[CTR])</f>
        <v>145.4205</v>
      </c>
      <c r="AC109" s="11" t="s">
        <v>9</v>
      </c>
      <c r="AD109" s="12">
        <f>MEDIAN(Decrypt24x16[ECB])</f>
        <v>64.298500000000004</v>
      </c>
      <c r="AE109" s="12">
        <f>MEDIAN(Decrypt24x16[CBC])</f>
        <v>64.37</v>
      </c>
      <c r="AF109" s="12">
        <f>MEDIAN(Decrypt24x16[OFB])</f>
        <v>140.697</v>
      </c>
      <c r="AG109" s="12">
        <f>MEDIAN(Decrypt24x16[CFB])</f>
        <v>187.98050000000001</v>
      </c>
      <c r="AH109" s="13">
        <f>MEDIAN(Decrypt24x16[CTR])</f>
        <v>140.42449999999999</v>
      </c>
      <c r="AJ109" s="11" t="s">
        <v>9</v>
      </c>
      <c r="AK109" s="12">
        <f>MEDIAN(Decrypt32x16[ECB])</f>
        <v>65.754500000000007</v>
      </c>
      <c r="AL109" s="12">
        <f>MEDIAN(Decrypt32x16[CBC])</f>
        <v>66.4285</v>
      </c>
      <c r="AM109" s="12">
        <f>MEDIAN(Decrypt32x16[OFB])</f>
        <v>140.596</v>
      </c>
      <c r="AN109" s="12">
        <f>MEDIAN(Decrypt32x16[CFB])</f>
        <v>148.32400000000001</v>
      </c>
      <c r="AO109" s="13">
        <f>MEDIAN(Decrypt32x16[CTR])</f>
        <v>142.35599999999999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topLeftCell="A20" workbookViewId="0">
      <selection activeCell="H98" sqref="H98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581.91600000000005</v>
      </c>
      <c r="C3" s="1">
        <v>0.61684799999999995</v>
      </c>
      <c r="D3" s="1">
        <v>0.62310100000000002</v>
      </c>
      <c r="E3" s="1">
        <v>0.64405299999999999</v>
      </c>
      <c r="F3" s="1">
        <v>0.62787300000000001</v>
      </c>
      <c r="I3">
        <v>618.07399999999996</v>
      </c>
      <c r="J3" s="1">
        <v>0.58507799999999999</v>
      </c>
      <c r="K3" s="1">
        <v>0.58167000000000002</v>
      </c>
      <c r="L3" s="1">
        <v>0.58307900000000001</v>
      </c>
      <c r="M3" s="1">
        <v>0.60202599999999995</v>
      </c>
      <c r="P3">
        <v>594.73199999999997</v>
      </c>
      <c r="Q3" s="1">
        <v>0.597862</v>
      </c>
      <c r="R3" s="1">
        <v>0.61851800000000001</v>
      </c>
      <c r="S3" s="1">
        <v>0.59153699999999998</v>
      </c>
      <c r="T3" s="1">
        <v>0.59152800000000005</v>
      </c>
      <c r="U3" s="1"/>
      <c r="W3">
        <v>346.32</v>
      </c>
      <c r="X3">
        <v>316.416</v>
      </c>
      <c r="Y3">
        <v>718.54499999999996</v>
      </c>
      <c r="Z3">
        <v>1049.9100000000001</v>
      </c>
      <c r="AA3">
        <v>884.125</v>
      </c>
      <c r="AD3">
        <v>383.12200000000001</v>
      </c>
      <c r="AE3">
        <v>350.72699999999998</v>
      </c>
      <c r="AF3">
        <v>694.19799999999998</v>
      </c>
      <c r="AG3">
        <v>731.40200000000004</v>
      </c>
      <c r="AH3">
        <v>703.36099999999999</v>
      </c>
      <c r="AK3">
        <v>386.71199999999999</v>
      </c>
      <c r="AL3">
        <v>328.875</v>
      </c>
      <c r="AM3">
        <v>705.78300000000002</v>
      </c>
      <c r="AN3">
        <v>779.06299999999999</v>
      </c>
      <c r="AO3">
        <v>716.48599999999999</v>
      </c>
    </row>
    <row r="4" spans="1:44">
      <c r="A4">
        <v>2</v>
      </c>
      <c r="B4">
        <v>663.67</v>
      </c>
      <c r="C4" s="1">
        <v>0.60037700000000005</v>
      </c>
      <c r="D4" s="1">
        <v>0.63877099999999998</v>
      </c>
      <c r="E4" s="1">
        <v>0.61103700000000005</v>
      </c>
      <c r="F4" s="1">
        <v>0.59556900000000002</v>
      </c>
      <c r="I4">
        <v>591.41999999999996</v>
      </c>
      <c r="J4" s="1">
        <v>0.58464099999999997</v>
      </c>
      <c r="K4" s="1">
        <v>0.58218300000000001</v>
      </c>
      <c r="L4" s="1">
        <v>0.60556699999999997</v>
      </c>
      <c r="M4" s="1">
        <v>0.58165800000000001</v>
      </c>
      <c r="P4">
        <v>595.38300000000004</v>
      </c>
      <c r="Q4">
        <v>0.66809499999999999</v>
      </c>
      <c r="R4">
        <v>0.601159</v>
      </c>
      <c r="S4" s="1">
        <v>0.59356299999999995</v>
      </c>
      <c r="T4" s="1">
        <v>0.59270199999999995</v>
      </c>
      <c r="U4" s="1"/>
      <c r="W4">
        <v>384.92</v>
      </c>
      <c r="X4">
        <v>362.89</v>
      </c>
      <c r="Y4">
        <v>814.77</v>
      </c>
      <c r="Z4">
        <v>1129.1300000000001</v>
      </c>
      <c r="AA4">
        <v>892.11699999999996</v>
      </c>
      <c r="AD4">
        <v>353.10700000000003</v>
      </c>
      <c r="AE4">
        <v>334.05200000000002</v>
      </c>
      <c r="AF4">
        <v>698.90499999999997</v>
      </c>
      <c r="AG4">
        <v>742.31399999999996</v>
      </c>
      <c r="AH4">
        <v>736.28800000000001</v>
      </c>
      <c r="AK4">
        <v>351.71800000000002</v>
      </c>
      <c r="AL4">
        <v>344.99599999999998</v>
      </c>
      <c r="AM4">
        <v>770.51800000000003</v>
      </c>
      <c r="AN4">
        <v>820.06500000000005</v>
      </c>
      <c r="AO4">
        <v>740.86599999999999</v>
      </c>
    </row>
    <row r="5" spans="1:44">
      <c r="A5">
        <v>3</v>
      </c>
      <c r="B5">
        <v>599.23500000000001</v>
      </c>
      <c r="C5" s="1">
        <v>0.70157999999999998</v>
      </c>
      <c r="D5" s="1">
        <v>0.70856600000000003</v>
      </c>
      <c r="E5" s="1">
        <v>0.64298599999999995</v>
      </c>
      <c r="F5" s="1">
        <v>0.60471200000000003</v>
      </c>
      <c r="I5">
        <v>582.33199999999999</v>
      </c>
      <c r="J5" s="1">
        <v>0.58452199999999999</v>
      </c>
      <c r="K5" s="1">
        <v>0.61562899999999998</v>
      </c>
      <c r="L5" s="1">
        <v>0.58277299999999999</v>
      </c>
      <c r="M5" s="1">
        <v>0.58130899999999996</v>
      </c>
      <c r="P5">
        <v>613.16</v>
      </c>
      <c r="Q5" s="1">
        <v>0.58999699999999999</v>
      </c>
      <c r="R5" s="1">
        <v>0.59431599999999996</v>
      </c>
      <c r="S5" s="1">
        <v>0.59537499999999999</v>
      </c>
      <c r="T5" s="1">
        <v>0.60118099999999997</v>
      </c>
      <c r="U5" s="1"/>
      <c r="W5">
        <v>354.64699999999999</v>
      </c>
      <c r="X5">
        <v>357.35</v>
      </c>
      <c r="Y5">
        <v>826.18700000000001</v>
      </c>
      <c r="Z5">
        <v>1053.67</v>
      </c>
      <c r="AA5">
        <v>823.60199999999998</v>
      </c>
      <c r="AD5">
        <v>326.27499999999998</v>
      </c>
      <c r="AE5">
        <v>327.66500000000002</v>
      </c>
      <c r="AF5">
        <v>698.87599999999998</v>
      </c>
      <c r="AG5">
        <v>733.702</v>
      </c>
      <c r="AH5">
        <v>764.524</v>
      </c>
      <c r="AK5">
        <v>377.52199999999999</v>
      </c>
      <c r="AL5">
        <v>402.06799999999998</v>
      </c>
      <c r="AM5">
        <v>756.96600000000001</v>
      </c>
      <c r="AN5">
        <v>840.84199999999998</v>
      </c>
      <c r="AO5">
        <v>732.62900000000002</v>
      </c>
    </row>
    <row r="6" spans="1:44">
      <c r="A6">
        <v>4</v>
      </c>
      <c r="B6">
        <v>623.01300000000003</v>
      </c>
      <c r="C6" s="1">
        <v>0.59597299999999997</v>
      </c>
      <c r="D6">
        <v>0.60151200000000005</v>
      </c>
      <c r="E6" s="1">
        <v>0.59079300000000001</v>
      </c>
      <c r="F6" s="1">
        <v>0.58678799999999998</v>
      </c>
      <c r="I6">
        <v>582.16800000000001</v>
      </c>
      <c r="J6" s="1">
        <v>0.58411100000000005</v>
      </c>
      <c r="K6" s="1">
        <v>0.60719999999999996</v>
      </c>
      <c r="L6" s="1">
        <v>0.58689000000000002</v>
      </c>
      <c r="M6" s="1">
        <v>0.58315600000000001</v>
      </c>
      <c r="P6">
        <v>590.50300000000004</v>
      </c>
      <c r="Q6">
        <v>0.59038800000000002</v>
      </c>
      <c r="R6" s="1">
        <v>0.59402100000000002</v>
      </c>
      <c r="S6" s="1">
        <v>0.59506599999999998</v>
      </c>
      <c r="T6" s="1">
        <v>0.61683200000000005</v>
      </c>
      <c r="U6" s="1"/>
      <c r="W6">
        <v>343.87400000000002</v>
      </c>
      <c r="X6">
        <v>332.47899999999998</v>
      </c>
      <c r="Y6">
        <v>759.61900000000003</v>
      </c>
      <c r="Z6">
        <v>960.33900000000006</v>
      </c>
      <c r="AA6">
        <v>759.28200000000004</v>
      </c>
      <c r="AD6">
        <v>348.5</v>
      </c>
      <c r="AE6">
        <v>338.41199999999998</v>
      </c>
      <c r="AF6">
        <v>699.88</v>
      </c>
      <c r="AG6">
        <v>779.399</v>
      </c>
      <c r="AH6">
        <v>721.80700000000002</v>
      </c>
      <c r="AK6">
        <v>355.57400000000001</v>
      </c>
      <c r="AL6">
        <v>337.48</v>
      </c>
      <c r="AM6">
        <v>790.13</v>
      </c>
      <c r="AN6">
        <v>942.23800000000006</v>
      </c>
      <c r="AO6">
        <v>928.25099999999998</v>
      </c>
    </row>
    <row r="7" spans="1:44">
      <c r="A7">
        <v>5</v>
      </c>
      <c r="B7">
        <v>621.53800000000001</v>
      </c>
      <c r="C7" s="1">
        <v>0.60136800000000001</v>
      </c>
      <c r="D7" s="1">
        <v>0.59187100000000004</v>
      </c>
      <c r="E7" s="1">
        <v>0.59168100000000001</v>
      </c>
      <c r="F7" s="1">
        <v>0.61471900000000002</v>
      </c>
      <c r="I7">
        <v>582.71</v>
      </c>
      <c r="J7" s="1">
        <v>0.604634</v>
      </c>
      <c r="K7" s="1">
        <v>0.58390200000000003</v>
      </c>
      <c r="L7" s="1">
        <v>0.58684400000000003</v>
      </c>
      <c r="M7" s="1">
        <v>0.58334799999999998</v>
      </c>
      <c r="P7">
        <v>593.77099999999996</v>
      </c>
      <c r="Q7" s="1">
        <v>0.59059600000000001</v>
      </c>
      <c r="R7" s="1">
        <v>0.596248</v>
      </c>
      <c r="S7" s="1">
        <v>0.61964399999999997</v>
      </c>
      <c r="T7" s="1">
        <v>0.58740499999999995</v>
      </c>
      <c r="U7" s="1"/>
      <c r="W7">
        <v>329.59</v>
      </c>
      <c r="X7">
        <v>325.53800000000001</v>
      </c>
      <c r="Y7">
        <v>773.70500000000004</v>
      </c>
      <c r="Z7">
        <v>1027.5899999999999</v>
      </c>
      <c r="AA7">
        <v>766.47699999999998</v>
      </c>
      <c r="AD7">
        <v>321.90600000000001</v>
      </c>
      <c r="AE7">
        <v>328.25</v>
      </c>
      <c r="AF7">
        <v>701.65700000000004</v>
      </c>
      <c r="AG7">
        <v>829.84199999999998</v>
      </c>
      <c r="AH7">
        <v>707.47500000000002</v>
      </c>
      <c r="AK7">
        <v>439.44299999999998</v>
      </c>
      <c r="AL7">
        <v>469.15800000000002</v>
      </c>
      <c r="AM7">
        <v>828.779</v>
      </c>
      <c r="AN7">
        <v>804.96299999999997</v>
      </c>
      <c r="AO7">
        <v>790.74699999999996</v>
      </c>
    </row>
    <row r="8" spans="1:44">
      <c r="A8">
        <v>6</v>
      </c>
      <c r="B8">
        <v>667.39300000000003</v>
      </c>
      <c r="C8">
        <v>0.60749399999999998</v>
      </c>
      <c r="D8" s="1">
        <v>0.59420200000000001</v>
      </c>
      <c r="E8" s="1">
        <v>0.61360599999999998</v>
      </c>
      <c r="F8" s="1">
        <v>0.59543299999999999</v>
      </c>
      <c r="I8">
        <v>610.12800000000004</v>
      </c>
      <c r="J8" s="1">
        <v>0.58330400000000004</v>
      </c>
      <c r="K8" s="1">
        <v>0.58190500000000001</v>
      </c>
      <c r="L8" s="1">
        <v>0.58273799999999998</v>
      </c>
      <c r="M8" s="1">
        <v>0.61112699999999998</v>
      </c>
      <c r="P8">
        <v>592.60699999999997</v>
      </c>
      <c r="Q8">
        <v>0.58836500000000003</v>
      </c>
      <c r="R8" s="1">
        <v>0.61326999999999998</v>
      </c>
      <c r="S8" s="1">
        <v>0.59286099999999997</v>
      </c>
      <c r="T8" s="1">
        <v>0.58829100000000001</v>
      </c>
      <c r="U8" s="1"/>
      <c r="W8">
        <v>357.17399999999998</v>
      </c>
      <c r="X8">
        <v>347.85300000000001</v>
      </c>
      <c r="Y8">
        <v>712.72699999999998</v>
      </c>
      <c r="Z8">
        <v>944.56299999999999</v>
      </c>
      <c r="AA8">
        <v>743.59400000000005</v>
      </c>
      <c r="AD8">
        <v>332.24099999999999</v>
      </c>
      <c r="AE8">
        <v>329.19499999999999</v>
      </c>
      <c r="AF8">
        <v>746.39400000000001</v>
      </c>
      <c r="AG8">
        <v>746.53599999999994</v>
      </c>
      <c r="AH8">
        <v>711.11699999999996</v>
      </c>
      <c r="AK8">
        <v>419.55200000000002</v>
      </c>
      <c r="AL8">
        <v>364.63</v>
      </c>
      <c r="AM8">
        <v>748.88400000000001</v>
      </c>
      <c r="AN8">
        <v>801.952</v>
      </c>
      <c r="AO8">
        <v>780.07500000000005</v>
      </c>
    </row>
    <row r="9" spans="1:44">
      <c r="A9">
        <v>7</v>
      </c>
      <c r="B9">
        <v>583.12199999999996</v>
      </c>
      <c r="C9" s="1">
        <v>0.61562399999999995</v>
      </c>
      <c r="D9" s="1">
        <v>0.61560599999999999</v>
      </c>
      <c r="E9">
        <v>0.60301300000000002</v>
      </c>
      <c r="F9">
        <v>0.59701000000000004</v>
      </c>
      <c r="I9">
        <v>655.33699999999999</v>
      </c>
      <c r="J9" s="1">
        <v>0.58496700000000001</v>
      </c>
      <c r="K9" s="1">
        <v>0.58685900000000002</v>
      </c>
      <c r="L9" s="1">
        <v>0.59999100000000005</v>
      </c>
      <c r="M9">
        <v>0.58222499999999999</v>
      </c>
      <c r="P9">
        <v>590.43399999999997</v>
      </c>
      <c r="Q9" s="1">
        <v>0.60375500000000004</v>
      </c>
      <c r="R9" s="1">
        <v>0.59364700000000004</v>
      </c>
      <c r="S9">
        <v>0.59454099999999999</v>
      </c>
      <c r="T9" s="1">
        <v>0.58928000000000003</v>
      </c>
      <c r="U9" s="1"/>
      <c r="W9">
        <v>332.38200000000001</v>
      </c>
      <c r="X9">
        <v>360.88900000000001</v>
      </c>
      <c r="Y9">
        <v>741.30499999999995</v>
      </c>
      <c r="Z9">
        <v>1117.3499999999999</v>
      </c>
      <c r="AA9">
        <v>857.47299999999996</v>
      </c>
      <c r="AD9">
        <v>332.35300000000001</v>
      </c>
      <c r="AE9">
        <v>327.92200000000003</v>
      </c>
      <c r="AF9">
        <v>713.11400000000003</v>
      </c>
      <c r="AG9">
        <v>734.84500000000003</v>
      </c>
      <c r="AH9">
        <v>703.43100000000004</v>
      </c>
      <c r="AK9">
        <v>432.59100000000001</v>
      </c>
      <c r="AL9">
        <v>400.74400000000003</v>
      </c>
      <c r="AM9">
        <v>999.43200000000002</v>
      </c>
      <c r="AN9">
        <v>1070.53</v>
      </c>
      <c r="AO9">
        <v>1093.83</v>
      </c>
    </row>
    <row r="10" spans="1:44">
      <c r="A10">
        <v>8</v>
      </c>
      <c r="B10">
        <v>597.18899999999996</v>
      </c>
      <c r="C10" s="1">
        <v>0.61433099999999996</v>
      </c>
      <c r="D10" s="1">
        <v>0.59714100000000003</v>
      </c>
      <c r="E10" s="1">
        <v>0.58866499999999999</v>
      </c>
      <c r="F10" s="1">
        <v>0.59065599999999996</v>
      </c>
      <c r="I10">
        <v>584.17999999999995</v>
      </c>
      <c r="J10" s="1">
        <v>0.58181499999999997</v>
      </c>
      <c r="K10" s="1">
        <v>0.58301899999999995</v>
      </c>
      <c r="L10" s="1">
        <v>0.60476099999999999</v>
      </c>
      <c r="M10" s="1">
        <v>0.58210399999999995</v>
      </c>
      <c r="P10">
        <v>589.77599999999995</v>
      </c>
      <c r="Q10" s="1">
        <v>0.61468999999999996</v>
      </c>
      <c r="R10" s="1">
        <v>0.59432700000000005</v>
      </c>
      <c r="S10" s="1">
        <v>0.59421199999999996</v>
      </c>
      <c r="T10" s="1">
        <v>0.58806099999999994</v>
      </c>
      <c r="U10" s="1"/>
      <c r="W10">
        <v>405.63200000000001</v>
      </c>
      <c r="X10">
        <v>406.76100000000002</v>
      </c>
      <c r="Y10">
        <v>810.28800000000001</v>
      </c>
      <c r="Z10">
        <v>1129.83</v>
      </c>
      <c r="AA10">
        <v>841.69799999999998</v>
      </c>
      <c r="AD10">
        <v>325.22500000000002</v>
      </c>
      <c r="AE10">
        <v>354.87099999999998</v>
      </c>
      <c r="AF10">
        <v>692.44100000000003</v>
      </c>
      <c r="AG10">
        <v>736.64300000000003</v>
      </c>
      <c r="AH10">
        <v>788.26800000000003</v>
      </c>
      <c r="AK10">
        <v>505.67200000000003</v>
      </c>
      <c r="AL10">
        <v>438.99900000000002</v>
      </c>
      <c r="AM10">
        <v>1072.6600000000001</v>
      </c>
      <c r="AN10">
        <v>1067.1099999999999</v>
      </c>
      <c r="AO10">
        <v>966.58</v>
      </c>
    </row>
    <row r="11" spans="1:44">
      <c r="A11">
        <v>9</v>
      </c>
      <c r="B11">
        <v>603.15099999999995</v>
      </c>
      <c r="C11" s="1">
        <v>0.64424499999999996</v>
      </c>
      <c r="D11" s="1">
        <v>0.59166099999999999</v>
      </c>
      <c r="E11" s="1">
        <v>0.58893600000000002</v>
      </c>
      <c r="F11" s="1">
        <v>0.60391099999999998</v>
      </c>
      <c r="I11">
        <v>582.55100000000004</v>
      </c>
      <c r="J11" s="1">
        <v>0.58417699999999995</v>
      </c>
      <c r="K11">
        <v>0.60730399999999995</v>
      </c>
      <c r="L11" s="1">
        <v>0.58524500000000002</v>
      </c>
      <c r="M11" s="1">
        <v>0.58665900000000004</v>
      </c>
      <c r="P11">
        <v>609.86800000000005</v>
      </c>
      <c r="Q11" s="1">
        <v>0.589055</v>
      </c>
      <c r="R11">
        <v>0.59311000000000003</v>
      </c>
      <c r="S11" s="1">
        <v>0.59737899999999999</v>
      </c>
      <c r="T11" s="1">
        <v>0.61599999999999999</v>
      </c>
      <c r="U11" s="1"/>
      <c r="W11">
        <v>377.702</v>
      </c>
      <c r="X11">
        <v>403.584</v>
      </c>
      <c r="Y11">
        <v>845.19899999999996</v>
      </c>
      <c r="Z11">
        <v>1066.1500000000001</v>
      </c>
      <c r="AA11">
        <v>724.39</v>
      </c>
      <c r="AD11">
        <v>440.22399999999999</v>
      </c>
      <c r="AE11">
        <v>356.86399999999998</v>
      </c>
      <c r="AF11">
        <v>780.91099999999994</v>
      </c>
      <c r="AG11">
        <v>766.50699999999995</v>
      </c>
      <c r="AH11">
        <v>743.09</v>
      </c>
      <c r="AK11">
        <v>391.03100000000001</v>
      </c>
      <c r="AL11">
        <v>437.31299999999999</v>
      </c>
      <c r="AM11">
        <v>863.20399999999995</v>
      </c>
      <c r="AN11">
        <v>745.63599999999997</v>
      </c>
      <c r="AO11">
        <v>727.03599999999994</v>
      </c>
    </row>
    <row r="12" spans="1:44">
      <c r="A12">
        <v>10</v>
      </c>
      <c r="B12">
        <v>591.16399999999999</v>
      </c>
      <c r="C12">
        <v>0.59711000000000003</v>
      </c>
      <c r="D12" s="1">
        <v>0.61480500000000005</v>
      </c>
      <c r="E12" s="1">
        <v>0.59155599999999997</v>
      </c>
      <c r="F12" s="1">
        <v>0.58247300000000002</v>
      </c>
      <c r="I12">
        <v>623.64200000000005</v>
      </c>
      <c r="J12" s="1">
        <v>0.65286299999999997</v>
      </c>
      <c r="K12" s="1">
        <v>0.58459499999999998</v>
      </c>
      <c r="L12" s="1">
        <v>0.58954099999999998</v>
      </c>
      <c r="M12" s="1">
        <v>0.58125400000000005</v>
      </c>
      <c r="P12">
        <v>592.16499999999996</v>
      </c>
      <c r="Q12" s="1">
        <v>0.58975299999999997</v>
      </c>
      <c r="R12" s="1">
        <v>0.59219699999999997</v>
      </c>
      <c r="S12" s="1">
        <v>0.61990400000000001</v>
      </c>
      <c r="T12" s="1">
        <v>0.60321199999999997</v>
      </c>
      <c r="U12" s="1"/>
      <c r="W12">
        <v>318.21699999999998</v>
      </c>
      <c r="X12">
        <v>357.09899999999999</v>
      </c>
      <c r="Y12">
        <v>712.45500000000004</v>
      </c>
      <c r="Z12">
        <v>947.41700000000003</v>
      </c>
      <c r="AA12">
        <v>787.53899999999999</v>
      </c>
      <c r="AD12">
        <v>343.98</v>
      </c>
      <c r="AE12">
        <v>330.68900000000002</v>
      </c>
      <c r="AF12">
        <v>722.09100000000001</v>
      </c>
      <c r="AG12">
        <v>755.74800000000005</v>
      </c>
      <c r="AH12">
        <v>760.78099999999995</v>
      </c>
      <c r="AK12">
        <v>339.06200000000001</v>
      </c>
      <c r="AL12">
        <v>333.14600000000002</v>
      </c>
      <c r="AM12">
        <v>703.59500000000003</v>
      </c>
      <c r="AN12">
        <v>741.81100000000004</v>
      </c>
      <c r="AO12">
        <v>851.654</v>
      </c>
    </row>
    <row r="13" spans="1:44">
      <c r="A13">
        <v>11</v>
      </c>
      <c r="B13">
        <v>617.86300000000006</v>
      </c>
      <c r="C13" s="1">
        <v>0.61552700000000005</v>
      </c>
      <c r="D13" s="1">
        <v>0.59637399999999996</v>
      </c>
      <c r="E13" s="1">
        <v>0.60588299999999995</v>
      </c>
      <c r="F13" s="1">
        <v>0.58656799999999998</v>
      </c>
      <c r="I13">
        <v>608.53599999999994</v>
      </c>
      <c r="J13" s="1">
        <v>0.59957099999999997</v>
      </c>
      <c r="K13" s="1">
        <v>0.60506800000000005</v>
      </c>
      <c r="L13" s="1">
        <v>0.61280500000000004</v>
      </c>
      <c r="M13" s="1">
        <v>0.69999900000000004</v>
      </c>
      <c r="P13">
        <v>590.80799999999999</v>
      </c>
      <c r="Q13">
        <v>0.59182299999999999</v>
      </c>
      <c r="R13">
        <v>0.59270900000000004</v>
      </c>
      <c r="S13" s="1">
        <v>0.62197400000000003</v>
      </c>
      <c r="T13" s="1">
        <v>0.58927399999999996</v>
      </c>
      <c r="U13" s="1"/>
      <c r="W13">
        <v>332.65</v>
      </c>
      <c r="X13">
        <v>352.62599999999998</v>
      </c>
      <c r="Y13">
        <v>746.24300000000005</v>
      </c>
      <c r="Z13">
        <v>1004.57</v>
      </c>
      <c r="AA13">
        <v>748.98299999999995</v>
      </c>
      <c r="AD13">
        <v>347.73700000000002</v>
      </c>
      <c r="AE13">
        <v>340.50200000000001</v>
      </c>
      <c r="AF13">
        <v>747.41700000000003</v>
      </c>
      <c r="AG13">
        <v>779.39599999999996</v>
      </c>
      <c r="AH13">
        <v>774.99099999999999</v>
      </c>
      <c r="AK13">
        <v>412.34500000000003</v>
      </c>
      <c r="AL13">
        <v>355.01100000000002</v>
      </c>
      <c r="AM13">
        <v>735.43899999999996</v>
      </c>
      <c r="AN13">
        <v>774.18</v>
      </c>
      <c r="AO13">
        <v>779.87099999999998</v>
      </c>
    </row>
    <row r="14" spans="1:44">
      <c r="A14">
        <v>12</v>
      </c>
      <c r="B14">
        <v>627.51199999999994</v>
      </c>
      <c r="C14" s="1">
        <v>0.58312900000000001</v>
      </c>
      <c r="D14" s="1">
        <v>0.59905399999999998</v>
      </c>
      <c r="E14" s="1">
        <v>0.58773600000000004</v>
      </c>
      <c r="F14">
        <v>0.65039499999999995</v>
      </c>
      <c r="I14">
        <v>623.53399999999999</v>
      </c>
      <c r="J14" s="1">
        <v>0.61829199999999995</v>
      </c>
      <c r="K14" s="1">
        <v>0.61819199999999996</v>
      </c>
      <c r="L14" s="1">
        <v>0.61270899999999995</v>
      </c>
      <c r="M14" s="1">
        <v>0.64369399999999999</v>
      </c>
      <c r="P14">
        <v>590.65800000000002</v>
      </c>
      <c r="Q14" s="1">
        <v>0.59276899999999999</v>
      </c>
      <c r="R14" s="1">
        <v>0.72878299999999996</v>
      </c>
      <c r="S14" s="1">
        <v>0.60617200000000004</v>
      </c>
      <c r="T14">
        <v>0.59040999999999999</v>
      </c>
      <c r="W14">
        <v>332.10500000000002</v>
      </c>
      <c r="X14">
        <v>362.822</v>
      </c>
      <c r="Y14">
        <v>739.45299999999997</v>
      </c>
      <c r="Z14">
        <v>958.52499999999998</v>
      </c>
      <c r="AA14">
        <v>756.79300000000001</v>
      </c>
      <c r="AD14">
        <v>329.63600000000002</v>
      </c>
      <c r="AE14">
        <v>327.76900000000001</v>
      </c>
      <c r="AF14">
        <v>690.03899999999999</v>
      </c>
      <c r="AG14">
        <v>731.63400000000001</v>
      </c>
      <c r="AH14">
        <v>880.91399999999999</v>
      </c>
      <c r="AK14">
        <v>344.94600000000003</v>
      </c>
      <c r="AL14">
        <v>348.52800000000002</v>
      </c>
      <c r="AM14">
        <v>737.95100000000002</v>
      </c>
      <c r="AN14">
        <v>806.67700000000002</v>
      </c>
      <c r="AO14">
        <v>749.78399999999999</v>
      </c>
    </row>
    <row r="15" spans="1:44">
      <c r="A15">
        <v>13</v>
      </c>
      <c r="B15">
        <v>589.17399999999998</v>
      </c>
      <c r="C15" s="1">
        <v>0.59328999999999998</v>
      </c>
      <c r="D15" s="1">
        <v>0.59745800000000004</v>
      </c>
      <c r="E15" s="1">
        <v>0.63589499999999999</v>
      </c>
      <c r="F15" s="1">
        <v>0.59324100000000002</v>
      </c>
      <c r="I15">
        <v>602.92200000000003</v>
      </c>
      <c r="J15">
        <v>0.60549299999999995</v>
      </c>
      <c r="K15">
        <v>0.61400100000000002</v>
      </c>
      <c r="L15">
        <v>0.64832400000000001</v>
      </c>
      <c r="M15" s="1">
        <v>0.58223199999999997</v>
      </c>
      <c r="P15">
        <v>590.56899999999996</v>
      </c>
      <c r="Q15" s="1">
        <v>0.61442799999999997</v>
      </c>
      <c r="R15" s="1">
        <v>0.59613499999999997</v>
      </c>
      <c r="S15" s="1">
        <v>0.59229200000000004</v>
      </c>
      <c r="T15" s="1">
        <v>0.58872199999999997</v>
      </c>
      <c r="U15" s="1"/>
      <c r="W15">
        <v>330.608</v>
      </c>
      <c r="X15">
        <v>355.27</v>
      </c>
      <c r="Y15">
        <v>789.04100000000005</v>
      </c>
      <c r="Z15">
        <v>981.12</v>
      </c>
      <c r="AA15">
        <v>755.47299999999996</v>
      </c>
      <c r="AD15">
        <v>367.22199999999998</v>
      </c>
      <c r="AE15">
        <v>450.24599999999998</v>
      </c>
      <c r="AF15">
        <v>829.24</v>
      </c>
      <c r="AG15">
        <v>921.00599999999997</v>
      </c>
      <c r="AH15">
        <v>867.61</v>
      </c>
      <c r="AK15">
        <v>352.48</v>
      </c>
      <c r="AL15">
        <v>349.63499999999999</v>
      </c>
      <c r="AM15">
        <v>739.70600000000002</v>
      </c>
      <c r="AN15">
        <v>762.46900000000005</v>
      </c>
      <c r="AO15">
        <v>714.58199999999999</v>
      </c>
    </row>
    <row r="16" spans="1:44">
      <c r="A16">
        <v>14</v>
      </c>
      <c r="B16">
        <v>593.46</v>
      </c>
      <c r="C16" s="1">
        <v>0.59942399999999996</v>
      </c>
      <c r="D16">
        <v>0.58997699999999997</v>
      </c>
      <c r="E16" s="1">
        <v>0.61885299999999999</v>
      </c>
      <c r="F16" s="1">
        <v>0.59272999999999998</v>
      </c>
      <c r="I16">
        <v>582.79999999999995</v>
      </c>
      <c r="J16" s="1">
        <v>0.58258100000000002</v>
      </c>
      <c r="K16" s="1">
        <v>0.60984499999999997</v>
      </c>
      <c r="L16" s="1">
        <v>0.58267999999999998</v>
      </c>
      <c r="M16" s="1">
        <v>0.58316999999999997</v>
      </c>
      <c r="P16">
        <v>605.84299999999996</v>
      </c>
      <c r="Q16" s="1">
        <v>0.58991000000000005</v>
      </c>
      <c r="R16" s="1">
        <v>0.59271300000000005</v>
      </c>
      <c r="S16" s="1">
        <v>0.59401000000000004</v>
      </c>
      <c r="T16" s="1">
        <v>0.61182000000000003</v>
      </c>
      <c r="U16" s="1"/>
      <c r="W16">
        <v>341.30700000000002</v>
      </c>
      <c r="X16">
        <v>355.48</v>
      </c>
      <c r="Y16">
        <v>838.60400000000004</v>
      </c>
      <c r="Z16">
        <v>1189.79</v>
      </c>
      <c r="AA16">
        <v>868.76199999999994</v>
      </c>
      <c r="AD16">
        <v>393.82</v>
      </c>
      <c r="AE16">
        <v>383.34800000000001</v>
      </c>
      <c r="AF16">
        <v>810.12900000000002</v>
      </c>
      <c r="AG16">
        <v>888.19</v>
      </c>
      <c r="AH16">
        <v>861.48199999999997</v>
      </c>
      <c r="AK16">
        <v>330.79500000000002</v>
      </c>
      <c r="AL16">
        <v>331.66800000000001</v>
      </c>
      <c r="AM16">
        <v>720.49699999999996</v>
      </c>
      <c r="AN16">
        <v>735.89</v>
      </c>
      <c r="AO16">
        <v>709.33100000000002</v>
      </c>
    </row>
    <row r="17" spans="1:41">
      <c r="A17">
        <v>15</v>
      </c>
      <c r="B17">
        <v>596.24300000000005</v>
      </c>
      <c r="C17" s="1">
        <v>0.59619</v>
      </c>
      <c r="D17" s="1">
        <v>0.61787199999999998</v>
      </c>
      <c r="E17">
        <v>0.613568</v>
      </c>
      <c r="F17">
        <v>0.59885600000000005</v>
      </c>
      <c r="I17">
        <v>581.63</v>
      </c>
      <c r="J17">
        <v>0.58275200000000005</v>
      </c>
      <c r="K17">
        <v>0.60073699999999997</v>
      </c>
      <c r="L17" s="1">
        <v>0.58499699999999999</v>
      </c>
      <c r="M17" s="1">
        <v>0.58254300000000003</v>
      </c>
      <c r="P17">
        <v>590.53399999999999</v>
      </c>
      <c r="Q17" s="1">
        <v>0.591418</v>
      </c>
      <c r="R17" s="1">
        <v>0.59130400000000005</v>
      </c>
      <c r="S17" s="1">
        <v>0.617622</v>
      </c>
      <c r="T17" s="1">
        <v>0.59140000000000004</v>
      </c>
      <c r="U17" s="1"/>
      <c r="W17">
        <v>410.13900000000001</v>
      </c>
      <c r="X17">
        <v>380.892</v>
      </c>
      <c r="Y17">
        <v>788.03899999999999</v>
      </c>
      <c r="Z17">
        <v>988.67600000000004</v>
      </c>
      <c r="AA17">
        <v>737.63800000000003</v>
      </c>
      <c r="AD17">
        <v>386.20600000000002</v>
      </c>
      <c r="AE17">
        <v>426.34699999999998</v>
      </c>
      <c r="AF17">
        <v>884.83699999999999</v>
      </c>
      <c r="AG17">
        <v>766.34500000000003</v>
      </c>
      <c r="AH17">
        <v>857.83799999999997</v>
      </c>
      <c r="AK17">
        <v>331.20699999999999</v>
      </c>
      <c r="AL17">
        <v>328.55399999999997</v>
      </c>
      <c r="AM17">
        <v>722.02300000000002</v>
      </c>
      <c r="AN17">
        <v>743.61699999999996</v>
      </c>
      <c r="AO17">
        <v>748.91899999999998</v>
      </c>
    </row>
    <row r="18" spans="1:41">
      <c r="A18">
        <v>16</v>
      </c>
      <c r="B18">
        <v>591.61900000000003</v>
      </c>
      <c r="C18">
        <v>0.65856599999999998</v>
      </c>
      <c r="D18" s="1">
        <v>0.59527099999999999</v>
      </c>
      <c r="E18" s="1">
        <v>0.58914</v>
      </c>
      <c r="F18" s="1">
        <v>0.59213400000000005</v>
      </c>
      <c r="I18">
        <v>581.31299999999999</v>
      </c>
      <c r="J18" s="1">
        <v>0.60989199999999999</v>
      </c>
      <c r="K18">
        <v>0.58286899999999997</v>
      </c>
      <c r="L18">
        <v>0.58461799999999997</v>
      </c>
      <c r="M18" s="1">
        <v>0.58200300000000005</v>
      </c>
      <c r="P18">
        <v>590.74800000000005</v>
      </c>
      <c r="Q18" s="1">
        <v>0.58899800000000002</v>
      </c>
      <c r="R18">
        <v>0.61811499999999997</v>
      </c>
      <c r="S18" s="1">
        <v>0.59489300000000001</v>
      </c>
      <c r="T18" s="1">
        <v>0.58926699999999999</v>
      </c>
      <c r="U18" s="1"/>
      <c r="W18">
        <v>323.57</v>
      </c>
      <c r="X18">
        <v>359.81700000000001</v>
      </c>
      <c r="Y18">
        <v>730.16600000000005</v>
      </c>
      <c r="Z18">
        <v>1050.48</v>
      </c>
      <c r="AA18">
        <v>807.70899999999995</v>
      </c>
      <c r="AD18">
        <v>369.31900000000002</v>
      </c>
      <c r="AE18">
        <v>338.71</v>
      </c>
      <c r="AF18">
        <v>760.72299999999996</v>
      </c>
      <c r="AG18">
        <v>770.76199999999994</v>
      </c>
      <c r="AH18">
        <v>766.82899999999995</v>
      </c>
      <c r="AK18">
        <v>347.14600000000002</v>
      </c>
      <c r="AL18">
        <v>388.18900000000002</v>
      </c>
      <c r="AM18">
        <v>856.11099999999999</v>
      </c>
      <c r="AN18">
        <v>1027.6199999999999</v>
      </c>
      <c r="AO18">
        <v>936.95699999999999</v>
      </c>
    </row>
    <row r="19" spans="1:41">
      <c r="A19">
        <v>17</v>
      </c>
      <c r="B19">
        <v>649.279</v>
      </c>
      <c r="C19" s="1">
        <v>0.58783099999999999</v>
      </c>
      <c r="D19" s="1">
        <v>0.59468799999999999</v>
      </c>
      <c r="E19" s="1">
        <v>0.61006400000000005</v>
      </c>
      <c r="F19">
        <v>0.59428800000000004</v>
      </c>
      <c r="I19">
        <v>598.36699999999996</v>
      </c>
      <c r="J19" s="1">
        <v>0.58448800000000001</v>
      </c>
      <c r="K19" s="1">
        <v>0.59867899999999996</v>
      </c>
      <c r="L19" s="1">
        <v>0.58279000000000003</v>
      </c>
      <c r="M19" s="1">
        <v>0.58181799999999995</v>
      </c>
      <c r="P19">
        <v>598.28599999999994</v>
      </c>
      <c r="Q19" s="1">
        <v>0.58954200000000001</v>
      </c>
      <c r="R19" s="1">
        <v>0.61529</v>
      </c>
      <c r="S19" s="1">
        <v>0.59267300000000001</v>
      </c>
      <c r="T19" s="1">
        <v>0.58963900000000002</v>
      </c>
      <c r="U19" s="1"/>
      <c r="W19">
        <v>356.00900000000001</v>
      </c>
      <c r="X19">
        <v>452.41500000000002</v>
      </c>
      <c r="Y19">
        <v>824.55899999999997</v>
      </c>
      <c r="Z19">
        <v>1059.22</v>
      </c>
      <c r="AA19">
        <v>773.16200000000003</v>
      </c>
      <c r="AD19">
        <v>391.99299999999999</v>
      </c>
      <c r="AE19">
        <v>362.608</v>
      </c>
      <c r="AF19">
        <v>829.95799999999997</v>
      </c>
      <c r="AG19">
        <v>787.37599999999998</v>
      </c>
      <c r="AH19">
        <v>822.45899999999995</v>
      </c>
      <c r="AK19">
        <v>369.976</v>
      </c>
      <c r="AL19">
        <v>455.29599999999999</v>
      </c>
      <c r="AM19">
        <v>899.303</v>
      </c>
      <c r="AN19">
        <v>913.56399999999996</v>
      </c>
      <c r="AO19">
        <v>1023.26</v>
      </c>
    </row>
    <row r="20" spans="1:41">
      <c r="A20">
        <v>18</v>
      </c>
      <c r="B20">
        <v>616.03399999999999</v>
      </c>
      <c r="C20" s="1">
        <v>0.59100299999999995</v>
      </c>
      <c r="D20">
        <v>0.58823599999999998</v>
      </c>
      <c r="E20">
        <v>0.61328199999999999</v>
      </c>
      <c r="F20">
        <v>0.62014999999999998</v>
      </c>
      <c r="I20">
        <v>607.35299999999995</v>
      </c>
      <c r="J20">
        <v>0.58186599999999999</v>
      </c>
      <c r="K20" s="1">
        <v>0.58177500000000004</v>
      </c>
      <c r="L20" s="1">
        <v>0.58423400000000003</v>
      </c>
      <c r="M20" s="1">
        <v>0.60422699999999996</v>
      </c>
      <c r="P20">
        <v>591.46699999999998</v>
      </c>
      <c r="Q20" s="1">
        <v>0.61549399999999999</v>
      </c>
      <c r="R20" s="1">
        <v>0.59283399999999997</v>
      </c>
      <c r="S20" s="1">
        <v>0.59805600000000003</v>
      </c>
      <c r="T20" s="1">
        <v>0.589059</v>
      </c>
      <c r="U20" s="1"/>
      <c r="W20">
        <v>355.22699999999998</v>
      </c>
      <c r="X20">
        <v>372.47800000000001</v>
      </c>
      <c r="Y20">
        <v>972.08799999999997</v>
      </c>
      <c r="Z20">
        <v>1062.1300000000001</v>
      </c>
      <c r="AA20">
        <v>827.06</v>
      </c>
      <c r="AD20">
        <v>372.98</v>
      </c>
      <c r="AE20">
        <v>339.78500000000003</v>
      </c>
      <c r="AF20">
        <v>698.81600000000003</v>
      </c>
      <c r="AG20">
        <v>774.99599999999998</v>
      </c>
      <c r="AH20">
        <v>759.85500000000002</v>
      </c>
      <c r="AK20">
        <v>443.63499999999999</v>
      </c>
      <c r="AL20">
        <v>469.13900000000001</v>
      </c>
      <c r="AM20">
        <v>948.03599999999994</v>
      </c>
      <c r="AN20">
        <v>897.96299999999997</v>
      </c>
      <c r="AO20">
        <v>825.93799999999999</v>
      </c>
    </row>
    <row r="21" spans="1:41">
      <c r="A21">
        <v>19</v>
      </c>
      <c r="B21">
        <v>604.923</v>
      </c>
      <c r="C21" s="1">
        <v>0.59630499999999997</v>
      </c>
      <c r="D21" s="1">
        <v>0.60151100000000002</v>
      </c>
      <c r="E21" s="1">
        <v>0.59916400000000003</v>
      </c>
      <c r="F21" s="1">
        <v>0.65196799999999999</v>
      </c>
      <c r="I21">
        <v>581.36599999999999</v>
      </c>
      <c r="J21" s="1">
        <v>0.58453999999999995</v>
      </c>
      <c r="K21" s="1">
        <v>0.58230400000000004</v>
      </c>
      <c r="L21" s="1">
        <v>0.61005399999999999</v>
      </c>
      <c r="M21" s="1">
        <v>0.58179400000000003</v>
      </c>
      <c r="P21">
        <v>610.67999999999995</v>
      </c>
      <c r="Q21">
        <v>0.59080900000000003</v>
      </c>
      <c r="R21">
        <v>0.59294500000000006</v>
      </c>
      <c r="S21" s="1">
        <v>0.599885</v>
      </c>
      <c r="T21">
        <v>0.62354500000000002</v>
      </c>
      <c r="W21">
        <v>341.71100000000001</v>
      </c>
      <c r="X21">
        <v>377.03500000000003</v>
      </c>
      <c r="Y21">
        <v>784.55499999999995</v>
      </c>
      <c r="Z21">
        <v>1085.4000000000001</v>
      </c>
      <c r="AA21">
        <v>760.71699999999998</v>
      </c>
      <c r="AD21">
        <v>336.67599999999999</v>
      </c>
      <c r="AE21">
        <v>349.59100000000001</v>
      </c>
      <c r="AF21">
        <v>714.03200000000004</v>
      </c>
      <c r="AG21">
        <v>865.197</v>
      </c>
      <c r="AH21">
        <v>860.577</v>
      </c>
      <c r="AK21">
        <v>350.87299999999999</v>
      </c>
      <c r="AL21">
        <v>332.72</v>
      </c>
      <c r="AM21">
        <v>719.46600000000001</v>
      </c>
      <c r="AN21">
        <v>811.976</v>
      </c>
      <c r="AO21">
        <v>746.55100000000004</v>
      </c>
    </row>
    <row r="22" spans="1:41">
      <c r="A22">
        <v>20</v>
      </c>
      <c r="B22">
        <v>596.51300000000003</v>
      </c>
      <c r="C22" s="1">
        <v>0.61987999999999999</v>
      </c>
      <c r="D22" s="1">
        <v>0.59068399999999999</v>
      </c>
      <c r="E22" s="1">
        <v>0.64237100000000003</v>
      </c>
      <c r="F22">
        <v>0.58735499999999996</v>
      </c>
      <c r="I22">
        <v>582.11699999999996</v>
      </c>
      <c r="J22" s="1">
        <v>0.58227099999999998</v>
      </c>
      <c r="K22">
        <v>0.58361799999999997</v>
      </c>
      <c r="L22" s="1">
        <v>0.61029800000000001</v>
      </c>
      <c r="M22" s="1">
        <v>0.58335300000000001</v>
      </c>
      <c r="P22">
        <v>589.78200000000004</v>
      </c>
      <c r="Q22">
        <v>0.59103600000000001</v>
      </c>
      <c r="R22" s="1">
        <v>0.59353199999999995</v>
      </c>
      <c r="S22" s="1">
        <v>0.61280699999999999</v>
      </c>
      <c r="T22" s="1">
        <v>0.59162300000000001</v>
      </c>
      <c r="U22" s="1"/>
      <c r="W22">
        <v>333.02199999999999</v>
      </c>
      <c r="X22">
        <v>362.13299999999998</v>
      </c>
      <c r="Y22">
        <v>752.75400000000002</v>
      </c>
      <c r="Z22">
        <v>1039.0999999999999</v>
      </c>
      <c r="AA22">
        <v>855.50400000000002</v>
      </c>
      <c r="AD22">
        <v>468.49</v>
      </c>
      <c r="AE22">
        <v>359.71600000000001</v>
      </c>
      <c r="AF22">
        <v>833.125</v>
      </c>
      <c r="AG22">
        <v>871.423</v>
      </c>
      <c r="AH22">
        <v>751.17700000000002</v>
      </c>
      <c r="AK22">
        <v>345.44600000000003</v>
      </c>
      <c r="AL22">
        <v>345.66399999999999</v>
      </c>
      <c r="AM22">
        <v>758.82100000000003</v>
      </c>
      <c r="AN22">
        <v>783.09500000000003</v>
      </c>
      <c r="AO22">
        <v>736.4</v>
      </c>
    </row>
    <row r="23" spans="1:41">
      <c r="A23">
        <v>21</v>
      </c>
      <c r="B23">
        <v>589.01700000000005</v>
      </c>
      <c r="C23" s="1">
        <v>0.58970900000000004</v>
      </c>
      <c r="D23" s="1">
        <v>0.63158300000000001</v>
      </c>
      <c r="E23" s="1">
        <v>0.60259600000000002</v>
      </c>
      <c r="F23" s="1">
        <v>0.617649</v>
      </c>
      <c r="I23">
        <v>588.87199999999996</v>
      </c>
      <c r="J23" s="1">
        <v>0.58274700000000001</v>
      </c>
      <c r="K23" s="1">
        <v>0.60175999999999996</v>
      </c>
      <c r="L23" s="1">
        <v>0.585121</v>
      </c>
      <c r="M23" s="1">
        <v>0.58157000000000003</v>
      </c>
      <c r="P23">
        <v>592.22299999999996</v>
      </c>
      <c r="Q23" s="1">
        <v>0.59011000000000002</v>
      </c>
      <c r="R23" s="1">
        <v>0.62451299999999998</v>
      </c>
      <c r="S23" s="1">
        <v>0.59683399999999998</v>
      </c>
      <c r="T23" s="1">
        <v>0.59037499999999998</v>
      </c>
      <c r="U23" s="1"/>
      <c r="W23">
        <v>393.101</v>
      </c>
      <c r="X23">
        <v>356.50400000000002</v>
      </c>
      <c r="Y23">
        <v>777.24900000000002</v>
      </c>
      <c r="Z23">
        <v>987.68499999999995</v>
      </c>
      <c r="AA23">
        <v>748.08600000000001</v>
      </c>
      <c r="AD23">
        <v>383.42899999999997</v>
      </c>
      <c r="AE23">
        <v>389.29500000000002</v>
      </c>
      <c r="AF23">
        <v>844.93499999999995</v>
      </c>
      <c r="AG23">
        <v>823.12400000000002</v>
      </c>
      <c r="AH23">
        <v>792.97699999999998</v>
      </c>
      <c r="AK23">
        <v>344.755</v>
      </c>
      <c r="AL23">
        <v>341.84</v>
      </c>
      <c r="AM23">
        <v>772.84199999999998</v>
      </c>
      <c r="AN23">
        <v>768.89200000000005</v>
      </c>
      <c r="AO23">
        <v>713.2</v>
      </c>
    </row>
    <row r="24" spans="1:41">
      <c r="A24">
        <v>22</v>
      </c>
      <c r="B24">
        <v>589.88699999999994</v>
      </c>
      <c r="C24" s="1">
        <v>0.61836100000000005</v>
      </c>
      <c r="D24" s="1">
        <v>0.61128800000000005</v>
      </c>
      <c r="E24" s="1">
        <v>0.591696</v>
      </c>
      <c r="F24" s="1">
        <v>0.58526</v>
      </c>
      <c r="I24">
        <v>582.32799999999997</v>
      </c>
      <c r="J24" s="1">
        <v>0.60814199999999996</v>
      </c>
      <c r="K24" s="1">
        <v>0.58298300000000003</v>
      </c>
      <c r="L24" s="1">
        <v>0.58284199999999997</v>
      </c>
      <c r="M24" s="1">
        <v>0.58290399999999998</v>
      </c>
      <c r="P24">
        <v>600.01599999999996</v>
      </c>
      <c r="Q24" s="1">
        <v>0.615618</v>
      </c>
      <c r="R24" s="1">
        <v>0.59200699999999995</v>
      </c>
      <c r="S24" s="1">
        <v>0.617232</v>
      </c>
      <c r="T24" s="1">
        <v>0.59529600000000005</v>
      </c>
      <c r="U24" s="1"/>
      <c r="W24">
        <v>374.68799999999999</v>
      </c>
      <c r="X24">
        <v>337.22199999999998</v>
      </c>
      <c r="Y24">
        <v>710.72799999999995</v>
      </c>
      <c r="Z24">
        <v>1194.18</v>
      </c>
      <c r="AA24">
        <v>799.82299999999998</v>
      </c>
      <c r="AD24">
        <v>344.45600000000002</v>
      </c>
      <c r="AE24">
        <v>343.44</v>
      </c>
      <c r="AF24">
        <v>740.779</v>
      </c>
      <c r="AG24">
        <v>771.31500000000005</v>
      </c>
      <c r="AH24">
        <v>731.96600000000001</v>
      </c>
      <c r="AK24">
        <v>356.72300000000001</v>
      </c>
      <c r="AL24">
        <v>335.976</v>
      </c>
      <c r="AM24">
        <v>695.43700000000001</v>
      </c>
      <c r="AN24">
        <v>738.05100000000004</v>
      </c>
      <c r="AO24">
        <v>747.41300000000001</v>
      </c>
    </row>
    <row r="25" spans="1:41">
      <c r="A25">
        <v>23</v>
      </c>
      <c r="B25">
        <v>599.69799999999998</v>
      </c>
      <c r="C25" s="1">
        <v>0.61222600000000005</v>
      </c>
      <c r="D25" s="1">
        <v>0.61055599999999999</v>
      </c>
      <c r="E25" s="1">
        <v>0.59304699999999999</v>
      </c>
      <c r="F25" s="1">
        <v>0.60361299999999996</v>
      </c>
      <c r="I25">
        <v>607.62900000000002</v>
      </c>
      <c r="J25" s="1">
        <v>0.58251799999999998</v>
      </c>
      <c r="K25" s="1">
        <v>0.58206100000000005</v>
      </c>
      <c r="L25" s="1">
        <v>0.581565</v>
      </c>
      <c r="M25" s="1">
        <v>0.58242700000000003</v>
      </c>
      <c r="P25">
        <v>592.02599999999995</v>
      </c>
      <c r="Q25" s="1">
        <v>0.62090400000000001</v>
      </c>
      <c r="R25" s="1">
        <v>0.59290399999999999</v>
      </c>
      <c r="S25" s="1">
        <v>0.592198</v>
      </c>
      <c r="T25" s="1">
        <v>0.58857700000000002</v>
      </c>
      <c r="U25" s="1"/>
      <c r="W25">
        <v>379.839</v>
      </c>
      <c r="X25">
        <v>395.85399999999998</v>
      </c>
      <c r="Y25">
        <v>905.00900000000001</v>
      </c>
      <c r="Z25">
        <v>986.27</v>
      </c>
      <c r="AA25">
        <v>726.13199999999995</v>
      </c>
      <c r="AD25">
        <v>333.06</v>
      </c>
      <c r="AE25">
        <v>375.93099999999998</v>
      </c>
      <c r="AF25">
        <v>717.31200000000001</v>
      </c>
      <c r="AG25">
        <v>753.71299999999997</v>
      </c>
      <c r="AH25">
        <v>727.03200000000004</v>
      </c>
      <c r="AK25">
        <v>332.03399999999999</v>
      </c>
      <c r="AL25">
        <v>327.50900000000001</v>
      </c>
      <c r="AM25">
        <v>696.39700000000005</v>
      </c>
      <c r="AN25">
        <v>736.60400000000004</v>
      </c>
      <c r="AO25">
        <v>736.3</v>
      </c>
    </row>
    <row r="26" spans="1:41">
      <c r="A26">
        <v>24</v>
      </c>
      <c r="B26">
        <v>607.68200000000002</v>
      </c>
      <c r="C26" s="1">
        <v>0.60561600000000004</v>
      </c>
      <c r="D26" s="1">
        <v>0.60343999999999998</v>
      </c>
      <c r="E26" s="1">
        <v>0.59584599999999999</v>
      </c>
      <c r="F26" s="1">
        <v>0.59995799999999999</v>
      </c>
      <c r="I26">
        <v>608.38300000000004</v>
      </c>
      <c r="J26" s="1">
        <v>0.581978</v>
      </c>
      <c r="K26" s="1">
        <v>0.58278600000000003</v>
      </c>
      <c r="L26" s="1">
        <v>0.58443999999999996</v>
      </c>
      <c r="M26" s="1">
        <v>0.59989700000000001</v>
      </c>
      <c r="P26">
        <v>613.59799999999996</v>
      </c>
      <c r="Q26" s="1">
        <v>0.59049499999999999</v>
      </c>
      <c r="R26" s="1">
        <v>0.59700500000000001</v>
      </c>
      <c r="S26" s="1">
        <v>0.59459899999999999</v>
      </c>
      <c r="T26" s="1">
        <v>0.60536900000000005</v>
      </c>
      <c r="U26" s="1"/>
      <c r="W26">
        <v>328.495</v>
      </c>
      <c r="X26">
        <v>361.36700000000002</v>
      </c>
      <c r="Y26">
        <v>777.99099999999999</v>
      </c>
      <c r="Z26">
        <v>989.94299999999998</v>
      </c>
      <c r="AA26">
        <v>753.86</v>
      </c>
      <c r="AD26">
        <v>385.096</v>
      </c>
      <c r="AE26">
        <v>333.02699999999999</v>
      </c>
      <c r="AF26">
        <v>718.70299999999997</v>
      </c>
      <c r="AG26">
        <v>758.3</v>
      </c>
      <c r="AH26">
        <v>768.61800000000005</v>
      </c>
      <c r="AK26">
        <v>341.16</v>
      </c>
      <c r="AL26">
        <v>347.25700000000001</v>
      </c>
      <c r="AM26">
        <v>723.69200000000001</v>
      </c>
      <c r="AN26">
        <v>799.53599999999994</v>
      </c>
      <c r="AO26">
        <v>741.96400000000006</v>
      </c>
    </row>
    <row r="27" spans="1:41">
      <c r="A27">
        <v>25</v>
      </c>
      <c r="B27">
        <v>607.851</v>
      </c>
      <c r="C27" s="1">
        <v>0.61315399999999998</v>
      </c>
      <c r="D27" s="1">
        <v>0.60076499999999999</v>
      </c>
      <c r="E27" s="1">
        <v>0.60008300000000003</v>
      </c>
      <c r="F27" s="1">
        <v>0.62306600000000001</v>
      </c>
      <c r="I27">
        <v>582.16300000000001</v>
      </c>
      <c r="J27" s="1">
        <v>0.58696000000000004</v>
      </c>
      <c r="K27" s="1">
        <v>0.58944600000000003</v>
      </c>
      <c r="L27" s="1">
        <v>0.61240899999999998</v>
      </c>
      <c r="M27" s="1">
        <v>0.59700900000000001</v>
      </c>
      <c r="P27">
        <v>591.16200000000003</v>
      </c>
      <c r="Q27" s="1">
        <v>0.59123000000000003</v>
      </c>
      <c r="R27" s="1">
        <v>0.59322399999999997</v>
      </c>
      <c r="S27" s="1">
        <v>0.61743099999999995</v>
      </c>
      <c r="T27" s="1">
        <v>0.58768500000000001</v>
      </c>
      <c r="U27" s="1"/>
      <c r="W27">
        <v>383.46699999999998</v>
      </c>
      <c r="X27">
        <v>439.90300000000002</v>
      </c>
      <c r="Y27">
        <v>884.28700000000003</v>
      </c>
      <c r="Z27">
        <v>1102.0999999999999</v>
      </c>
      <c r="AA27">
        <v>854.524</v>
      </c>
      <c r="AD27">
        <v>349.154</v>
      </c>
      <c r="AE27">
        <v>363.36900000000003</v>
      </c>
      <c r="AF27">
        <v>811.75900000000001</v>
      </c>
      <c r="AG27">
        <v>860.53</v>
      </c>
      <c r="AH27">
        <v>966.98699999999997</v>
      </c>
      <c r="AK27">
        <v>359.66699999999997</v>
      </c>
      <c r="AL27">
        <v>359.67700000000002</v>
      </c>
      <c r="AM27">
        <v>789.971</v>
      </c>
      <c r="AN27">
        <v>856.69500000000005</v>
      </c>
      <c r="AO27">
        <v>909.09799999999996</v>
      </c>
    </row>
    <row r="28" spans="1:41" hidden="1">
      <c r="A28">
        <v>26</v>
      </c>
      <c r="B28">
        <v>608.60400000000004</v>
      </c>
      <c r="C28" s="1">
        <v>0.65754000000000001</v>
      </c>
      <c r="D28" s="1">
        <v>0.58478300000000005</v>
      </c>
      <c r="E28" s="1">
        <v>0.626135</v>
      </c>
      <c r="F28" s="1">
        <v>0.59398600000000001</v>
      </c>
      <c r="I28">
        <v>584.79300000000001</v>
      </c>
      <c r="J28" s="1">
        <v>0.58640599999999998</v>
      </c>
      <c r="K28" s="1">
        <v>0.58306899999999995</v>
      </c>
      <c r="L28" s="1">
        <v>0.64833700000000005</v>
      </c>
      <c r="M28" s="1">
        <v>0.58639799999999997</v>
      </c>
      <c r="P28">
        <v>591.95500000000004</v>
      </c>
      <c r="Q28" s="1">
        <v>0.59046399999999999</v>
      </c>
      <c r="R28" s="1">
        <v>0.617483</v>
      </c>
      <c r="S28" s="1">
        <v>0.59418700000000002</v>
      </c>
      <c r="T28" s="1">
        <v>0.59882299999999999</v>
      </c>
      <c r="U28" s="1"/>
      <c r="W28">
        <v>408.858</v>
      </c>
      <c r="X28">
        <v>406.33300000000003</v>
      </c>
      <c r="Y28">
        <v>870.18700000000001</v>
      </c>
      <c r="Z28">
        <v>1157.5999999999999</v>
      </c>
      <c r="AA28">
        <v>849.66399999999999</v>
      </c>
      <c r="AD28">
        <v>376.03199999999998</v>
      </c>
      <c r="AE28">
        <v>418.16800000000001</v>
      </c>
      <c r="AF28">
        <v>894.08299999999997</v>
      </c>
      <c r="AG28">
        <v>887.99400000000003</v>
      </c>
      <c r="AH28">
        <v>799.90499999999997</v>
      </c>
      <c r="AK28">
        <v>396.72800000000001</v>
      </c>
      <c r="AL28">
        <v>356.52300000000002</v>
      </c>
      <c r="AM28">
        <v>839.40300000000002</v>
      </c>
      <c r="AN28">
        <v>773.61</v>
      </c>
      <c r="AO28">
        <v>756.83299999999997</v>
      </c>
    </row>
    <row r="29" spans="1:41" hidden="1">
      <c r="A29">
        <v>27</v>
      </c>
      <c r="B29">
        <v>590.25699999999995</v>
      </c>
      <c r="C29" s="1">
        <v>0.59218300000000001</v>
      </c>
      <c r="D29" s="1">
        <v>0.63322900000000004</v>
      </c>
      <c r="E29" s="1">
        <v>0.59097500000000003</v>
      </c>
      <c r="F29" s="1">
        <v>0.61888500000000002</v>
      </c>
      <c r="I29">
        <v>582.82799999999997</v>
      </c>
      <c r="J29" s="1">
        <v>0.58348100000000003</v>
      </c>
      <c r="K29" s="1">
        <v>0.60632399999999997</v>
      </c>
      <c r="L29" s="1">
        <v>0.67401299999999997</v>
      </c>
      <c r="M29" s="1">
        <v>0.59150599999999998</v>
      </c>
      <c r="P29">
        <v>593.56600000000003</v>
      </c>
      <c r="Q29" s="1">
        <v>0.59651299999999996</v>
      </c>
      <c r="R29" s="1">
        <v>0.62144200000000005</v>
      </c>
      <c r="S29" s="1">
        <v>0.60973500000000003</v>
      </c>
      <c r="T29" s="1">
        <v>0.59131599999999995</v>
      </c>
      <c r="W29">
        <v>391.92399999999998</v>
      </c>
      <c r="X29">
        <v>383.45299999999997</v>
      </c>
      <c r="Y29">
        <v>745.06899999999996</v>
      </c>
      <c r="Z29">
        <v>982.49699999999996</v>
      </c>
      <c r="AA29">
        <v>786.41</v>
      </c>
      <c r="AD29">
        <v>366.125</v>
      </c>
      <c r="AE29">
        <v>375.31799999999998</v>
      </c>
      <c r="AF29">
        <v>771.43499999999995</v>
      </c>
      <c r="AG29">
        <v>762.38599999999997</v>
      </c>
      <c r="AH29">
        <v>768.18100000000004</v>
      </c>
      <c r="AK29">
        <v>331.62900000000002</v>
      </c>
      <c r="AL29">
        <v>328.31099999999998</v>
      </c>
      <c r="AM29">
        <v>716.43499999999995</v>
      </c>
      <c r="AN29">
        <v>736.88699999999994</v>
      </c>
      <c r="AO29">
        <v>710.60400000000004</v>
      </c>
    </row>
    <row r="30" spans="1:41" hidden="1">
      <c r="A30">
        <v>28</v>
      </c>
      <c r="B30">
        <v>590.6</v>
      </c>
      <c r="C30" s="1">
        <v>0.59735400000000005</v>
      </c>
      <c r="D30" s="1">
        <v>0.60719900000000004</v>
      </c>
      <c r="E30" s="1">
        <v>0.60585500000000003</v>
      </c>
      <c r="F30" s="1">
        <v>0.59515899999999999</v>
      </c>
      <c r="I30">
        <v>582.16700000000003</v>
      </c>
      <c r="J30" s="1">
        <v>0.60422699999999996</v>
      </c>
      <c r="K30" s="1">
        <v>0.58707900000000002</v>
      </c>
      <c r="L30" s="1">
        <v>0.58387999999999995</v>
      </c>
      <c r="M30" s="1">
        <v>0.58225899999999997</v>
      </c>
      <c r="P30">
        <v>593.95500000000004</v>
      </c>
      <c r="Q30" s="1">
        <v>0.62811399999999995</v>
      </c>
      <c r="R30" s="1">
        <v>0.62504300000000002</v>
      </c>
      <c r="S30" s="1">
        <v>0.59397299999999997</v>
      </c>
      <c r="T30" s="1">
        <v>0.613263</v>
      </c>
      <c r="U30" s="1"/>
      <c r="W30">
        <v>317.98</v>
      </c>
      <c r="X30">
        <v>335.55200000000002</v>
      </c>
      <c r="Y30">
        <v>717.39599999999996</v>
      </c>
      <c r="Z30">
        <v>960.947</v>
      </c>
      <c r="AA30">
        <v>724.34699999999998</v>
      </c>
      <c r="AD30">
        <v>338.226</v>
      </c>
      <c r="AE30">
        <v>360.32299999999998</v>
      </c>
      <c r="AF30">
        <v>736.58399999999995</v>
      </c>
      <c r="AG30">
        <v>768.44399999999996</v>
      </c>
      <c r="AH30">
        <v>787.54200000000003</v>
      </c>
      <c r="AK30">
        <v>357.78899999999999</v>
      </c>
      <c r="AL30">
        <v>329.81099999999998</v>
      </c>
      <c r="AM30">
        <v>705.01900000000001</v>
      </c>
      <c r="AN30">
        <v>756.66200000000003</v>
      </c>
      <c r="AO30">
        <v>768.97699999999998</v>
      </c>
    </row>
    <row r="31" spans="1:41" hidden="1">
      <c r="A31">
        <v>29</v>
      </c>
      <c r="B31">
        <v>588.65300000000002</v>
      </c>
      <c r="C31" s="1">
        <v>0.61706300000000003</v>
      </c>
      <c r="D31" s="1">
        <v>0.596827</v>
      </c>
      <c r="E31" s="1">
        <v>0.606236</v>
      </c>
      <c r="F31" s="1">
        <v>0.59902999999999995</v>
      </c>
      <c r="I31">
        <v>605.02300000000002</v>
      </c>
      <c r="J31" s="1">
        <v>0.58303199999999999</v>
      </c>
      <c r="K31" s="1">
        <v>0.583229</v>
      </c>
      <c r="L31" s="1">
        <v>0.58380799999999999</v>
      </c>
      <c r="M31" s="1">
        <v>0.58420499999999997</v>
      </c>
      <c r="P31">
        <v>628.48</v>
      </c>
      <c r="Q31" s="1">
        <v>0.59418899999999997</v>
      </c>
      <c r="R31" s="1">
        <v>0.59521800000000002</v>
      </c>
      <c r="S31" s="1">
        <v>0.60186399999999995</v>
      </c>
      <c r="T31" s="1">
        <v>0.62154100000000001</v>
      </c>
      <c r="U31" s="1"/>
      <c r="W31">
        <v>337.11500000000001</v>
      </c>
      <c r="X31">
        <v>358.846</v>
      </c>
      <c r="Y31">
        <v>779.99300000000005</v>
      </c>
      <c r="Z31">
        <v>992.20600000000002</v>
      </c>
      <c r="AA31">
        <v>741.61800000000005</v>
      </c>
      <c r="AD31">
        <v>401.87299999999999</v>
      </c>
      <c r="AE31">
        <v>371.76499999999999</v>
      </c>
      <c r="AF31">
        <v>820.67399999999998</v>
      </c>
      <c r="AG31">
        <v>935.84299999999996</v>
      </c>
      <c r="AH31">
        <v>824.40300000000002</v>
      </c>
      <c r="AK31">
        <v>344.43400000000003</v>
      </c>
      <c r="AL31">
        <v>343.95600000000002</v>
      </c>
      <c r="AM31">
        <v>733.81299999999999</v>
      </c>
      <c r="AN31">
        <v>772.92100000000005</v>
      </c>
      <c r="AO31">
        <v>775.28300000000002</v>
      </c>
    </row>
    <row r="32" spans="1:41" hidden="1">
      <c r="A32">
        <v>30</v>
      </c>
      <c r="B32">
        <v>618.72</v>
      </c>
      <c r="C32" s="1">
        <v>0.58245800000000003</v>
      </c>
      <c r="D32" s="1">
        <v>0.61715900000000001</v>
      </c>
      <c r="E32" s="1">
        <v>0.594777</v>
      </c>
      <c r="F32" s="1">
        <v>0.61693699999999996</v>
      </c>
      <c r="I32">
        <v>609.60599999999999</v>
      </c>
      <c r="J32" s="1">
        <v>0.58416199999999996</v>
      </c>
      <c r="K32" s="1">
        <v>0.58121199999999995</v>
      </c>
      <c r="L32" s="1">
        <v>0.58368500000000001</v>
      </c>
      <c r="M32" s="1">
        <v>0.60116199999999997</v>
      </c>
      <c r="P32">
        <v>602.06500000000005</v>
      </c>
      <c r="Q32" s="1">
        <v>0.60818899999999998</v>
      </c>
      <c r="R32" s="1">
        <v>0.622498</v>
      </c>
      <c r="S32" s="1">
        <v>0.60860199999999998</v>
      </c>
      <c r="T32" s="1">
        <v>0.59008400000000005</v>
      </c>
      <c r="U32" s="1"/>
      <c r="W32">
        <v>328.16899999999998</v>
      </c>
      <c r="X32">
        <v>374.44099999999997</v>
      </c>
      <c r="Y32">
        <v>782.17499999999995</v>
      </c>
      <c r="Z32">
        <v>973.971</v>
      </c>
      <c r="AA32">
        <v>756.87800000000004</v>
      </c>
      <c r="AD32">
        <v>380.85</v>
      </c>
      <c r="AE32">
        <v>374.62200000000001</v>
      </c>
      <c r="AF32">
        <v>788.17700000000002</v>
      </c>
      <c r="AG32">
        <v>903.54399999999998</v>
      </c>
      <c r="AH32">
        <v>834.73599999999999</v>
      </c>
      <c r="AK32">
        <v>341.488</v>
      </c>
      <c r="AL32">
        <v>346.02699999999999</v>
      </c>
      <c r="AM32">
        <v>698.52599999999995</v>
      </c>
      <c r="AN32">
        <v>769.98</v>
      </c>
      <c r="AO32">
        <v>718.94799999999998</v>
      </c>
    </row>
    <row r="33" spans="1:41" hidden="1">
      <c r="A33">
        <v>31</v>
      </c>
      <c r="B33">
        <v>587.99400000000003</v>
      </c>
      <c r="C33" s="1">
        <v>0.59689599999999998</v>
      </c>
      <c r="D33" s="1">
        <v>0.59343400000000002</v>
      </c>
      <c r="E33" s="1">
        <v>0.60736900000000005</v>
      </c>
      <c r="F33" s="1">
        <v>0.64029599999999998</v>
      </c>
      <c r="I33">
        <v>583.30200000000002</v>
      </c>
      <c r="J33" s="1">
        <v>0.58207600000000004</v>
      </c>
      <c r="K33" s="1">
        <v>0.58282400000000001</v>
      </c>
      <c r="L33" s="1">
        <v>0.608985</v>
      </c>
      <c r="M33" s="1">
        <v>0.58296999999999999</v>
      </c>
      <c r="P33">
        <v>626.89700000000005</v>
      </c>
      <c r="Q33" s="1">
        <v>0.70461600000000002</v>
      </c>
      <c r="R33" s="1">
        <v>0.60099499999999995</v>
      </c>
      <c r="S33" s="1">
        <v>0.59318499999999996</v>
      </c>
      <c r="T33" s="1">
        <v>0.61588299999999996</v>
      </c>
      <c r="U33" s="1"/>
      <c r="W33">
        <v>369.95</v>
      </c>
      <c r="X33">
        <v>358.96199999999999</v>
      </c>
      <c r="Y33">
        <v>748.50199999999995</v>
      </c>
      <c r="Z33">
        <v>1040.6500000000001</v>
      </c>
      <c r="AA33">
        <v>861.66800000000001</v>
      </c>
      <c r="AD33">
        <v>381.995</v>
      </c>
      <c r="AE33">
        <v>333.22199999999998</v>
      </c>
      <c r="AF33">
        <v>711.22799999999995</v>
      </c>
      <c r="AG33">
        <v>802.74199999999996</v>
      </c>
      <c r="AH33">
        <v>732.54300000000001</v>
      </c>
      <c r="AK33">
        <v>332.36599999999999</v>
      </c>
      <c r="AL33">
        <v>326.92599999999999</v>
      </c>
      <c r="AM33">
        <v>696.38800000000003</v>
      </c>
      <c r="AN33">
        <v>770.07299999999998</v>
      </c>
      <c r="AO33">
        <v>709.05899999999997</v>
      </c>
    </row>
    <row r="34" spans="1:41" hidden="1">
      <c r="A34">
        <v>32</v>
      </c>
      <c r="B34">
        <v>594.71699999999998</v>
      </c>
      <c r="C34" s="1">
        <v>0.59324200000000005</v>
      </c>
      <c r="D34" s="1">
        <v>0.587835</v>
      </c>
      <c r="E34" s="1">
        <v>0.62331800000000004</v>
      </c>
      <c r="F34" s="1">
        <v>0.59759099999999998</v>
      </c>
      <c r="I34">
        <v>582.79100000000005</v>
      </c>
      <c r="J34" s="1">
        <v>0.584117</v>
      </c>
      <c r="K34" s="1">
        <v>0.60800299999999996</v>
      </c>
      <c r="L34" s="1">
        <v>0.58545100000000005</v>
      </c>
      <c r="M34" s="1">
        <v>0.58118899999999996</v>
      </c>
      <c r="P34">
        <v>614.00699999999995</v>
      </c>
      <c r="Q34" s="1">
        <v>0.59030199999999999</v>
      </c>
      <c r="R34" s="1">
        <v>0.59272199999999997</v>
      </c>
      <c r="S34" s="1">
        <v>0.59609299999999998</v>
      </c>
      <c r="T34" s="1">
        <v>0.591669</v>
      </c>
      <c r="U34" s="1"/>
      <c r="W34">
        <v>353.471</v>
      </c>
      <c r="X34">
        <v>425.04899999999998</v>
      </c>
      <c r="Y34">
        <v>840.95399999999995</v>
      </c>
      <c r="Z34">
        <v>1087.6500000000001</v>
      </c>
      <c r="AA34">
        <v>822.84799999999996</v>
      </c>
      <c r="AD34">
        <v>341.495</v>
      </c>
      <c r="AE34">
        <v>344.27199999999999</v>
      </c>
      <c r="AF34">
        <v>708.76300000000003</v>
      </c>
      <c r="AG34">
        <v>774.17100000000005</v>
      </c>
      <c r="AH34">
        <v>736.59299999999996</v>
      </c>
      <c r="AK34">
        <v>342.012</v>
      </c>
      <c r="AL34">
        <v>346.44</v>
      </c>
      <c r="AM34">
        <v>724.58799999999997</v>
      </c>
      <c r="AN34">
        <v>737.96600000000001</v>
      </c>
      <c r="AO34">
        <v>710.42899999999997</v>
      </c>
    </row>
    <row r="35" spans="1:41" hidden="1">
      <c r="A35">
        <v>33</v>
      </c>
      <c r="B35">
        <v>593.87900000000002</v>
      </c>
      <c r="C35" s="1">
        <v>0.59165699999999999</v>
      </c>
      <c r="D35" s="1">
        <v>0.60757399999999995</v>
      </c>
      <c r="E35" s="1">
        <v>0.60402199999999995</v>
      </c>
      <c r="F35" s="1">
        <v>0.58878200000000003</v>
      </c>
      <c r="I35">
        <v>581.91399999999999</v>
      </c>
      <c r="J35" s="1">
        <v>0.58447400000000005</v>
      </c>
      <c r="K35" s="1">
        <v>0.61287899999999995</v>
      </c>
      <c r="L35" s="1">
        <v>0.582681</v>
      </c>
      <c r="M35" s="1">
        <v>0.582789</v>
      </c>
      <c r="P35">
        <v>613.43799999999999</v>
      </c>
      <c r="Q35" s="1">
        <v>0.59120899999999998</v>
      </c>
      <c r="R35" s="1">
        <v>0.59341500000000003</v>
      </c>
      <c r="S35" s="1">
        <v>0.59501499999999996</v>
      </c>
      <c r="T35" s="1">
        <v>0.61690100000000003</v>
      </c>
      <c r="U35" s="1"/>
      <c r="W35">
        <v>367.98</v>
      </c>
      <c r="X35">
        <v>376.64800000000002</v>
      </c>
      <c r="Y35">
        <v>818.42499999999995</v>
      </c>
      <c r="Z35">
        <v>1043.48</v>
      </c>
      <c r="AA35">
        <v>760.70699999999999</v>
      </c>
      <c r="AD35">
        <v>333.71300000000002</v>
      </c>
      <c r="AE35">
        <v>354.06400000000002</v>
      </c>
      <c r="AF35">
        <v>725.72699999999998</v>
      </c>
      <c r="AG35">
        <v>778.601</v>
      </c>
      <c r="AH35">
        <v>777.29600000000005</v>
      </c>
      <c r="AK35">
        <v>357.32299999999998</v>
      </c>
      <c r="AL35">
        <v>342.209</v>
      </c>
      <c r="AM35">
        <v>724.86699999999996</v>
      </c>
      <c r="AN35">
        <v>737.47</v>
      </c>
      <c r="AO35">
        <v>709.36</v>
      </c>
    </row>
    <row r="36" spans="1:41" hidden="1">
      <c r="A36">
        <v>34</v>
      </c>
      <c r="B36">
        <v>613.149</v>
      </c>
      <c r="C36" s="1">
        <v>0.628664</v>
      </c>
      <c r="D36" s="1">
        <v>0.58679400000000004</v>
      </c>
      <c r="E36" s="1">
        <v>0.60583699999999996</v>
      </c>
      <c r="F36" s="1">
        <v>0.59394000000000002</v>
      </c>
      <c r="I36">
        <v>582.673</v>
      </c>
      <c r="J36" s="1">
        <v>0.60922500000000002</v>
      </c>
      <c r="K36" s="1">
        <v>0.58302500000000002</v>
      </c>
      <c r="L36" s="1">
        <v>0.58318300000000001</v>
      </c>
      <c r="M36" s="1">
        <v>0.58896999999999999</v>
      </c>
      <c r="P36">
        <v>590.94200000000001</v>
      </c>
      <c r="Q36" s="1">
        <v>0.591194</v>
      </c>
      <c r="R36" s="1">
        <v>0.59447499999999998</v>
      </c>
      <c r="S36" s="1">
        <v>0.61929999999999996</v>
      </c>
      <c r="T36" s="1">
        <v>0.58932799999999996</v>
      </c>
      <c r="U36" s="1"/>
      <c r="W36">
        <v>324.81099999999998</v>
      </c>
      <c r="X36">
        <v>359.63</v>
      </c>
      <c r="Y36">
        <v>711.37300000000005</v>
      </c>
      <c r="Z36">
        <v>942.78499999999997</v>
      </c>
      <c r="AA36">
        <v>743.14800000000002</v>
      </c>
      <c r="AD36">
        <v>337.67399999999998</v>
      </c>
      <c r="AE36">
        <v>342.41899999999998</v>
      </c>
      <c r="AF36">
        <v>742.48699999999997</v>
      </c>
      <c r="AG36">
        <v>860.25599999999997</v>
      </c>
      <c r="AH36">
        <v>834.95500000000004</v>
      </c>
      <c r="AK36">
        <v>331.04</v>
      </c>
      <c r="AL36">
        <v>353.66800000000001</v>
      </c>
      <c r="AM36">
        <v>696.90200000000004</v>
      </c>
      <c r="AN36">
        <v>738.79100000000005</v>
      </c>
      <c r="AO36">
        <v>708.27499999999998</v>
      </c>
    </row>
    <row r="37" spans="1:41" hidden="1">
      <c r="A37">
        <v>35</v>
      </c>
      <c r="B37">
        <v>617.53800000000001</v>
      </c>
      <c r="C37" s="1">
        <v>0.59853800000000001</v>
      </c>
      <c r="D37" s="1">
        <v>0.59404100000000004</v>
      </c>
      <c r="E37" s="1">
        <v>0.598638</v>
      </c>
      <c r="F37" s="1">
        <v>0.62397400000000003</v>
      </c>
      <c r="I37">
        <v>585.07899999999995</v>
      </c>
      <c r="J37" s="1">
        <v>0.60621999999999998</v>
      </c>
      <c r="K37" s="1">
        <v>0.58412699999999995</v>
      </c>
      <c r="L37" s="1">
        <v>0.58450500000000005</v>
      </c>
      <c r="M37" s="1">
        <v>0.58926599999999996</v>
      </c>
      <c r="P37">
        <v>590.16600000000005</v>
      </c>
      <c r="Q37" s="1">
        <v>0.592283</v>
      </c>
      <c r="R37" s="1">
        <v>0.60947300000000004</v>
      </c>
      <c r="S37" s="1">
        <v>0.59376300000000004</v>
      </c>
      <c r="T37" s="1">
        <v>0.58788300000000004</v>
      </c>
      <c r="U37" s="1"/>
      <c r="W37">
        <v>319.20400000000001</v>
      </c>
      <c r="X37">
        <v>335.90300000000002</v>
      </c>
      <c r="Y37">
        <v>705.91200000000003</v>
      </c>
      <c r="Z37">
        <v>940.02700000000004</v>
      </c>
      <c r="AA37">
        <v>779.55100000000004</v>
      </c>
      <c r="AD37">
        <v>364.53899999999999</v>
      </c>
      <c r="AE37">
        <v>366.40899999999999</v>
      </c>
      <c r="AF37">
        <v>753.51700000000005</v>
      </c>
      <c r="AG37">
        <v>791.57</v>
      </c>
      <c r="AH37">
        <v>806.21299999999997</v>
      </c>
      <c r="AK37">
        <v>357.04700000000003</v>
      </c>
      <c r="AL37">
        <v>328.86599999999999</v>
      </c>
      <c r="AM37">
        <v>698.822</v>
      </c>
      <c r="AN37">
        <v>736.68100000000004</v>
      </c>
      <c r="AO37">
        <v>729.75300000000004</v>
      </c>
    </row>
    <row r="38" spans="1:41" hidden="1">
      <c r="A38">
        <v>36</v>
      </c>
      <c r="B38">
        <v>591.05600000000004</v>
      </c>
      <c r="C38" s="1">
        <v>0.663941</v>
      </c>
      <c r="D38" s="1">
        <v>0.61829999999999996</v>
      </c>
      <c r="E38" s="1">
        <v>0.59413800000000005</v>
      </c>
      <c r="F38" s="1">
        <v>0.61934800000000001</v>
      </c>
      <c r="I38">
        <v>615.03899999999999</v>
      </c>
      <c r="J38" s="1">
        <v>0.592839</v>
      </c>
      <c r="K38" s="1">
        <v>0.59903899999999999</v>
      </c>
      <c r="L38" s="1">
        <v>0.58415600000000001</v>
      </c>
      <c r="M38" s="1">
        <v>0.58883200000000002</v>
      </c>
      <c r="P38">
        <v>662.20299999999997</v>
      </c>
      <c r="Q38" s="1">
        <v>0.60728400000000005</v>
      </c>
      <c r="R38" s="1">
        <v>0.59553199999999995</v>
      </c>
      <c r="S38" s="1">
        <v>0.59317900000000001</v>
      </c>
      <c r="T38" s="1">
        <v>0.59077299999999999</v>
      </c>
      <c r="U38" s="1"/>
      <c r="W38">
        <v>333.25900000000001</v>
      </c>
      <c r="X38">
        <v>356.28</v>
      </c>
      <c r="Y38">
        <v>737.46799999999996</v>
      </c>
      <c r="Z38">
        <v>1002.94</v>
      </c>
      <c r="AA38">
        <v>747.06399999999996</v>
      </c>
      <c r="AD38">
        <v>353.50400000000002</v>
      </c>
      <c r="AE38">
        <v>415.34</v>
      </c>
      <c r="AF38">
        <v>810.56500000000005</v>
      </c>
      <c r="AG38">
        <v>801.53599999999994</v>
      </c>
      <c r="AH38">
        <v>845.15899999999999</v>
      </c>
      <c r="AK38">
        <v>333.137</v>
      </c>
      <c r="AL38">
        <v>329.38600000000002</v>
      </c>
      <c r="AM38">
        <v>757.15599999999995</v>
      </c>
      <c r="AN38">
        <v>737.76400000000001</v>
      </c>
      <c r="AO38">
        <v>737.20500000000004</v>
      </c>
    </row>
    <row r="39" spans="1:41" hidden="1">
      <c r="A39">
        <v>37</v>
      </c>
      <c r="B39">
        <v>586.09400000000005</v>
      </c>
      <c r="C39" s="1">
        <v>0.59852899999999998</v>
      </c>
      <c r="D39" s="1">
        <v>0.59680500000000003</v>
      </c>
      <c r="E39" s="1">
        <v>0.63119999999999998</v>
      </c>
      <c r="F39" s="1">
        <v>0.58648900000000004</v>
      </c>
      <c r="I39">
        <v>582.27200000000005</v>
      </c>
      <c r="J39" s="1">
        <v>0.582789</v>
      </c>
      <c r="K39" s="1">
        <v>0.58306899999999995</v>
      </c>
      <c r="L39" s="1">
        <v>0.58357099999999995</v>
      </c>
      <c r="M39" s="1">
        <v>0.61214299999999999</v>
      </c>
      <c r="P39">
        <v>610.226</v>
      </c>
      <c r="Q39" s="1">
        <v>0.59252000000000005</v>
      </c>
      <c r="R39" s="1">
        <v>0.592777</v>
      </c>
      <c r="S39" s="1">
        <v>0.59336599999999995</v>
      </c>
      <c r="T39" s="1">
        <v>0.588889</v>
      </c>
      <c r="U39" s="1"/>
      <c r="W39">
        <v>334.09500000000003</v>
      </c>
      <c r="X39">
        <v>363.10300000000001</v>
      </c>
      <c r="Y39">
        <v>768.93200000000002</v>
      </c>
      <c r="Z39">
        <v>992.79100000000005</v>
      </c>
      <c r="AA39">
        <v>750.82299999999998</v>
      </c>
      <c r="AD39">
        <v>383.70400000000001</v>
      </c>
      <c r="AE39">
        <v>376.99</v>
      </c>
      <c r="AF39">
        <v>788.27599999999995</v>
      </c>
      <c r="AG39">
        <v>809.81799999999998</v>
      </c>
      <c r="AH39">
        <v>732.59299999999996</v>
      </c>
      <c r="AK39">
        <v>330.94900000000001</v>
      </c>
      <c r="AL39">
        <v>329.56599999999997</v>
      </c>
      <c r="AM39">
        <v>699.08900000000006</v>
      </c>
      <c r="AN39">
        <v>752.399</v>
      </c>
      <c r="AO39">
        <v>729.32500000000005</v>
      </c>
    </row>
    <row r="40" spans="1:41" hidden="1">
      <c r="A40">
        <v>38</v>
      </c>
      <c r="B40">
        <v>616.86699999999996</v>
      </c>
      <c r="C40" s="1">
        <v>0.64344500000000004</v>
      </c>
      <c r="D40" s="1">
        <v>0.63753099999999996</v>
      </c>
      <c r="E40" s="1">
        <v>0.59479700000000002</v>
      </c>
      <c r="F40" s="1">
        <v>0.60047499999999998</v>
      </c>
      <c r="I40">
        <v>677.19299999999998</v>
      </c>
      <c r="J40" s="1">
        <v>0.582955</v>
      </c>
      <c r="K40" s="1">
        <v>0.58380500000000002</v>
      </c>
      <c r="L40" s="1">
        <v>0.61211099999999996</v>
      </c>
      <c r="M40" s="1">
        <v>0.58390600000000004</v>
      </c>
      <c r="P40">
        <v>615.20899999999995</v>
      </c>
      <c r="Q40" s="1">
        <v>0.59007100000000001</v>
      </c>
      <c r="R40" s="1">
        <v>0.59373299999999996</v>
      </c>
      <c r="S40" s="1">
        <v>0.59320200000000001</v>
      </c>
      <c r="T40" s="1">
        <v>0.61435399999999996</v>
      </c>
      <c r="U40" s="1"/>
      <c r="W40">
        <v>335.54</v>
      </c>
      <c r="X40">
        <v>357.31099999999998</v>
      </c>
      <c r="Y40">
        <v>778.58699999999999</v>
      </c>
      <c r="Z40">
        <v>1026.8599999999999</v>
      </c>
      <c r="AA40">
        <v>766.93700000000001</v>
      </c>
      <c r="AD40">
        <v>342.95299999999997</v>
      </c>
      <c r="AE40">
        <v>335.77199999999999</v>
      </c>
      <c r="AF40">
        <v>757.45799999999997</v>
      </c>
      <c r="AG40">
        <v>758.04499999999996</v>
      </c>
      <c r="AH40">
        <v>746.02200000000005</v>
      </c>
      <c r="AK40">
        <v>345.82100000000003</v>
      </c>
      <c r="AL40">
        <v>330.37299999999999</v>
      </c>
      <c r="AM40">
        <v>726.779</v>
      </c>
      <c r="AN40">
        <v>799.64800000000002</v>
      </c>
      <c r="AO40">
        <v>739.89700000000005</v>
      </c>
    </row>
    <row r="41" spans="1:41" hidden="1">
      <c r="A41">
        <v>39</v>
      </c>
      <c r="B41">
        <v>589.83600000000001</v>
      </c>
      <c r="C41" s="1">
        <v>0.61303600000000003</v>
      </c>
      <c r="D41" s="1">
        <v>0.59546399999999999</v>
      </c>
      <c r="E41" s="1">
        <v>0.598553</v>
      </c>
      <c r="F41" s="1">
        <v>0.59393200000000002</v>
      </c>
      <c r="I41">
        <v>582.12699999999995</v>
      </c>
      <c r="J41" s="1">
        <v>0.58172000000000001</v>
      </c>
      <c r="K41" s="1">
        <v>0.60613899999999998</v>
      </c>
      <c r="L41" s="1">
        <v>0.58241799999999999</v>
      </c>
      <c r="M41" s="1">
        <v>0.58141900000000002</v>
      </c>
      <c r="P41">
        <v>591.02099999999996</v>
      </c>
      <c r="Q41" s="1">
        <v>0.59067000000000003</v>
      </c>
      <c r="R41" s="1">
        <v>0.594329</v>
      </c>
      <c r="S41" s="1">
        <v>0.61613399999999996</v>
      </c>
      <c r="T41" s="1">
        <v>0.58747300000000002</v>
      </c>
      <c r="U41" s="1"/>
      <c r="W41">
        <v>366.76499999999999</v>
      </c>
      <c r="X41">
        <v>339.90899999999999</v>
      </c>
      <c r="Y41">
        <v>712.41499999999996</v>
      </c>
      <c r="Z41">
        <v>1218.31</v>
      </c>
      <c r="AA41">
        <v>775.68299999999999</v>
      </c>
      <c r="AD41">
        <v>345.62400000000002</v>
      </c>
      <c r="AE41">
        <v>343.55200000000002</v>
      </c>
      <c r="AF41">
        <v>751.94200000000001</v>
      </c>
      <c r="AG41">
        <v>809.51800000000003</v>
      </c>
      <c r="AH41">
        <v>726.81899999999996</v>
      </c>
      <c r="AK41">
        <v>350.12599999999998</v>
      </c>
      <c r="AL41">
        <v>342.82299999999998</v>
      </c>
      <c r="AM41">
        <v>766.75300000000004</v>
      </c>
      <c r="AN41">
        <v>758.35500000000002</v>
      </c>
      <c r="AO41">
        <v>781.67499999999995</v>
      </c>
    </row>
    <row r="42" spans="1:41" hidden="1">
      <c r="A42">
        <v>40</v>
      </c>
      <c r="B42">
        <v>604.83500000000004</v>
      </c>
      <c r="C42" s="1">
        <v>0.61308200000000002</v>
      </c>
      <c r="D42" s="1">
        <v>0.591858</v>
      </c>
      <c r="E42" s="1">
        <v>0.59554600000000002</v>
      </c>
      <c r="F42" s="1">
        <v>0.59326900000000005</v>
      </c>
      <c r="I42">
        <v>583.31700000000001</v>
      </c>
      <c r="J42" s="1">
        <v>0.60721400000000003</v>
      </c>
      <c r="K42" s="1">
        <v>0.58165100000000003</v>
      </c>
      <c r="L42" s="1">
        <v>0.58177800000000002</v>
      </c>
      <c r="M42" s="1">
        <v>0.58166300000000004</v>
      </c>
      <c r="P42">
        <v>590.00699999999995</v>
      </c>
      <c r="Q42" s="1">
        <v>0.59321900000000005</v>
      </c>
      <c r="R42" s="1">
        <v>0.61912699999999998</v>
      </c>
      <c r="S42" s="1">
        <v>0.59460900000000005</v>
      </c>
      <c r="T42" s="1">
        <v>0.58783099999999999</v>
      </c>
      <c r="U42" s="1"/>
      <c r="W42">
        <v>326.36799999999999</v>
      </c>
      <c r="X42">
        <v>368.327</v>
      </c>
      <c r="Y42">
        <v>755.92499999999995</v>
      </c>
      <c r="Z42">
        <v>1028.31</v>
      </c>
      <c r="AA42">
        <v>873.55899999999997</v>
      </c>
      <c r="AD42">
        <v>332.87700000000001</v>
      </c>
      <c r="AE42">
        <v>378.78699999999998</v>
      </c>
      <c r="AF42">
        <v>736.66399999999999</v>
      </c>
      <c r="AG42">
        <v>847.68299999999999</v>
      </c>
      <c r="AH42">
        <v>821.18899999999996</v>
      </c>
      <c r="AK42">
        <v>380.22800000000001</v>
      </c>
      <c r="AL42">
        <v>388.46499999999997</v>
      </c>
      <c r="AM42">
        <v>774.88599999999997</v>
      </c>
      <c r="AN42">
        <v>755.76499999999999</v>
      </c>
      <c r="AO42">
        <v>729.471</v>
      </c>
    </row>
    <row r="43" spans="1:41" hidden="1">
      <c r="A43">
        <v>41</v>
      </c>
      <c r="B43">
        <v>635.87800000000004</v>
      </c>
      <c r="C43" s="1">
        <v>0.59273399999999998</v>
      </c>
      <c r="D43" s="1">
        <v>0.60764700000000005</v>
      </c>
      <c r="E43" s="1">
        <v>0.694268</v>
      </c>
      <c r="F43" s="1">
        <v>0.60957600000000001</v>
      </c>
      <c r="I43">
        <v>609.73099999999999</v>
      </c>
      <c r="J43" s="1">
        <v>0.58429299999999995</v>
      </c>
      <c r="K43" s="1">
        <v>0.58412299999999995</v>
      </c>
      <c r="L43" s="1">
        <v>0.581399</v>
      </c>
      <c r="M43" s="1">
        <v>0.58177500000000004</v>
      </c>
      <c r="P43">
        <v>589.43799999999999</v>
      </c>
      <c r="Q43" s="1">
        <v>0.59008300000000002</v>
      </c>
      <c r="R43" s="1">
        <v>0.62028399999999995</v>
      </c>
      <c r="S43" s="1">
        <v>0.59338500000000005</v>
      </c>
      <c r="T43" s="1">
        <v>0.58999299999999999</v>
      </c>
      <c r="U43" s="1"/>
      <c r="W43">
        <v>356.32299999999998</v>
      </c>
      <c r="X43">
        <v>426.00700000000001</v>
      </c>
      <c r="Y43">
        <v>776.93</v>
      </c>
      <c r="Z43">
        <v>1058.68</v>
      </c>
      <c r="AA43">
        <v>848.74300000000005</v>
      </c>
      <c r="AD43">
        <v>411.68700000000001</v>
      </c>
      <c r="AE43">
        <v>368.69099999999997</v>
      </c>
      <c r="AF43">
        <v>786.69600000000003</v>
      </c>
      <c r="AG43">
        <v>818.69100000000003</v>
      </c>
      <c r="AH43">
        <v>865.12400000000002</v>
      </c>
      <c r="AK43">
        <v>349.95699999999999</v>
      </c>
      <c r="AL43">
        <v>375.428</v>
      </c>
      <c r="AM43">
        <v>728.21199999999999</v>
      </c>
      <c r="AN43">
        <v>761.29100000000005</v>
      </c>
      <c r="AO43">
        <v>709.05700000000002</v>
      </c>
    </row>
    <row r="44" spans="1:41" hidden="1">
      <c r="A44">
        <v>42</v>
      </c>
      <c r="B44">
        <v>635.18100000000004</v>
      </c>
      <c r="C44" s="1">
        <v>0.61444799999999999</v>
      </c>
      <c r="D44" s="1">
        <v>0.593167</v>
      </c>
      <c r="E44" s="1">
        <v>0.643841</v>
      </c>
      <c r="F44" s="1">
        <v>0.59998899999999999</v>
      </c>
      <c r="I44">
        <v>586.25400000000002</v>
      </c>
      <c r="J44" s="1">
        <v>0.58404500000000004</v>
      </c>
      <c r="K44" s="1">
        <v>0.58262100000000006</v>
      </c>
      <c r="L44" s="1">
        <v>0.58267199999999997</v>
      </c>
      <c r="M44" s="1">
        <v>0.60317900000000002</v>
      </c>
      <c r="P44">
        <v>592.67100000000005</v>
      </c>
      <c r="Q44" s="1">
        <v>0.61343899999999996</v>
      </c>
      <c r="R44" s="1">
        <v>0.59336</v>
      </c>
      <c r="S44" s="1">
        <v>0.594804</v>
      </c>
      <c r="T44" s="1">
        <v>0.58944099999999999</v>
      </c>
      <c r="U44" s="1"/>
      <c r="W44">
        <v>372.52300000000002</v>
      </c>
      <c r="X44">
        <v>408.00200000000001</v>
      </c>
      <c r="Y44">
        <v>929.13599999999997</v>
      </c>
      <c r="Z44">
        <v>1057.7</v>
      </c>
      <c r="AA44">
        <v>845.92399999999998</v>
      </c>
      <c r="AD44">
        <v>406.51</v>
      </c>
      <c r="AE44">
        <v>377.35700000000003</v>
      </c>
      <c r="AF44">
        <v>788.976</v>
      </c>
      <c r="AG44">
        <v>836.46500000000003</v>
      </c>
      <c r="AH44">
        <v>774.69899999999996</v>
      </c>
      <c r="AK44">
        <v>331.49400000000003</v>
      </c>
      <c r="AL44">
        <v>328.68</v>
      </c>
      <c r="AM44">
        <v>696.98</v>
      </c>
      <c r="AN44">
        <v>762.30399999999997</v>
      </c>
      <c r="AO44">
        <v>712.57899999999995</v>
      </c>
    </row>
    <row r="45" spans="1:41" hidden="1">
      <c r="A45">
        <v>43</v>
      </c>
      <c r="B45">
        <v>590.92499999999995</v>
      </c>
      <c r="C45" s="1">
        <v>0.594754</v>
      </c>
      <c r="D45" s="1">
        <v>0.62350799999999995</v>
      </c>
      <c r="E45" s="1">
        <v>0.59973699999999996</v>
      </c>
      <c r="F45" s="1">
        <v>0.61378600000000005</v>
      </c>
      <c r="I45">
        <v>581.79899999999998</v>
      </c>
      <c r="J45" s="1">
        <v>0.58254399999999995</v>
      </c>
      <c r="K45" s="1">
        <v>0.58158500000000002</v>
      </c>
      <c r="L45" s="1">
        <v>0.60771600000000003</v>
      </c>
      <c r="M45" s="1">
        <v>0.582152</v>
      </c>
      <c r="P45">
        <v>610.71400000000006</v>
      </c>
      <c r="Q45" s="1">
        <v>0.59194199999999997</v>
      </c>
      <c r="R45" s="1">
        <v>0.59398399999999996</v>
      </c>
      <c r="S45" s="1">
        <v>0.59418499999999996</v>
      </c>
      <c r="T45" s="1">
        <v>0.60956299999999997</v>
      </c>
      <c r="W45">
        <v>356.01</v>
      </c>
      <c r="X45">
        <v>410.06700000000001</v>
      </c>
      <c r="Y45">
        <v>816.30100000000004</v>
      </c>
      <c r="Z45">
        <v>1012.41</v>
      </c>
      <c r="AA45">
        <v>778.678</v>
      </c>
      <c r="AD45">
        <v>329.863</v>
      </c>
      <c r="AE45">
        <v>334.95100000000002</v>
      </c>
      <c r="AF45">
        <v>718.726</v>
      </c>
      <c r="AG45">
        <v>759.47400000000005</v>
      </c>
      <c r="AH45">
        <v>758.65800000000002</v>
      </c>
      <c r="AK45">
        <v>333.04399999999998</v>
      </c>
      <c r="AL45">
        <v>329.77600000000001</v>
      </c>
      <c r="AM45">
        <v>718.57899999999995</v>
      </c>
      <c r="AN45">
        <v>737.39200000000005</v>
      </c>
      <c r="AO45">
        <v>708.23599999999999</v>
      </c>
    </row>
    <row r="46" spans="1:41" hidden="1">
      <c r="A46">
        <v>44</v>
      </c>
      <c r="B46">
        <v>589.22</v>
      </c>
      <c r="C46" s="1">
        <v>0.62571699999999997</v>
      </c>
      <c r="D46" s="1">
        <v>0.58991400000000005</v>
      </c>
      <c r="E46" s="1">
        <v>0.59520700000000004</v>
      </c>
      <c r="F46" s="1">
        <v>0.60730499999999998</v>
      </c>
      <c r="I46">
        <v>583.95500000000004</v>
      </c>
      <c r="J46" s="1">
        <v>0.58265500000000003</v>
      </c>
      <c r="K46" s="1">
        <v>0.60167800000000005</v>
      </c>
      <c r="L46" s="1">
        <v>0.58315799999999995</v>
      </c>
      <c r="M46" s="1">
        <v>0.58253200000000005</v>
      </c>
      <c r="P46">
        <v>590.72</v>
      </c>
      <c r="Q46" s="1">
        <v>0.59034799999999998</v>
      </c>
      <c r="R46" s="1">
        <v>0.59332200000000002</v>
      </c>
      <c r="S46" s="1">
        <v>0.59349700000000005</v>
      </c>
      <c r="T46" s="1">
        <v>0.61711300000000002</v>
      </c>
      <c r="U46" s="1"/>
      <c r="W46">
        <v>332.74200000000002</v>
      </c>
      <c r="X46">
        <v>361.64100000000002</v>
      </c>
      <c r="Y46">
        <v>714.67399999999998</v>
      </c>
      <c r="Z46">
        <v>965.94600000000003</v>
      </c>
      <c r="AA46">
        <v>716.91700000000003</v>
      </c>
      <c r="AD46">
        <v>336.12799999999999</v>
      </c>
      <c r="AE46">
        <v>334.81099999999998</v>
      </c>
      <c r="AF46">
        <v>728.32299999999998</v>
      </c>
      <c r="AG46">
        <v>782.39300000000003</v>
      </c>
      <c r="AH46">
        <v>735.65499999999997</v>
      </c>
      <c r="AK46">
        <v>331.12900000000002</v>
      </c>
      <c r="AL46">
        <v>327.55500000000001</v>
      </c>
      <c r="AM46">
        <v>721.47900000000004</v>
      </c>
      <c r="AN46">
        <v>736.41099999999994</v>
      </c>
      <c r="AO46">
        <v>710.99599999999998</v>
      </c>
    </row>
    <row r="47" spans="1:41" hidden="1">
      <c r="A47">
        <v>45</v>
      </c>
      <c r="B47">
        <v>630.36800000000005</v>
      </c>
      <c r="C47" s="1">
        <v>0.59792000000000001</v>
      </c>
      <c r="D47" s="1">
        <v>0.59266600000000003</v>
      </c>
      <c r="E47" s="1">
        <v>0.58712900000000001</v>
      </c>
      <c r="F47" s="1">
        <v>0.59257499999999996</v>
      </c>
      <c r="I47">
        <v>583.14400000000001</v>
      </c>
      <c r="J47" s="1">
        <v>0.61473699999999998</v>
      </c>
      <c r="K47" s="1">
        <v>0.58181300000000002</v>
      </c>
      <c r="L47" s="1">
        <v>0.58188499999999999</v>
      </c>
      <c r="M47" s="1">
        <v>0.58132399999999995</v>
      </c>
      <c r="P47">
        <v>592.28300000000002</v>
      </c>
      <c r="Q47" s="1">
        <v>0.59234900000000001</v>
      </c>
      <c r="R47" s="1">
        <v>0.59336500000000003</v>
      </c>
      <c r="S47" s="1">
        <v>0.61958599999999997</v>
      </c>
      <c r="T47" s="1">
        <v>0.58793099999999998</v>
      </c>
      <c r="U47" s="1"/>
      <c r="W47">
        <v>318.40899999999999</v>
      </c>
      <c r="X47">
        <v>336.25599999999997</v>
      </c>
      <c r="Y47">
        <v>711.46100000000001</v>
      </c>
      <c r="Z47">
        <v>967.54100000000005</v>
      </c>
      <c r="AA47">
        <v>754.47900000000004</v>
      </c>
      <c r="AD47">
        <v>335.976</v>
      </c>
      <c r="AE47">
        <v>330.22500000000002</v>
      </c>
      <c r="AF47">
        <v>711.62400000000002</v>
      </c>
      <c r="AG47">
        <v>803.20799999999997</v>
      </c>
      <c r="AH47">
        <v>770.154</v>
      </c>
      <c r="AK47">
        <v>332.137</v>
      </c>
      <c r="AL47">
        <v>371.62</v>
      </c>
      <c r="AM47">
        <v>704.51800000000003</v>
      </c>
      <c r="AN47">
        <v>741.63199999999995</v>
      </c>
      <c r="AO47">
        <v>731.971</v>
      </c>
    </row>
    <row r="48" spans="1:41" hidden="1">
      <c r="A48">
        <v>46</v>
      </c>
      <c r="B48">
        <v>701.77</v>
      </c>
      <c r="C48" s="1">
        <v>0.58657199999999998</v>
      </c>
      <c r="D48" s="1">
        <v>0.613869</v>
      </c>
      <c r="E48" s="1">
        <v>0.59343999999999997</v>
      </c>
      <c r="F48" s="1">
        <v>0.63758199999999998</v>
      </c>
      <c r="I48">
        <v>582.55899999999997</v>
      </c>
      <c r="J48" s="1">
        <v>0.60457099999999997</v>
      </c>
      <c r="K48" s="1">
        <v>0.58601400000000003</v>
      </c>
      <c r="L48" s="1">
        <v>0.58438599999999996</v>
      </c>
      <c r="M48" s="1">
        <v>0.58320300000000003</v>
      </c>
      <c r="P48">
        <v>590.72500000000002</v>
      </c>
      <c r="Q48" s="1">
        <v>0.59111100000000005</v>
      </c>
      <c r="R48" s="1">
        <v>0.69522899999999999</v>
      </c>
      <c r="S48" s="1">
        <v>0.59291199999999999</v>
      </c>
      <c r="T48" s="1">
        <v>0.58854600000000001</v>
      </c>
      <c r="U48" s="1"/>
      <c r="W48">
        <v>329.63299999999998</v>
      </c>
      <c r="X48">
        <v>360.214</v>
      </c>
      <c r="Y48">
        <v>781.39400000000001</v>
      </c>
      <c r="Z48">
        <v>991.66700000000003</v>
      </c>
      <c r="AA48">
        <v>768.86199999999997</v>
      </c>
      <c r="AD48">
        <v>397.26</v>
      </c>
      <c r="AE48">
        <v>361.83699999999999</v>
      </c>
      <c r="AF48">
        <v>783.12400000000002</v>
      </c>
      <c r="AG48">
        <v>881.94799999999998</v>
      </c>
      <c r="AH48">
        <v>778.82799999999997</v>
      </c>
      <c r="AK48">
        <v>370.97800000000001</v>
      </c>
      <c r="AL48">
        <v>343.90100000000001</v>
      </c>
      <c r="AM48">
        <v>699.10400000000004</v>
      </c>
      <c r="AN48">
        <v>737.69200000000001</v>
      </c>
      <c r="AO48">
        <v>793.59699999999998</v>
      </c>
    </row>
    <row r="49" spans="1:41" hidden="1">
      <c r="A49">
        <v>47</v>
      </c>
      <c r="B49">
        <v>594.01800000000003</v>
      </c>
      <c r="C49" s="1">
        <v>0.59240400000000004</v>
      </c>
      <c r="D49" s="1">
        <v>0.619363</v>
      </c>
      <c r="E49" s="1">
        <v>0.61717900000000003</v>
      </c>
      <c r="F49" s="1">
        <v>0.60744699999999996</v>
      </c>
      <c r="I49">
        <v>608.79600000000005</v>
      </c>
      <c r="J49" s="1">
        <v>0.58397399999999999</v>
      </c>
      <c r="K49" s="1">
        <v>0.58216000000000001</v>
      </c>
      <c r="L49" s="1">
        <v>0.58582100000000004</v>
      </c>
      <c r="M49" s="1">
        <v>0.59822799999999998</v>
      </c>
      <c r="P49">
        <v>588.95899999999995</v>
      </c>
      <c r="Q49" s="1">
        <v>0.61526000000000003</v>
      </c>
      <c r="R49" s="1">
        <v>0.59370900000000004</v>
      </c>
      <c r="S49" s="1">
        <v>0.59327799999999997</v>
      </c>
      <c r="T49" s="1">
        <v>0.58769099999999996</v>
      </c>
      <c r="U49" s="1"/>
      <c r="W49">
        <v>342.23500000000001</v>
      </c>
      <c r="X49">
        <v>403.38</v>
      </c>
      <c r="Y49">
        <v>779.32399999999996</v>
      </c>
      <c r="Z49">
        <v>1055.78</v>
      </c>
      <c r="AA49">
        <v>753.476</v>
      </c>
      <c r="AD49">
        <v>405.14299999999997</v>
      </c>
      <c r="AE49">
        <v>366.31900000000002</v>
      </c>
      <c r="AF49">
        <v>799.10199999999998</v>
      </c>
      <c r="AG49">
        <v>867.13599999999997</v>
      </c>
      <c r="AH49">
        <v>784.33299999999997</v>
      </c>
      <c r="AK49">
        <v>333.81799999999998</v>
      </c>
      <c r="AL49">
        <v>327.57</v>
      </c>
      <c r="AM49">
        <v>697.15200000000004</v>
      </c>
      <c r="AN49">
        <v>806.27300000000002</v>
      </c>
      <c r="AO49">
        <v>718.43899999999996</v>
      </c>
    </row>
    <row r="50" spans="1:41" hidden="1">
      <c r="A50">
        <v>48</v>
      </c>
      <c r="B50">
        <v>587.34400000000005</v>
      </c>
      <c r="C50" s="1">
        <v>0.58615099999999998</v>
      </c>
      <c r="D50" s="1">
        <v>0.63040300000000005</v>
      </c>
      <c r="E50" s="1">
        <v>0.64888999999999997</v>
      </c>
      <c r="F50" s="1">
        <v>0.66334800000000005</v>
      </c>
      <c r="I50">
        <v>580.74599999999998</v>
      </c>
      <c r="J50" s="1">
        <v>0.58319799999999999</v>
      </c>
      <c r="K50" s="1">
        <v>0.61658800000000002</v>
      </c>
      <c r="L50" s="1">
        <v>0.59914599999999996</v>
      </c>
      <c r="M50" s="1">
        <v>0.58460400000000001</v>
      </c>
      <c r="P50">
        <v>620.52599999999995</v>
      </c>
      <c r="Q50" s="1">
        <v>0.592136</v>
      </c>
      <c r="R50" s="1">
        <v>0.593557</v>
      </c>
      <c r="S50" s="1">
        <v>0.59543500000000005</v>
      </c>
      <c r="T50" s="1">
        <v>0.61530600000000002</v>
      </c>
      <c r="W50">
        <v>362.61799999999999</v>
      </c>
      <c r="X50">
        <v>364.19499999999999</v>
      </c>
      <c r="Y50">
        <v>784.88800000000003</v>
      </c>
      <c r="Z50">
        <v>1110.5999999999999</v>
      </c>
      <c r="AA50">
        <v>848.81</v>
      </c>
      <c r="AD50">
        <v>359.423</v>
      </c>
      <c r="AE50">
        <v>348.60599999999999</v>
      </c>
      <c r="AF50">
        <v>716.00599999999997</v>
      </c>
      <c r="AG50">
        <v>786.79499999999996</v>
      </c>
      <c r="AH50">
        <v>745.66899999999998</v>
      </c>
      <c r="AK50">
        <v>331.70299999999997</v>
      </c>
      <c r="AL50">
        <v>327.30900000000003</v>
      </c>
      <c r="AM50">
        <v>700.68399999999997</v>
      </c>
      <c r="AN50">
        <v>870.21</v>
      </c>
      <c r="AO50">
        <v>960.54</v>
      </c>
    </row>
    <row r="51" spans="1:41" hidden="1">
      <c r="A51">
        <v>49</v>
      </c>
      <c r="B51">
        <v>639.20699999999999</v>
      </c>
      <c r="C51" s="1">
        <v>0.61434200000000005</v>
      </c>
      <c r="D51" s="1">
        <v>0.59396000000000004</v>
      </c>
      <c r="E51" s="1">
        <v>0.60335300000000003</v>
      </c>
      <c r="F51" s="1">
        <v>0.60790699999999998</v>
      </c>
      <c r="I51">
        <v>583.34699999999998</v>
      </c>
      <c r="J51" s="1">
        <v>0.58459099999999997</v>
      </c>
      <c r="K51" s="1">
        <v>0.58432600000000001</v>
      </c>
      <c r="L51" s="1">
        <v>0.60640499999999997</v>
      </c>
      <c r="M51" s="1">
        <v>0.58319500000000002</v>
      </c>
      <c r="P51">
        <v>592.13</v>
      </c>
      <c r="Q51" s="1">
        <v>0.589283</v>
      </c>
      <c r="R51" s="1">
        <v>0.59306700000000001</v>
      </c>
      <c r="S51" s="1">
        <v>0.62886200000000003</v>
      </c>
      <c r="T51" s="1">
        <v>0.58882900000000005</v>
      </c>
      <c r="W51">
        <v>337.238</v>
      </c>
      <c r="X51">
        <v>360.88499999999999</v>
      </c>
      <c r="Y51">
        <v>739.30899999999997</v>
      </c>
      <c r="Z51">
        <v>995.86400000000003</v>
      </c>
      <c r="AA51">
        <v>781.81799999999998</v>
      </c>
      <c r="AD51">
        <v>337.03199999999998</v>
      </c>
      <c r="AE51">
        <v>334.50400000000002</v>
      </c>
      <c r="AF51">
        <v>761.55100000000004</v>
      </c>
      <c r="AG51">
        <v>803.91800000000001</v>
      </c>
      <c r="AH51">
        <v>721.30100000000004</v>
      </c>
      <c r="AK51">
        <v>395.48099999999999</v>
      </c>
      <c r="AL51">
        <v>384.78300000000002</v>
      </c>
      <c r="AM51">
        <v>818.99199999999996</v>
      </c>
      <c r="AN51">
        <v>922.62099999999998</v>
      </c>
      <c r="AO51">
        <v>890.09100000000001</v>
      </c>
    </row>
    <row r="52" spans="1:41" hidden="1">
      <c r="A52">
        <v>50</v>
      </c>
      <c r="B52">
        <v>624.17100000000005</v>
      </c>
      <c r="C52" s="1">
        <v>0.598522</v>
      </c>
      <c r="D52" s="1">
        <v>0.59154600000000002</v>
      </c>
      <c r="E52" s="1">
        <v>0.59981799999999996</v>
      </c>
      <c r="F52" s="1">
        <v>0.597001</v>
      </c>
      <c r="I52">
        <v>582.23199999999997</v>
      </c>
      <c r="J52" s="1">
        <v>0.58427700000000005</v>
      </c>
      <c r="K52" s="1">
        <v>0.60755400000000004</v>
      </c>
      <c r="L52" s="1">
        <v>0.58579300000000001</v>
      </c>
      <c r="M52" s="1">
        <v>0.58171799999999996</v>
      </c>
      <c r="P52">
        <v>590.55499999999995</v>
      </c>
      <c r="Q52" s="1">
        <v>0.59070999999999996</v>
      </c>
      <c r="R52" s="1">
        <v>0.61892800000000003</v>
      </c>
      <c r="S52" s="1">
        <v>0.59351399999999999</v>
      </c>
      <c r="T52" s="1">
        <v>0.59061300000000005</v>
      </c>
      <c r="U52" s="1"/>
      <c r="W52">
        <v>371.78800000000001</v>
      </c>
      <c r="X52">
        <v>418.14800000000002</v>
      </c>
      <c r="Y52">
        <v>831.86099999999999</v>
      </c>
      <c r="Z52">
        <v>1137.25</v>
      </c>
      <c r="AA52">
        <v>761.53200000000004</v>
      </c>
      <c r="AD52">
        <v>334.31200000000001</v>
      </c>
      <c r="AE52">
        <v>338.399</v>
      </c>
      <c r="AF52">
        <v>759.92</v>
      </c>
      <c r="AG52">
        <v>760.22500000000002</v>
      </c>
      <c r="AH52">
        <v>735.28599999999994</v>
      </c>
      <c r="AK52">
        <v>416.63900000000001</v>
      </c>
      <c r="AL52">
        <v>375.51299999999998</v>
      </c>
      <c r="AM52">
        <v>833.88400000000001</v>
      </c>
      <c r="AN52">
        <v>862.22</v>
      </c>
      <c r="AO52">
        <v>749.22</v>
      </c>
    </row>
    <row r="53" spans="1:41" hidden="1">
      <c r="A53">
        <v>51</v>
      </c>
      <c r="B53">
        <v>619.14800000000002</v>
      </c>
      <c r="C53" s="1">
        <v>0.59157599999999999</v>
      </c>
      <c r="D53" s="1">
        <v>0.60541199999999995</v>
      </c>
      <c r="E53" s="1">
        <v>0.59351600000000004</v>
      </c>
      <c r="F53" s="1">
        <v>0.62538400000000005</v>
      </c>
      <c r="I53">
        <v>583.572</v>
      </c>
      <c r="J53" s="1">
        <v>0.612514</v>
      </c>
      <c r="K53" s="1">
        <v>0.58432600000000001</v>
      </c>
      <c r="L53" s="1">
        <v>0.58418599999999998</v>
      </c>
      <c r="M53" s="1">
        <v>0.58199599999999996</v>
      </c>
      <c r="P53">
        <v>590.53300000000002</v>
      </c>
      <c r="Q53" s="1">
        <v>0.58921800000000002</v>
      </c>
      <c r="R53" s="1">
        <v>0.62137500000000001</v>
      </c>
      <c r="S53" s="1">
        <v>0.59462400000000004</v>
      </c>
      <c r="T53" s="1">
        <v>0.58932300000000004</v>
      </c>
      <c r="W53">
        <v>382.55399999999997</v>
      </c>
      <c r="X53">
        <v>396.584</v>
      </c>
      <c r="Y53">
        <v>829.13099999999997</v>
      </c>
      <c r="Z53">
        <v>1102.97</v>
      </c>
      <c r="AA53">
        <v>747.10799999999995</v>
      </c>
      <c r="AD53">
        <v>339.822</v>
      </c>
      <c r="AE53">
        <v>354.13400000000001</v>
      </c>
      <c r="AF53">
        <v>689.404</v>
      </c>
      <c r="AG53">
        <v>731.346</v>
      </c>
      <c r="AH53">
        <v>709.91499999999996</v>
      </c>
      <c r="AK53">
        <v>343.661</v>
      </c>
      <c r="AL53">
        <v>379.26400000000001</v>
      </c>
      <c r="AM53">
        <v>730.29499999999996</v>
      </c>
      <c r="AN53">
        <v>786.30899999999997</v>
      </c>
      <c r="AO53">
        <v>772.12300000000005</v>
      </c>
    </row>
    <row r="54" spans="1:41" hidden="1">
      <c r="A54">
        <v>52</v>
      </c>
      <c r="B54">
        <v>587.096</v>
      </c>
      <c r="C54" s="1">
        <v>0.59610700000000005</v>
      </c>
      <c r="D54" s="1">
        <v>0.59112600000000004</v>
      </c>
      <c r="E54" s="1">
        <v>0.64015999999999995</v>
      </c>
      <c r="F54" s="1">
        <v>0.58728100000000005</v>
      </c>
      <c r="I54">
        <v>602.17200000000003</v>
      </c>
      <c r="J54" s="1">
        <v>0.58359099999999997</v>
      </c>
      <c r="K54" s="1">
        <v>0.58226800000000001</v>
      </c>
      <c r="L54" s="1">
        <v>0.58250299999999999</v>
      </c>
      <c r="M54" s="1">
        <v>0.614232</v>
      </c>
      <c r="P54">
        <v>590.94500000000005</v>
      </c>
      <c r="Q54" s="1">
        <v>0.61038700000000001</v>
      </c>
      <c r="R54" s="1">
        <v>0.59300799999999998</v>
      </c>
      <c r="S54" s="1">
        <v>0.59155999999999997</v>
      </c>
      <c r="T54" s="1">
        <v>0.59148500000000004</v>
      </c>
      <c r="U54" s="1"/>
      <c r="W54">
        <v>318.45400000000001</v>
      </c>
      <c r="X54">
        <v>359.41</v>
      </c>
      <c r="Y54">
        <v>721.47500000000002</v>
      </c>
      <c r="Z54">
        <v>952.35199999999998</v>
      </c>
      <c r="AA54">
        <v>827.39</v>
      </c>
      <c r="AD54">
        <v>378.00200000000001</v>
      </c>
      <c r="AE54">
        <v>347.92700000000002</v>
      </c>
      <c r="AF54">
        <v>719.64200000000005</v>
      </c>
      <c r="AG54">
        <v>848.65099999999995</v>
      </c>
      <c r="AH54">
        <v>795.70500000000004</v>
      </c>
      <c r="AK54">
        <v>394.327</v>
      </c>
      <c r="AL54">
        <v>346.10300000000001</v>
      </c>
      <c r="AM54">
        <v>733.80799999999999</v>
      </c>
      <c r="AN54">
        <v>765.55100000000004</v>
      </c>
      <c r="AO54">
        <v>784.18700000000001</v>
      </c>
    </row>
    <row r="55" spans="1:41" hidden="1">
      <c r="A55">
        <v>53</v>
      </c>
      <c r="B55">
        <v>585.26900000000001</v>
      </c>
      <c r="C55" s="1">
        <v>0.58432899999999999</v>
      </c>
      <c r="D55" s="1">
        <v>0.66734899999999997</v>
      </c>
      <c r="E55" s="1">
        <v>0.61287199999999997</v>
      </c>
      <c r="F55" s="1">
        <v>0.58785500000000002</v>
      </c>
      <c r="I55">
        <v>584.18499999999995</v>
      </c>
      <c r="J55" s="1">
        <v>0.58157499999999995</v>
      </c>
      <c r="K55" s="1">
        <v>0.58203499999999997</v>
      </c>
      <c r="L55" s="1">
        <v>0.58442400000000005</v>
      </c>
      <c r="M55" s="1">
        <v>0.61124100000000003</v>
      </c>
      <c r="P55">
        <v>640.77599999999995</v>
      </c>
      <c r="Q55" s="1">
        <v>0.59418400000000005</v>
      </c>
      <c r="R55" s="1">
        <v>0.60793699999999995</v>
      </c>
      <c r="S55" s="1">
        <v>0.59939600000000004</v>
      </c>
      <c r="T55" s="1">
        <v>0.61461299999999996</v>
      </c>
      <c r="U55" s="1"/>
      <c r="W55">
        <v>347.97699999999998</v>
      </c>
      <c r="X55">
        <v>365.45499999999998</v>
      </c>
      <c r="Y55">
        <v>908.47500000000002</v>
      </c>
      <c r="Z55">
        <v>990.64800000000002</v>
      </c>
      <c r="AA55">
        <v>798.71799999999996</v>
      </c>
      <c r="AD55">
        <v>392.93700000000001</v>
      </c>
      <c r="AE55">
        <v>366.10199999999998</v>
      </c>
      <c r="AF55">
        <v>798.87199999999996</v>
      </c>
      <c r="AG55">
        <v>848.16300000000001</v>
      </c>
      <c r="AH55">
        <v>824.99900000000002</v>
      </c>
      <c r="AK55">
        <v>348.30599999999998</v>
      </c>
      <c r="AL55">
        <v>350.358</v>
      </c>
      <c r="AM55">
        <v>730.00300000000004</v>
      </c>
      <c r="AN55">
        <v>781.00300000000004</v>
      </c>
      <c r="AO55">
        <v>866.71699999999998</v>
      </c>
    </row>
    <row r="56" spans="1:41" hidden="1">
      <c r="A56">
        <v>54</v>
      </c>
      <c r="B56">
        <v>595.46</v>
      </c>
      <c r="C56" s="1">
        <v>0.60355300000000001</v>
      </c>
      <c r="D56" s="1">
        <v>0.63818799999999998</v>
      </c>
      <c r="E56" s="1">
        <v>0.59609699999999999</v>
      </c>
      <c r="F56" s="1">
        <v>0.59082100000000004</v>
      </c>
      <c r="I56">
        <v>582.46900000000005</v>
      </c>
      <c r="J56" s="1">
        <v>0.58272100000000004</v>
      </c>
      <c r="K56" s="1">
        <v>0.58340800000000004</v>
      </c>
      <c r="L56" s="1">
        <v>0.61063299999999998</v>
      </c>
      <c r="M56" s="1">
        <v>0.58272000000000002</v>
      </c>
      <c r="P56">
        <v>590.26300000000003</v>
      </c>
      <c r="Q56" s="1">
        <v>0.59006199999999998</v>
      </c>
      <c r="R56" s="1">
        <v>0.594194</v>
      </c>
      <c r="S56" s="1">
        <v>0.61221599999999998</v>
      </c>
      <c r="T56" s="1">
        <v>0.63248700000000002</v>
      </c>
      <c r="U56" s="1"/>
      <c r="W56">
        <v>332.16199999999998</v>
      </c>
      <c r="X56">
        <v>356.53300000000002</v>
      </c>
      <c r="Y56">
        <v>743.16600000000005</v>
      </c>
      <c r="Z56">
        <v>1018.97</v>
      </c>
      <c r="AA56">
        <v>746.17700000000002</v>
      </c>
      <c r="AD56">
        <v>378.17700000000002</v>
      </c>
      <c r="AE56">
        <v>369.81599999999997</v>
      </c>
      <c r="AF56">
        <v>728.202</v>
      </c>
      <c r="AG56">
        <v>791.56100000000004</v>
      </c>
      <c r="AH56">
        <v>717.63400000000001</v>
      </c>
      <c r="AK56">
        <v>448.41699999999997</v>
      </c>
      <c r="AL56">
        <v>413.60599999999999</v>
      </c>
      <c r="AM56">
        <v>755.41800000000001</v>
      </c>
      <c r="AN56">
        <v>791.42700000000002</v>
      </c>
      <c r="AO56">
        <v>797.17200000000003</v>
      </c>
    </row>
    <row r="57" spans="1:41" hidden="1">
      <c r="A57">
        <v>55</v>
      </c>
      <c r="B57">
        <v>588.70799999999997</v>
      </c>
      <c r="C57" s="1">
        <v>0.592526</v>
      </c>
      <c r="D57" s="1">
        <v>0.62834000000000001</v>
      </c>
      <c r="E57" s="1">
        <v>0.66341799999999995</v>
      </c>
      <c r="F57" s="1">
        <v>0.59576700000000005</v>
      </c>
      <c r="I57">
        <v>580.851</v>
      </c>
      <c r="J57" s="1">
        <v>0.58490200000000003</v>
      </c>
      <c r="K57" s="1">
        <v>0.60922799999999999</v>
      </c>
      <c r="L57" s="1">
        <v>0.59443500000000005</v>
      </c>
      <c r="M57" s="1">
        <v>0.59342099999999998</v>
      </c>
      <c r="P57">
        <v>591.00099999999998</v>
      </c>
      <c r="Q57" s="1">
        <v>0.59091199999999999</v>
      </c>
      <c r="R57" s="1">
        <v>0.623664</v>
      </c>
      <c r="S57" s="1">
        <v>0.60246599999999995</v>
      </c>
      <c r="T57" s="1">
        <v>0.58908199999999999</v>
      </c>
      <c r="U57" s="1"/>
      <c r="W57">
        <v>337.13499999999999</v>
      </c>
      <c r="X57">
        <v>357.22</v>
      </c>
      <c r="Y57">
        <v>778.09199999999998</v>
      </c>
      <c r="Z57">
        <v>974.86400000000003</v>
      </c>
      <c r="AA57">
        <v>759.32899999999995</v>
      </c>
      <c r="AD57">
        <v>333.90800000000002</v>
      </c>
      <c r="AE57">
        <v>342.92899999999997</v>
      </c>
      <c r="AF57">
        <v>713.07100000000003</v>
      </c>
      <c r="AG57">
        <v>783.37699999999995</v>
      </c>
      <c r="AH57">
        <v>768.45500000000004</v>
      </c>
      <c r="AK57">
        <v>392.435</v>
      </c>
      <c r="AL57">
        <v>394.06599999999997</v>
      </c>
      <c r="AM57">
        <v>823.60500000000002</v>
      </c>
      <c r="AN57">
        <v>889.89099999999996</v>
      </c>
      <c r="AO57">
        <v>851.53200000000004</v>
      </c>
    </row>
    <row r="58" spans="1:41" hidden="1">
      <c r="A58">
        <v>56</v>
      </c>
      <c r="B58">
        <v>648.03899999999999</v>
      </c>
      <c r="C58" s="1">
        <v>0.606707</v>
      </c>
      <c r="D58" s="1">
        <v>0.62092400000000003</v>
      </c>
      <c r="E58" s="1">
        <v>0.59790299999999996</v>
      </c>
      <c r="F58" s="1">
        <v>0.59104800000000002</v>
      </c>
      <c r="I58">
        <v>581.42100000000005</v>
      </c>
      <c r="J58" s="1">
        <v>0.59233100000000005</v>
      </c>
      <c r="K58" s="1">
        <v>0.608985</v>
      </c>
      <c r="L58" s="1">
        <v>0.58265500000000003</v>
      </c>
      <c r="M58" s="1">
        <v>0.58260000000000001</v>
      </c>
      <c r="P58">
        <v>592.41200000000003</v>
      </c>
      <c r="Q58" s="1">
        <v>0.68273700000000004</v>
      </c>
      <c r="R58" s="1">
        <v>0.670068</v>
      </c>
      <c r="S58" s="1">
        <v>0.597132</v>
      </c>
      <c r="T58" s="1">
        <v>0.59798899999999999</v>
      </c>
      <c r="U58" s="1"/>
      <c r="W58">
        <v>378.25299999999999</v>
      </c>
      <c r="X58">
        <v>445.13099999999997</v>
      </c>
      <c r="Y58">
        <v>816.41800000000001</v>
      </c>
      <c r="Z58">
        <v>1081.83</v>
      </c>
      <c r="AA58">
        <v>816.10900000000004</v>
      </c>
      <c r="AD58">
        <v>402.03500000000003</v>
      </c>
      <c r="AE58">
        <v>381.154</v>
      </c>
      <c r="AF58">
        <v>841.68100000000004</v>
      </c>
      <c r="AG58">
        <v>856.94299999999998</v>
      </c>
      <c r="AH58">
        <v>800.79100000000005</v>
      </c>
      <c r="AK58">
        <v>400.786</v>
      </c>
      <c r="AL58">
        <v>372.63200000000001</v>
      </c>
      <c r="AM58">
        <v>859.47699999999998</v>
      </c>
      <c r="AN58">
        <v>864.53899999999999</v>
      </c>
      <c r="AO58">
        <v>793.81500000000005</v>
      </c>
    </row>
    <row r="59" spans="1:41" hidden="1">
      <c r="A59">
        <v>57</v>
      </c>
      <c r="B59">
        <v>651.16999999999996</v>
      </c>
      <c r="C59" s="1">
        <v>0.60328400000000004</v>
      </c>
      <c r="D59" s="1">
        <v>0.594974</v>
      </c>
      <c r="E59" s="1">
        <v>0.59306199999999998</v>
      </c>
      <c r="F59" s="1">
        <v>0.62798600000000004</v>
      </c>
      <c r="I59">
        <v>584.553</v>
      </c>
      <c r="J59" s="1">
        <v>0.615398</v>
      </c>
      <c r="K59" s="1">
        <v>0.58303799999999995</v>
      </c>
      <c r="L59" s="1">
        <v>0.58279099999999995</v>
      </c>
      <c r="M59" s="1">
        <v>0.58086800000000005</v>
      </c>
      <c r="P59">
        <v>620.11400000000003</v>
      </c>
      <c r="Q59" s="1">
        <v>0.59151600000000004</v>
      </c>
      <c r="R59" s="1">
        <v>0.60657300000000003</v>
      </c>
      <c r="S59" s="1">
        <v>0.593862</v>
      </c>
      <c r="T59" s="1">
        <v>0.61409999999999998</v>
      </c>
      <c r="U59" s="1"/>
      <c r="W59">
        <v>328.32799999999997</v>
      </c>
      <c r="X59">
        <v>336.68599999999998</v>
      </c>
      <c r="Y59">
        <v>728.92100000000005</v>
      </c>
      <c r="Z59">
        <v>941.75300000000004</v>
      </c>
      <c r="AA59">
        <v>723.78899999999999</v>
      </c>
      <c r="AD59">
        <v>375.03899999999999</v>
      </c>
      <c r="AE59">
        <v>370.30599999999998</v>
      </c>
      <c r="AF59">
        <v>812.71799999999996</v>
      </c>
      <c r="AG59">
        <v>784.87300000000005</v>
      </c>
      <c r="AH59">
        <v>769.01800000000003</v>
      </c>
      <c r="AK59">
        <v>340.21</v>
      </c>
      <c r="AL59">
        <v>343.42700000000002</v>
      </c>
      <c r="AM59">
        <v>817.16800000000001</v>
      </c>
      <c r="AN59">
        <v>790.38499999999999</v>
      </c>
      <c r="AO59">
        <v>749.24199999999996</v>
      </c>
    </row>
    <row r="60" spans="1:41" hidden="1">
      <c r="A60">
        <v>58</v>
      </c>
      <c r="B60">
        <v>595.62599999999998</v>
      </c>
      <c r="C60" s="1">
        <v>0.60099599999999997</v>
      </c>
      <c r="D60" s="1">
        <v>0.59576399999999996</v>
      </c>
      <c r="E60" s="1">
        <v>0.59836800000000001</v>
      </c>
      <c r="F60" s="1">
        <v>0.61653800000000003</v>
      </c>
      <c r="I60">
        <v>602.005</v>
      </c>
      <c r="J60" s="1">
        <v>0.58320700000000003</v>
      </c>
      <c r="K60" s="1">
        <v>0.581291</v>
      </c>
      <c r="L60" s="1">
        <v>0.66002099999999997</v>
      </c>
      <c r="M60" s="1">
        <v>0.60741400000000001</v>
      </c>
      <c r="P60">
        <v>592.23</v>
      </c>
      <c r="Q60" s="1">
        <v>0.59138000000000002</v>
      </c>
      <c r="R60" s="1">
        <v>0.59350899999999995</v>
      </c>
      <c r="S60" s="1">
        <v>0.61138199999999998</v>
      </c>
      <c r="T60" s="1">
        <v>0.59251799999999999</v>
      </c>
      <c r="U60" s="1"/>
      <c r="W60">
        <v>378.05900000000003</v>
      </c>
      <c r="X60">
        <v>356.84399999999999</v>
      </c>
      <c r="Y60">
        <v>785.322</v>
      </c>
      <c r="Z60">
        <v>1104.02</v>
      </c>
      <c r="AA60">
        <v>784.17899999999997</v>
      </c>
      <c r="AD60">
        <v>336.44299999999998</v>
      </c>
      <c r="AE60">
        <v>337.69</v>
      </c>
      <c r="AF60">
        <v>718.37099999999998</v>
      </c>
      <c r="AG60">
        <v>763.66899999999998</v>
      </c>
      <c r="AH60">
        <v>751.22299999999996</v>
      </c>
      <c r="AK60">
        <v>346.75599999999997</v>
      </c>
      <c r="AL60">
        <v>340.70699999999999</v>
      </c>
      <c r="AM60">
        <v>759.51900000000001</v>
      </c>
      <c r="AN60">
        <v>774.14400000000001</v>
      </c>
      <c r="AO60">
        <v>731.41499999999996</v>
      </c>
    </row>
    <row r="61" spans="1:41" hidden="1">
      <c r="A61">
        <v>59</v>
      </c>
      <c r="B61">
        <v>600.61199999999997</v>
      </c>
      <c r="C61" s="1">
        <v>0.59864099999999998</v>
      </c>
      <c r="D61" s="1">
        <v>0.59289000000000003</v>
      </c>
      <c r="E61" s="1">
        <v>0.61921199999999998</v>
      </c>
      <c r="F61" s="1">
        <v>0.59985299999999997</v>
      </c>
      <c r="I61">
        <v>582.70100000000002</v>
      </c>
      <c r="J61" s="1">
        <v>0.58539200000000002</v>
      </c>
      <c r="K61" s="1">
        <v>0.58306000000000002</v>
      </c>
      <c r="L61" s="1">
        <v>0.61079099999999997</v>
      </c>
      <c r="M61" s="1">
        <v>0.58143699999999998</v>
      </c>
      <c r="P61">
        <v>603.61</v>
      </c>
      <c r="Q61" s="1">
        <v>0.59377000000000002</v>
      </c>
      <c r="R61" s="1">
        <v>0.59535400000000005</v>
      </c>
      <c r="S61" s="1">
        <v>0.62584499999999998</v>
      </c>
      <c r="T61" s="1">
        <v>0.58918800000000005</v>
      </c>
      <c r="U61" s="1"/>
      <c r="W61">
        <v>340.56799999999998</v>
      </c>
      <c r="X61">
        <v>355.92700000000002</v>
      </c>
      <c r="Y61">
        <v>749.64400000000001</v>
      </c>
      <c r="Z61">
        <v>980.33900000000006</v>
      </c>
      <c r="AA61">
        <v>846.77099999999996</v>
      </c>
      <c r="AD61">
        <v>331.05200000000002</v>
      </c>
      <c r="AE61">
        <v>347.76600000000002</v>
      </c>
      <c r="AF61">
        <v>718.44100000000003</v>
      </c>
      <c r="AG61">
        <v>805.36699999999996</v>
      </c>
      <c r="AH61">
        <v>720.05700000000002</v>
      </c>
      <c r="AK61">
        <v>353.59</v>
      </c>
      <c r="AL61">
        <v>372.82400000000001</v>
      </c>
      <c r="AM61">
        <v>698.06</v>
      </c>
      <c r="AN61">
        <v>743.40300000000002</v>
      </c>
      <c r="AO61">
        <v>740.05899999999997</v>
      </c>
    </row>
    <row r="62" spans="1:41" hidden="1">
      <c r="A62">
        <v>60</v>
      </c>
      <c r="B62">
        <v>596.601</v>
      </c>
      <c r="C62" s="1">
        <v>0.59119699999999997</v>
      </c>
      <c r="D62" s="1">
        <v>0.62396700000000005</v>
      </c>
      <c r="E62" s="1">
        <v>0.60625600000000002</v>
      </c>
      <c r="F62" s="1">
        <v>0.59963299999999997</v>
      </c>
      <c r="I62">
        <v>582.19200000000001</v>
      </c>
      <c r="J62" s="1">
        <v>0.58496400000000004</v>
      </c>
      <c r="K62" s="1">
        <v>0.60235899999999998</v>
      </c>
      <c r="L62" s="1">
        <v>0.58405799999999997</v>
      </c>
      <c r="M62" s="1">
        <v>0.57985699999999996</v>
      </c>
      <c r="P62">
        <v>589.22799999999995</v>
      </c>
      <c r="Q62" s="1">
        <v>0.58932700000000005</v>
      </c>
      <c r="R62" s="1">
        <v>0.62798399999999999</v>
      </c>
      <c r="S62" s="1">
        <v>0.59347700000000003</v>
      </c>
      <c r="T62" s="1">
        <v>0.58813400000000005</v>
      </c>
      <c r="U62" s="1"/>
      <c r="W62">
        <v>331.62599999999998</v>
      </c>
      <c r="X62">
        <v>362.59500000000003</v>
      </c>
      <c r="Y62">
        <v>749.72900000000004</v>
      </c>
      <c r="Z62">
        <v>1011.15</v>
      </c>
      <c r="AA62">
        <v>751.28800000000001</v>
      </c>
      <c r="AD62">
        <v>377.34399999999999</v>
      </c>
      <c r="AE62">
        <v>336.56400000000002</v>
      </c>
      <c r="AF62">
        <v>721.73699999999997</v>
      </c>
      <c r="AG62">
        <v>758.9</v>
      </c>
      <c r="AH62">
        <v>795.6</v>
      </c>
      <c r="AK62">
        <v>396.435</v>
      </c>
      <c r="AL62">
        <v>346.68400000000003</v>
      </c>
      <c r="AM62">
        <v>729.49300000000005</v>
      </c>
      <c r="AN62">
        <v>789.66700000000003</v>
      </c>
      <c r="AO62">
        <v>781.64700000000005</v>
      </c>
    </row>
    <row r="63" spans="1:41" hidden="1">
      <c r="A63">
        <v>61</v>
      </c>
      <c r="B63">
        <v>592.09799999999996</v>
      </c>
      <c r="C63" s="1">
        <v>0.62068800000000002</v>
      </c>
      <c r="D63" s="1">
        <v>0.59399100000000005</v>
      </c>
      <c r="E63" s="1">
        <v>0.59959399999999996</v>
      </c>
      <c r="F63" s="1">
        <v>0.59922799999999998</v>
      </c>
      <c r="I63">
        <v>582.29600000000005</v>
      </c>
      <c r="J63" s="1">
        <v>0.58119699999999996</v>
      </c>
      <c r="K63" s="1">
        <v>0.61264399999999997</v>
      </c>
      <c r="L63" s="1">
        <v>0.58230800000000005</v>
      </c>
      <c r="M63" s="1">
        <v>0.57969800000000005</v>
      </c>
      <c r="P63">
        <v>590.4</v>
      </c>
      <c r="Q63" s="1">
        <v>0.61081799999999997</v>
      </c>
      <c r="R63" s="1">
        <v>0.59322900000000001</v>
      </c>
      <c r="S63" s="1">
        <v>0.59384599999999998</v>
      </c>
      <c r="T63" s="1">
        <v>0.59077000000000002</v>
      </c>
      <c r="U63" s="1"/>
      <c r="W63">
        <v>331.19799999999998</v>
      </c>
      <c r="X63">
        <v>374.101</v>
      </c>
      <c r="Y63">
        <v>851.86900000000003</v>
      </c>
      <c r="Z63">
        <v>1068.18</v>
      </c>
      <c r="AA63">
        <v>723</v>
      </c>
      <c r="AD63">
        <v>366.56700000000001</v>
      </c>
      <c r="AE63">
        <v>411.596</v>
      </c>
      <c r="AF63">
        <v>783.35699999999997</v>
      </c>
      <c r="AG63">
        <v>867.85500000000002</v>
      </c>
      <c r="AH63">
        <v>890.87800000000004</v>
      </c>
      <c r="AK63">
        <v>371.29399999999998</v>
      </c>
      <c r="AL63">
        <v>385.33600000000001</v>
      </c>
      <c r="AM63">
        <v>848.58</v>
      </c>
      <c r="AN63">
        <v>823.36099999999999</v>
      </c>
      <c r="AO63">
        <v>829.14099999999996</v>
      </c>
    </row>
    <row r="64" spans="1:41" hidden="1">
      <c r="A64">
        <v>62</v>
      </c>
      <c r="B64">
        <v>627.57899999999995</v>
      </c>
      <c r="C64" s="1">
        <v>0.58857499999999996</v>
      </c>
      <c r="D64" s="1">
        <v>0.59220799999999996</v>
      </c>
      <c r="E64" s="1">
        <v>0.595163</v>
      </c>
      <c r="F64" s="1">
        <v>0.60007999999999995</v>
      </c>
      <c r="I64">
        <v>581.56299999999999</v>
      </c>
      <c r="J64" s="1">
        <v>0.60920700000000005</v>
      </c>
      <c r="K64" s="1">
        <v>0.58308800000000005</v>
      </c>
      <c r="L64" s="1">
        <v>0.58539200000000002</v>
      </c>
      <c r="M64" s="1">
        <v>0.57942099999999996</v>
      </c>
      <c r="P64">
        <v>591.04200000000003</v>
      </c>
      <c r="Q64" s="1">
        <v>0.61527799999999999</v>
      </c>
      <c r="R64" s="1">
        <v>0.592974</v>
      </c>
      <c r="S64" s="1">
        <v>0.59309699999999999</v>
      </c>
      <c r="T64" s="1">
        <v>0.589256</v>
      </c>
      <c r="U64" s="1"/>
      <c r="W64">
        <v>318.52199999999999</v>
      </c>
      <c r="X64">
        <v>336.827</v>
      </c>
      <c r="Y64">
        <v>739.15800000000002</v>
      </c>
      <c r="Z64">
        <v>946.49099999999999</v>
      </c>
      <c r="AA64">
        <v>795.79200000000003</v>
      </c>
      <c r="AD64">
        <v>385.47899999999998</v>
      </c>
      <c r="AE64">
        <v>356.11399999999998</v>
      </c>
      <c r="AF64">
        <v>809.27200000000005</v>
      </c>
      <c r="AG64">
        <v>860.29399999999998</v>
      </c>
      <c r="AH64">
        <v>807.90499999999997</v>
      </c>
      <c r="AK64">
        <v>404</v>
      </c>
      <c r="AL64">
        <v>377.96100000000001</v>
      </c>
      <c r="AM64">
        <v>811.57500000000005</v>
      </c>
      <c r="AN64">
        <v>797.33199999999999</v>
      </c>
      <c r="AO64">
        <v>809.18700000000001</v>
      </c>
    </row>
    <row r="65" spans="1:41" hidden="1">
      <c r="A65">
        <v>63</v>
      </c>
      <c r="B65">
        <v>610.96500000000003</v>
      </c>
      <c r="C65" s="1">
        <v>0.59488099999999999</v>
      </c>
      <c r="D65" s="1">
        <v>0.59309500000000004</v>
      </c>
      <c r="E65" s="1">
        <v>0.59837200000000001</v>
      </c>
      <c r="F65" s="1">
        <v>0.65080899999999997</v>
      </c>
      <c r="I65">
        <v>603.04999999999995</v>
      </c>
      <c r="J65" s="1">
        <v>0.58364300000000002</v>
      </c>
      <c r="K65" s="1">
        <v>0.58250599999999997</v>
      </c>
      <c r="L65" s="1">
        <v>0.58342799999999995</v>
      </c>
      <c r="M65" s="1">
        <v>0.60481300000000005</v>
      </c>
      <c r="P65">
        <v>618.73599999999999</v>
      </c>
      <c r="Q65" s="1">
        <v>0.58952000000000004</v>
      </c>
      <c r="R65" s="1">
        <v>0.59289599999999998</v>
      </c>
      <c r="S65" s="1">
        <v>0.59476600000000002</v>
      </c>
      <c r="T65" s="1">
        <v>0.61423899999999998</v>
      </c>
      <c r="U65" s="1"/>
      <c r="W65">
        <v>420.62299999999999</v>
      </c>
      <c r="X65">
        <v>413.93799999999999</v>
      </c>
      <c r="Y65">
        <v>802.74400000000003</v>
      </c>
      <c r="Z65">
        <v>1058.21</v>
      </c>
      <c r="AA65">
        <v>865.66899999999998</v>
      </c>
      <c r="AD65">
        <v>350.90199999999999</v>
      </c>
      <c r="AE65">
        <v>347.99299999999999</v>
      </c>
      <c r="AF65">
        <v>722.86400000000003</v>
      </c>
      <c r="AG65">
        <v>792.07799999999997</v>
      </c>
      <c r="AH65">
        <v>728.61500000000001</v>
      </c>
      <c r="AK65">
        <v>356.24200000000002</v>
      </c>
      <c r="AL65">
        <v>341.27499999999998</v>
      </c>
      <c r="AM65">
        <v>696.71</v>
      </c>
      <c r="AN65">
        <v>737.58</v>
      </c>
      <c r="AO65">
        <v>731.87900000000002</v>
      </c>
    </row>
    <row r="66" spans="1:41" hidden="1">
      <c r="A66">
        <v>64</v>
      </c>
      <c r="B66">
        <v>592.346</v>
      </c>
      <c r="C66" s="1">
        <v>0.60256399999999999</v>
      </c>
      <c r="D66" s="1">
        <v>0.58625400000000005</v>
      </c>
      <c r="E66" s="1">
        <v>0.63237600000000005</v>
      </c>
      <c r="F66" s="1">
        <v>0.60150499999999996</v>
      </c>
      <c r="I66">
        <v>584.45899999999995</v>
      </c>
      <c r="J66" s="1">
        <v>0.58331200000000005</v>
      </c>
      <c r="K66" s="1">
        <v>0.58254899999999998</v>
      </c>
      <c r="L66" s="1">
        <v>0.58185699999999996</v>
      </c>
      <c r="M66" s="1">
        <v>0.60961699999999996</v>
      </c>
      <c r="P66">
        <v>589.62699999999995</v>
      </c>
      <c r="Q66" s="1">
        <v>0.59157899999999997</v>
      </c>
      <c r="R66" s="1">
        <v>0.59572700000000001</v>
      </c>
      <c r="S66" s="1">
        <v>0.62459799999999999</v>
      </c>
      <c r="T66" s="1">
        <v>0.58897100000000002</v>
      </c>
      <c r="W66">
        <v>365.16399999999999</v>
      </c>
      <c r="X66">
        <v>379.096</v>
      </c>
      <c r="Y66">
        <v>738.78399999999999</v>
      </c>
      <c r="Z66">
        <v>998.13499999999999</v>
      </c>
      <c r="AA66">
        <v>742.505</v>
      </c>
      <c r="AD66">
        <v>340.90600000000001</v>
      </c>
      <c r="AE66">
        <v>346.42399999999998</v>
      </c>
      <c r="AF66">
        <v>719.49699999999996</v>
      </c>
      <c r="AG66">
        <v>792.58900000000006</v>
      </c>
      <c r="AH66">
        <v>727.45500000000004</v>
      </c>
      <c r="AK66">
        <v>331.85700000000003</v>
      </c>
      <c r="AL66">
        <v>329.77</v>
      </c>
      <c r="AM66">
        <v>695.77099999999996</v>
      </c>
      <c r="AN66">
        <v>763.649</v>
      </c>
      <c r="AO66">
        <v>712.00199999999995</v>
      </c>
    </row>
    <row r="67" spans="1:41" hidden="1">
      <c r="A67">
        <v>65</v>
      </c>
      <c r="B67">
        <v>605.58100000000002</v>
      </c>
      <c r="C67" s="1">
        <v>0.58873399999999998</v>
      </c>
      <c r="D67" s="1">
        <v>0.59865100000000004</v>
      </c>
      <c r="E67" s="1">
        <v>0.59015499999999999</v>
      </c>
      <c r="F67" s="1">
        <v>0.63589099999999998</v>
      </c>
      <c r="I67">
        <v>583.88</v>
      </c>
      <c r="J67" s="1">
        <v>0.58357800000000004</v>
      </c>
      <c r="K67" s="1">
        <v>0.58366700000000005</v>
      </c>
      <c r="L67" s="1">
        <v>0.60222799999999999</v>
      </c>
      <c r="M67" s="1">
        <v>0.58245400000000003</v>
      </c>
      <c r="P67">
        <v>590.26499999999999</v>
      </c>
      <c r="Q67" s="1">
        <v>0.59107900000000002</v>
      </c>
      <c r="R67" s="1">
        <v>0.60969799999999996</v>
      </c>
      <c r="S67" s="1">
        <v>0.59153100000000003</v>
      </c>
      <c r="T67" s="1">
        <v>0.58655500000000005</v>
      </c>
      <c r="U67" s="1"/>
      <c r="W67">
        <v>335.904</v>
      </c>
      <c r="X67">
        <v>355.52699999999999</v>
      </c>
      <c r="Y67">
        <v>736.94399999999996</v>
      </c>
      <c r="Z67">
        <v>978.875</v>
      </c>
      <c r="AA67">
        <v>718.64800000000002</v>
      </c>
      <c r="AD67">
        <v>332.61</v>
      </c>
      <c r="AE67">
        <v>345.59199999999998</v>
      </c>
      <c r="AF67">
        <v>737.89099999999996</v>
      </c>
      <c r="AG67">
        <v>754.91700000000003</v>
      </c>
      <c r="AH67">
        <v>744.66800000000001</v>
      </c>
      <c r="AK67">
        <v>332.03399999999999</v>
      </c>
      <c r="AL67">
        <v>328.97699999999998</v>
      </c>
      <c r="AM67">
        <v>697.22199999999998</v>
      </c>
      <c r="AN67">
        <v>764.19299999999998</v>
      </c>
      <c r="AO67">
        <v>708.30499999999995</v>
      </c>
    </row>
    <row r="68" spans="1:41" hidden="1">
      <c r="A68">
        <v>66</v>
      </c>
      <c r="B68">
        <v>650.61199999999997</v>
      </c>
      <c r="C68" s="1">
        <v>0.587731</v>
      </c>
      <c r="D68" s="1">
        <v>0.59504500000000005</v>
      </c>
      <c r="E68" s="1">
        <v>0.62924100000000005</v>
      </c>
      <c r="F68" s="1">
        <v>0.59879499999999997</v>
      </c>
      <c r="I68">
        <v>582.495</v>
      </c>
      <c r="J68" s="1">
        <v>0.58421100000000004</v>
      </c>
      <c r="K68" s="1">
        <v>0.60980999999999996</v>
      </c>
      <c r="L68" s="1">
        <v>0.58305300000000004</v>
      </c>
      <c r="M68" s="1">
        <v>0.58161399999999996</v>
      </c>
      <c r="P68">
        <v>588.87199999999996</v>
      </c>
      <c r="Q68" s="1">
        <v>0.61512500000000003</v>
      </c>
      <c r="R68" s="1">
        <v>0.59136100000000003</v>
      </c>
      <c r="S68" s="1">
        <v>0.60572700000000002</v>
      </c>
      <c r="T68" s="1">
        <v>0.59264399999999995</v>
      </c>
      <c r="U68" s="1"/>
      <c r="W68">
        <v>317.73899999999998</v>
      </c>
      <c r="X68">
        <v>335.31700000000001</v>
      </c>
      <c r="Y68">
        <v>742.79499999999996</v>
      </c>
      <c r="Z68">
        <v>979.54300000000001</v>
      </c>
      <c r="AA68">
        <v>755.55200000000002</v>
      </c>
      <c r="AD68">
        <v>341.548</v>
      </c>
      <c r="AE68">
        <v>364.72199999999998</v>
      </c>
      <c r="AF68">
        <v>716.10500000000002</v>
      </c>
      <c r="AG68">
        <v>763.73599999999999</v>
      </c>
      <c r="AH68">
        <v>790.03899999999999</v>
      </c>
      <c r="AK68">
        <v>331.43200000000002</v>
      </c>
      <c r="AL68">
        <v>329.61900000000003</v>
      </c>
      <c r="AM68">
        <v>745.29200000000003</v>
      </c>
      <c r="AN68">
        <v>857.71</v>
      </c>
      <c r="AO68">
        <v>741.74199999999996</v>
      </c>
    </row>
    <row r="69" spans="1:41" hidden="1">
      <c r="A69">
        <v>67</v>
      </c>
      <c r="B69">
        <v>582.971</v>
      </c>
      <c r="C69" s="1">
        <v>0.63570199999999999</v>
      </c>
      <c r="D69" s="1">
        <v>0.62060499999999996</v>
      </c>
      <c r="E69" s="1">
        <v>0.596383</v>
      </c>
      <c r="F69" s="1">
        <v>0.594468</v>
      </c>
      <c r="I69">
        <v>581.58199999999999</v>
      </c>
      <c r="J69" s="1">
        <v>0.607101</v>
      </c>
      <c r="K69" s="1">
        <v>0.58286800000000005</v>
      </c>
      <c r="L69" s="1">
        <v>0.58391899999999997</v>
      </c>
      <c r="M69" s="1">
        <v>0.58328199999999997</v>
      </c>
      <c r="P69">
        <v>614.73699999999997</v>
      </c>
      <c r="Q69" s="1">
        <v>0.58994000000000002</v>
      </c>
      <c r="R69" s="1">
        <v>0.592669</v>
      </c>
      <c r="S69" s="1">
        <v>0.593553</v>
      </c>
      <c r="T69" s="1">
        <v>0.591198</v>
      </c>
      <c r="U69" s="1"/>
      <c r="W69">
        <v>339.19299999999998</v>
      </c>
      <c r="X69">
        <v>404.32</v>
      </c>
      <c r="Y69">
        <v>740.76099999999997</v>
      </c>
      <c r="Z69">
        <v>981.06100000000004</v>
      </c>
      <c r="AA69">
        <v>774.60199999999998</v>
      </c>
      <c r="AD69">
        <v>382.15300000000002</v>
      </c>
      <c r="AE69">
        <v>369.39400000000001</v>
      </c>
      <c r="AF69">
        <v>779.04</v>
      </c>
      <c r="AG69">
        <v>831.71</v>
      </c>
      <c r="AH69">
        <v>822.44500000000005</v>
      </c>
      <c r="AK69">
        <v>344.02300000000002</v>
      </c>
      <c r="AL69">
        <v>342.69299999999998</v>
      </c>
      <c r="AM69">
        <v>760.52</v>
      </c>
      <c r="AN69">
        <v>775.26400000000001</v>
      </c>
      <c r="AO69">
        <v>740.125</v>
      </c>
    </row>
    <row r="70" spans="1:41" hidden="1">
      <c r="A70">
        <v>68</v>
      </c>
      <c r="B70">
        <v>588.21900000000005</v>
      </c>
      <c r="C70" s="1">
        <v>0.648455</v>
      </c>
      <c r="D70" s="1">
        <v>0.58774599999999999</v>
      </c>
      <c r="E70" s="1">
        <v>0.60058599999999995</v>
      </c>
      <c r="F70" s="1">
        <v>0.60314500000000004</v>
      </c>
      <c r="I70">
        <v>610.05499999999995</v>
      </c>
      <c r="J70" s="1">
        <v>0.58287599999999995</v>
      </c>
      <c r="K70" s="1">
        <v>0.58194699999999999</v>
      </c>
      <c r="L70" s="1">
        <v>0.584341</v>
      </c>
      <c r="M70" s="1">
        <v>0.58277999999999996</v>
      </c>
      <c r="P70">
        <v>607.15700000000004</v>
      </c>
      <c r="Q70" s="1">
        <v>0.59102500000000002</v>
      </c>
      <c r="R70" s="1">
        <v>0.59898899999999999</v>
      </c>
      <c r="S70" s="1">
        <v>0.62725699999999995</v>
      </c>
      <c r="T70" s="1">
        <v>0.61129900000000004</v>
      </c>
      <c r="U70" s="1"/>
      <c r="W70">
        <v>361.53300000000002</v>
      </c>
      <c r="X70">
        <v>390.71300000000002</v>
      </c>
      <c r="Y70">
        <v>865.51400000000001</v>
      </c>
      <c r="Z70">
        <v>1073.57</v>
      </c>
      <c r="AA70">
        <v>804.32299999999998</v>
      </c>
      <c r="AD70">
        <v>388.363</v>
      </c>
      <c r="AE70">
        <v>418.65899999999999</v>
      </c>
      <c r="AF70">
        <v>787.67899999999997</v>
      </c>
      <c r="AG70">
        <v>833.56299999999999</v>
      </c>
      <c r="AH70">
        <v>837.88</v>
      </c>
      <c r="AK70">
        <v>372.27</v>
      </c>
      <c r="AL70">
        <v>338.28899999999999</v>
      </c>
      <c r="AM70">
        <v>724.36900000000003</v>
      </c>
      <c r="AN70">
        <v>768.23</v>
      </c>
      <c r="AO70">
        <v>773.125</v>
      </c>
    </row>
    <row r="71" spans="1:41" hidden="1">
      <c r="A71">
        <v>69</v>
      </c>
      <c r="B71">
        <v>613.12900000000002</v>
      </c>
      <c r="C71" s="1">
        <v>0.59123800000000004</v>
      </c>
      <c r="D71" s="1">
        <v>0.60472899999999996</v>
      </c>
      <c r="E71" s="1">
        <v>0.59171600000000002</v>
      </c>
      <c r="F71" s="1">
        <v>0.60127200000000003</v>
      </c>
      <c r="I71">
        <v>623.92499999999995</v>
      </c>
      <c r="J71" s="1">
        <v>0.58358699999999997</v>
      </c>
      <c r="K71" s="1">
        <v>0.583013</v>
      </c>
      <c r="L71" s="1">
        <v>0.583565</v>
      </c>
      <c r="M71" s="1">
        <v>0.60897400000000002</v>
      </c>
      <c r="P71">
        <v>591.97400000000005</v>
      </c>
      <c r="Q71" s="1">
        <v>0.589615</v>
      </c>
      <c r="R71" s="1">
        <v>0.59222699999999995</v>
      </c>
      <c r="S71" s="1">
        <v>0.63095000000000001</v>
      </c>
      <c r="T71" s="1">
        <v>0.59619299999999997</v>
      </c>
      <c r="U71" s="1"/>
      <c r="W71">
        <v>374.59399999999999</v>
      </c>
      <c r="X71">
        <v>427.69099999999997</v>
      </c>
      <c r="Y71">
        <v>803.25599999999997</v>
      </c>
      <c r="Z71">
        <v>1120.7</v>
      </c>
      <c r="AA71">
        <v>839.8</v>
      </c>
      <c r="AD71">
        <v>400.32499999999999</v>
      </c>
      <c r="AE71">
        <v>387.83600000000001</v>
      </c>
      <c r="AF71">
        <v>818.00800000000004</v>
      </c>
      <c r="AG71">
        <v>786.54899999999998</v>
      </c>
      <c r="AH71">
        <v>723.01900000000001</v>
      </c>
      <c r="AK71">
        <v>342.596</v>
      </c>
      <c r="AL71">
        <v>342.00099999999998</v>
      </c>
      <c r="AM71">
        <v>725.13599999999997</v>
      </c>
      <c r="AN71">
        <v>768.71</v>
      </c>
      <c r="AO71">
        <v>812.98099999999999</v>
      </c>
    </row>
    <row r="72" spans="1:41" hidden="1">
      <c r="A72">
        <v>70</v>
      </c>
      <c r="B72">
        <v>621.17999999999995</v>
      </c>
      <c r="C72" s="1">
        <v>0.65914499999999998</v>
      </c>
      <c r="D72" s="1">
        <v>0.58957899999999996</v>
      </c>
      <c r="E72" s="1">
        <v>0.59054099999999998</v>
      </c>
      <c r="F72" s="1">
        <v>0.61874499999999999</v>
      </c>
      <c r="I72">
        <v>587.19500000000005</v>
      </c>
      <c r="J72" s="1">
        <v>0.59184099999999995</v>
      </c>
      <c r="K72" s="1">
        <v>0.58479099999999995</v>
      </c>
      <c r="L72" s="1">
        <v>0.60887999999999998</v>
      </c>
      <c r="M72" s="1">
        <v>0.58400799999999997</v>
      </c>
      <c r="P72">
        <v>595.12900000000002</v>
      </c>
      <c r="Q72" s="1">
        <v>0.59240099999999996</v>
      </c>
      <c r="R72" s="1">
        <v>0.61768100000000004</v>
      </c>
      <c r="S72" s="1">
        <v>0.59479400000000004</v>
      </c>
      <c r="T72" s="1">
        <v>0.59775</v>
      </c>
      <c r="W72">
        <v>370.72800000000001</v>
      </c>
      <c r="X72">
        <v>403.18400000000003</v>
      </c>
      <c r="Y72">
        <v>829.03599999999994</v>
      </c>
      <c r="Z72">
        <v>967.24</v>
      </c>
      <c r="AA72">
        <v>754.91099999999994</v>
      </c>
      <c r="AD72">
        <v>341.97500000000002</v>
      </c>
      <c r="AE72">
        <v>341.06799999999998</v>
      </c>
      <c r="AF72">
        <v>739.68499999999995</v>
      </c>
      <c r="AG72">
        <v>784.54600000000005</v>
      </c>
      <c r="AH72">
        <v>732.89499999999998</v>
      </c>
      <c r="AK72">
        <v>344.19</v>
      </c>
      <c r="AL72">
        <v>334.36399999999998</v>
      </c>
      <c r="AM72">
        <v>729.59199999999998</v>
      </c>
      <c r="AN72">
        <v>741.23400000000004</v>
      </c>
      <c r="AO72">
        <v>730.98199999999997</v>
      </c>
    </row>
    <row r="73" spans="1:41" hidden="1">
      <c r="A73">
        <v>71</v>
      </c>
      <c r="B73">
        <v>617.572</v>
      </c>
      <c r="C73" s="1">
        <v>0.601962</v>
      </c>
      <c r="D73" s="1">
        <v>0.61067000000000005</v>
      </c>
      <c r="E73" s="1">
        <v>0.62245300000000003</v>
      </c>
      <c r="F73" s="1">
        <v>0.58939299999999994</v>
      </c>
      <c r="I73">
        <v>583.78800000000001</v>
      </c>
      <c r="J73" s="1">
        <v>0.58451500000000001</v>
      </c>
      <c r="K73" s="1">
        <v>0.59948999999999997</v>
      </c>
      <c r="L73" s="1">
        <v>0.58532200000000001</v>
      </c>
      <c r="M73" s="1">
        <v>0.58636200000000005</v>
      </c>
      <c r="P73">
        <v>589.31399999999996</v>
      </c>
      <c r="Q73" s="1">
        <v>0.61748000000000003</v>
      </c>
      <c r="R73" s="1">
        <v>0.59350700000000001</v>
      </c>
      <c r="S73" s="1">
        <v>0.59368799999999999</v>
      </c>
      <c r="T73" s="1">
        <v>0.59022399999999997</v>
      </c>
      <c r="U73" s="1"/>
      <c r="W73">
        <v>332.96600000000001</v>
      </c>
      <c r="X73">
        <v>398.714</v>
      </c>
      <c r="Y73">
        <v>721.96400000000006</v>
      </c>
      <c r="Z73">
        <v>940.77499999999998</v>
      </c>
      <c r="AA73">
        <v>719.25400000000002</v>
      </c>
      <c r="AD73">
        <v>334.96699999999998</v>
      </c>
      <c r="AE73">
        <v>340.95100000000002</v>
      </c>
      <c r="AF73">
        <v>765.11800000000005</v>
      </c>
      <c r="AG73">
        <v>769.18600000000004</v>
      </c>
      <c r="AH73">
        <v>726.34199999999998</v>
      </c>
      <c r="AK73">
        <v>331.34800000000001</v>
      </c>
      <c r="AL73">
        <v>346.68599999999998</v>
      </c>
      <c r="AM73">
        <v>737.11099999999999</v>
      </c>
      <c r="AN73">
        <v>785.47299999999996</v>
      </c>
      <c r="AO73">
        <v>734.87300000000005</v>
      </c>
    </row>
    <row r="74" spans="1:41" hidden="1">
      <c r="A74">
        <v>72</v>
      </c>
      <c r="B74">
        <v>604.78599999999994</v>
      </c>
      <c r="C74" s="1">
        <v>0.60560000000000003</v>
      </c>
      <c r="D74" s="1">
        <v>0.62252600000000002</v>
      </c>
      <c r="E74" s="1">
        <v>0.59456600000000004</v>
      </c>
      <c r="F74" s="1">
        <v>0.59382900000000005</v>
      </c>
      <c r="I74">
        <v>582.32500000000005</v>
      </c>
      <c r="J74" s="1">
        <v>0.609491</v>
      </c>
      <c r="K74" s="1">
        <v>0.582237</v>
      </c>
      <c r="L74" s="1">
        <v>0.58429699999999996</v>
      </c>
      <c r="M74" s="1">
        <v>0.58405499999999999</v>
      </c>
      <c r="P74">
        <v>617.37400000000002</v>
      </c>
      <c r="Q74" s="1">
        <v>0.59050100000000005</v>
      </c>
      <c r="R74" s="1">
        <v>0.59273299999999995</v>
      </c>
      <c r="S74" s="1">
        <v>0.59517399999999998</v>
      </c>
      <c r="T74" s="1">
        <v>0.613228</v>
      </c>
      <c r="U74" s="1"/>
      <c r="W74">
        <v>342.464</v>
      </c>
      <c r="X74">
        <v>335.28800000000001</v>
      </c>
      <c r="Y74">
        <v>715.77499999999998</v>
      </c>
      <c r="Z74">
        <v>940.64099999999996</v>
      </c>
      <c r="AA74">
        <v>764.98599999999999</v>
      </c>
      <c r="AD74">
        <v>342.47800000000001</v>
      </c>
      <c r="AE74">
        <v>381.6</v>
      </c>
      <c r="AF74">
        <v>716.01499999999999</v>
      </c>
      <c r="AG74">
        <v>814.74800000000005</v>
      </c>
      <c r="AH74">
        <v>836.19600000000003</v>
      </c>
      <c r="AK74">
        <v>371.697</v>
      </c>
      <c r="AL74">
        <v>368.03399999999999</v>
      </c>
      <c r="AM74">
        <v>789.94899999999996</v>
      </c>
      <c r="AN74">
        <v>898.18100000000004</v>
      </c>
      <c r="AO74">
        <v>808.58299999999997</v>
      </c>
    </row>
    <row r="75" spans="1:41" hidden="1">
      <c r="A75">
        <v>73</v>
      </c>
      <c r="B75">
        <v>583.90099999999995</v>
      </c>
      <c r="C75" s="1">
        <v>0.636216</v>
      </c>
      <c r="D75" s="1">
        <v>0.60104400000000002</v>
      </c>
      <c r="E75" s="1">
        <v>0.59972599999999998</v>
      </c>
      <c r="F75" s="1">
        <v>0.60371600000000003</v>
      </c>
      <c r="I75">
        <v>582.27599999999995</v>
      </c>
      <c r="J75" s="1">
        <v>0.602213</v>
      </c>
      <c r="K75" s="1">
        <v>0.58558500000000002</v>
      </c>
      <c r="L75" s="1">
        <v>0.58358500000000002</v>
      </c>
      <c r="M75" s="1">
        <v>0.58374199999999998</v>
      </c>
      <c r="P75">
        <v>590.36699999999996</v>
      </c>
      <c r="Q75" s="1">
        <v>0.58946299999999996</v>
      </c>
      <c r="R75" s="1">
        <v>0.59208899999999998</v>
      </c>
      <c r="S75" s="1">
        <v>0.59572400000000003</v>
      </c>
      <c r="T75" s="1">
        <v>0.61899099999999996</v>
      </c>
      <c r="W75">
        <v>341.63900000000001</v>
      </c>
      <c r="X75">
        <v>367.65300000000002</v>
      </c>
      <c r="Y75">
        <v>762.18799999999999</v>
      </c>
      <c r="Z75">
        <v>1044.82</v>
      </c>
      <c r="AA75">
        <v>791.50699999999995</v>
      </c>
      <c r="AD75">
        <v>381.68599999999998</v>
      </c>
      <c r="AE75">
        <v>387.529</v>
      </c>
      <c r="AF75">
        <v>792.30100000000004</v>
      </c>
      <c r="AG75">
        <v>836.25300000000004</v>
      </c>
      <c r="AH75">
        <v>827.35900000000004</v>
      </c>
      <c r="AK75">
        <v>374.68700000000001</v>
      </c>
      <c r="AL75">
        <v>396.50700000000001</v>
      </c>
      <c r="AM75">
        <v>817.04</v>
      </c>
      <c r="AN75">
        <v>773.16399999999999</v>
      </c>
      <c r="AO75">
        <v>733.22799999999995</v>
      </c>
    </row>
    <row r="76" spans="1:41" hidden="1">
      <c r="A76">
        <v>74</v>
      </c>
      <c r="B76">
        <v>590.15200000000004</v>
      </c>
      <c r="C76" s="1">
        <v>0.61409599999999998</v>
      </c>
      <c r="D76" s="1">
        <v>0.59565500000000005</v>
      </c>
      <c r="E76" s="1">
        <v>0.59343000000000001</v>
      </c>
      <c r="F76" s="1">
        <v>0.59103000000000006</v>
      </c>
      <c r="I76">
        <v>606.49099999999999</v>
      </c>
      <c r="J76" s="1">
        <v>0.58365100000000003</v>
      </c>
      <c r="K76" s="1">
        <v>0.58504400000000001</v>
      </c>
      <c r="L76" s="1">
        <v>0.58543900000000004</v>
      </c>
      <c r="M76" s="1">
        <v>0.60028400000000004</v>
      </c>
      <c r="P76">
        <v>591.101</v>
      </c>
      <c r="Q76" s="1">
        <v>0.58821800000000002</v>
      </c>
      <c r="R76" s="1">
        <v>0.59041500000000002</v>
      </c>
      <c r="S76" s="1">
        <v>0.61892199999999997</v>
      </c>
      <c r="T76" s="1">
        <v>0.58703899999999998</v>
      </c>
      <c r="U76" s="1"/>
      <c r="W76">
        <v>363.72800000000001</v>
      </c>
      <c r="X76">
        <v>383.62700000000001</v>
      </c>
      <c r="Y76">
        <v>758.55200000000002</v>
      </c>
      <c r="Z76">
        <v>1007.84</v>
      </c>
      <c r="AA76">
        <v>787.29399999999998</v>
      </c>
      <c r="AD76">
        <v>392.28300000000002</v>
      </c>
      <c r="AE76">
        <v>364.55099999999999</v>
      </c>
      <c r="AF76">
        <v>753.70799999999997</v>
      </c>
      <c r="AG76">
        <v>736.40499999999997</v>
      </c>
      <c r="AH76">
        <v>817.83299999999997</v>
      </c>
      <c r="AK76">
        <v>350.834</v>
      </c>
      <c r="AL76">
        <v>384.923</v>
      </c>
      <c r="AM76">
        <v>719.35699999999997</v>
      </c>
      <c r="AN76">
        <v>766.52099999999996</v>
      </c>
      <c r="AO76">
        <v>743.029</v>
      </c>
    </row>
    <row r="77" spans="1:41" hidden="1">
      <c r="A77">
        <v>75</v>
      </c>
      <c r="B77">
        <v>616.74300000000005</v>
      </c>
      <c r="C77" s="1">
        <v>0.58910600000000002</v>
      </c>
      <c r="D77" s="1">
        <v>0.59883500000000001</v>
      </c>
      <c r="E77" s="1">
        <v>0.64634100000000005</v>
      </c>
      <c r="F77" s="1">
        <v>0.71203099999999997</v>
      </c>
      <c r="I77">
        <v>582.27099999999996</v>
      </c>
      <c r="J77" s="1">
        <v>0.582673</v>
      </c>
      <c r="K77" s="1">
        <v>0.58147400000000005</v>
      </c>
      <c r="L77" s="1">
        <v>0.61593900000000001</v>
      </c>
      <c r="M77" s="1">
        <v>0.58229200000000003</v>
      </c>
      <c r="P77">
        <v>588.26900000000001</v>
      </c>
      <c r="Q77" s="1">
        <v>0.592221</v>
      </c>
      <c r="R77" s="1">
        <v>0.62269699999999994</v>
      </c>
      <c r="S77" s="1">
        <v>0.59504100000000004</v>
      </c>
      <c r="T77" s="1">
        <v>0.59006199999999998</v>
      </c>
      <c r="W77">
        <v>378.34199999999998</v>
      </c>
      <c r="X77">
        <v>397.53800000000001</v>
      </c>
      <c r="Y77">
        <v>882.11800000000005</v>
      </c>
      <c r="Z77">
        <v>992.83799999999997</v>
      </c>
      <c r="AA77">
        <v>807.79200000000003</v>
      </c>
      <c r="AD77">
        <v>352.96499999999997</v>
      </c>
      <c r="AE77">
        <v>367.88</v>
      </c>
      <c r="AF77">
        <v>835.82899999999995</v>
      </c>
      <c r="AG77">
        <v>787.06700000000001</v>
      </c>
      <c r="AH77">
        <v>771.68</v>
      </c>
      <c r="AK77">
        <v>387.25799999999998</v>
      </c>
      <c r="AL77">
        <v>343.42700000000002</v>
      </c>
      <c r="AM77">
        <v>731.26400000000001</v>
      </c>
      <c r="AN77">
        <v>757.52200000000005</v>
      </c>
      <c r="AO77">
        <v>726.17200000000003</v>
      </c>
    </row>
    <row r="78" spans="1:41" hidden="1">
      <c r="A78">
        <v>76</v>
      </c>
      <c r="B78">
        <v>580.56299999999999</v>
      </c>
      <c r="C78" s="1">
        <v>0.64397300000000002</v>
      </c>
      <c r="D78" s="1">
        <v>0.59181799999999996</v>
      </c>
      <c r="E78" s="1">
        <v>0.63900699999999999</v>
      </c>
      <c r="F78" s="1">
        <v>0.58550599999999997</v>
      </c>
      <c r="I78">
        <v>584.18299999999999</v>
      </c>
      <c r="J78" s="1">
        <v>0.58499999999999996</v>
      </c>
      <c r="K78" s="1">
        <v>0.580627</v>
      </c>
      <c r="L78" s="1">
        <v>0.61008600000000002</v>
      </c>
      <c r="M78" s="1">
        <v>0.58193099999999998</v>
      </c>
      <c r="P78">
        <v>589.42600000000004</v>
      </c>
      <c r="Q78" s="1">
        <v>0.60982499999999995</v>
      </c>
      <c r="R78" s="1">
        <v>0.59308499999999997</v>
      </c>
      <c r="S78" s="1">
        <v>0.66572699999999996</v>
      </c>
      <c r="T78" s="1">
        <v>0.58884199999999998</v>
      </c>
      <c r="U78" s="1"/>
      <c r="W78">
        <v>399.10300000000001</v>
      </c>
      <c r="X78">
        <v>408.07900000000001</v>
      </c>
      <c r="Y78">
        <v>862.34100000000001</v>
      </c>
      <c r="Z78">
        <v>1070.3499999999999</v>
      </c>
      <c r="AA78">
        <v>825.52700000000004</v>
      </c>
      <c r="AD78">
        <v>340.37</v>
      </c>
      <c r="AE78">
        <v>338.75299999999999</v>
      </c>
      <c r="AF78">
        <v>722.08900000000006</v>
      </c>
      <c r="AG78">
        <v>763.85900000000004</v>
      </c>
      <c r="AH78">
        <v>767.51499999999999</v>
      </c>
      <c r="AK78">
        <v>332.02</v>
      </c>
      <c r="AL78">
        <v>328.22699999999998</v>
      </c>
      <c r="AM78">
        <v>697.08900000000006</v>
      </c>
      <c r="AN78">
        <v>736.56600000000003</v>
      </c>
      <c r="AO78">
        <v>747.10699999999997</v>
      </c>
    </row>
    <row r="79" spans="1:41" hidden="1">
      <c r="A79">
        <v>77</v>
      </c>
      <c r="B79">
        <v>596.13099999999997</v>
      </c>
      <c r="C79" s="1">
        <v>0.60065800000000003</v>
      </c>
      <c r="D79" s="1">
        <v>0.63312100000000004</v>
      </c>
      <c r="E79" s="1">
        <v>0.609514</v>
      </c>
      <c r="F79" s="1">
        <v>0.58970699999999998</v>
      </c>
      <c r="I79">
        <v>583.86400000000003</v>
      </c>
      <c r="J79" s="1">
        <v>0.58282800000000001</v>
      </c>
      <c r="K79" s="1">
        <v>0.61621400000000004</v>
      </c>
      <c r="L79" s="1">
        <v>0.58398600000000001</v>
      </c>
      <c r="M79" s="1">
        <v>0.58235499999999996</v>
      </c>
      <c r="P79">
        <v>619.04100000000005</v>
      </c>
      <c r="Q79" s="1">
        <v>0.59000900000000001</v>
      </c>
      <c r="R79" s="1">
        <v>0.59400200000000003</v>
      </c>
      <c r="S79" s="1">
        <v>0.59387699999999999</v>
      </c>
      <c r="T79" s="1">
        <v>0.62248800000000004</v>
      </c>
      <c r="U79" s="1"/>
      <c r="W79">
        <v>373.12700000000001</v>
      </c>
      <c r="X79">
        <v>359.83600000000001</v>
      </c>
      <c r="Y79">
        <v>770.02300000000002</v>
      </c>
      <c r="Z79">
        <v>966.95299999999997</v>
      </c>
      <c r="AA79">
        <v>724.12199999999996</v>
      </c>
      <c r="AD79">
        <v>343.27499999999998</v>
      </c>
      <c r="AE79">
        <v>336.57900000000001</v>
      </c>
      <c r="AF79">
        <v>719.10900000000004</v>
      </c>
      <c r="AG79">
        <v>758.33199999999999</v>
      </c>
      <c r="AH79">
        <v>744.19500000000005</v>
      </c>
      <c r="AK79">
        <v>331.39400000000001</v>
      </c>
      <c r="AL79">
        <v>329.03500000000003</v>
      </c>
      <c r="AM79">
        <v>695.48900000000003</v>
      </c>
      <c r="AN79">
        <v>764.44899999999996</v>
      </c>
      <c r="AO79">
        <v>733.00900000000001</v>
      </c>
    </row>
    <row r="80" spans="1:41" hidden="1">
      <c r="A80">
        <v>78</v>
      </c>
      <c r="B80">
        <v>591.54999999999995</v>
      </c>
      <c r="C80" s="1">
        <v>0.63979399999999997</v>
      </c>
      <c r="D80" s="1">
        <v>0.59034200000000003</v>
      </c>
      <c r="E80" s="1">
        <v>0.59188300000000005</v>
      </c>
      <c r="F80" s="1">
        <v>0.59031400000000001</v>
      </c>
      <c r="I80">
        <v>582.06899999999996</v>
      </c>
      <c r="J80" s="1">
        <v>0.61023499999999997</v>
      </c>
      <c r="K80" s="1">
        <v>0.58302699999999996</v>
      </c>
      <c r="L80" s="1">
        <v>0.583789</v>
      </c>
      <c r="M80" s="1">
        <v>0.58247099999999996</v>
      </c>
      <c r="P80">
        <v>590.30600000000004</v>
      </c>
      <c r="Q80" s="1">
        <v>0.58796000000000004</v>
      </c>
      <c r="R80" s="1">
        <v>0.59157300000000002</v>
      </c>
      <c r="S80" s="1">
        <v>0.61717599999999995</v>
      </c>
      <c r="T80" s="1">
        <v>0.65322400000000003</v>
      </c>
      <c r="U80" s="1"/>
      <c r="W80">
        <v>327.483</v>
      </c>
      <c r="X80">
        <v>353.19600000000003</v>
      </c>
      <c r="Y80">
        <v>752.88400000000001</v>
      </c>
      <c r="Z80">
        <v>940.53800000000001</v>
      </c>
      <c r="AA80">
        <v>767.23800000000006</v>
      </c>
      <c r="AD80">
        <v>338.92700000000002</v>
      </c>
      <c r="AE80">
        <v>340.97699999999998</v>
      </c>
      <c r="AF80">
        <v>781.90099999999995</v>
      </c>
      <c r="AG80">
        <v>1150.8499999999999</v>
      </c>
      <c r="AH80">
        <v>729.04700000000003</v>
      </c>
      <c r="AK80">
        <v>341.59899999999999</v>
      </c>
      <c r="AL80">
        <v>333.786</v>
      </c>
      <c r="AM80">
        <v>730.31100000000004</v>
      </c>
      <c r="AN80">
        <v>866.23500000000001</v>
      </c>
      <c r="AO80">
        <v>833.745</v>
      </c>
    </row>
    <row r="81" spans="1:41" hidden="1">
      <c r="A81">
        <v>79</v>
      </c>
      <c r="B81">
        <v>592.63699999999994</v>
      </c>
      <c r="C81" s="1">
        <v>0.61935099999999998</v>
      </c>
      <c r="D81" s="1">
        <v>0.59200399999999997</v>
      </c>
      <c r="E81" s="1">
        <v>0.60184499999999996</v>
      </c>
      <c r="F81" s="1">
        <v>0.59582900000000005</v>
      </c>
      <c r="I81">
        <v>607.99199999999996</v>
      </c>
      <c r="J81" s="1">
        <v>0.64996100000000001</v>
      </c>
      <c r="K81" s="1">
        <v>0.58499199999999996</v>
      </c>
      <c r="L81" s="1">
        <v>0.58315399999999995</v>
      </c>
      <c r="M81" s="1">
        <v>0.583229</v>
      </c>
      <c r="P81">
        <v>591.827</v>
      </c>
      <c r="Q81" s="1">
        <v>0.591028</v>
      </c>
      <c r="R81" s="1">
        <v>0.59348400000000001</v>
      </c>
      <c r="S81" s="1">
        <v>0.61800999999999995</v>
      </c>
      <c r="T81" s="1">
        <v>0.63514300000000001</v>
      </c>
      <c r="U81" s="1"/>
      <c r="W81">
        <v>340.09199999999998</v>
      </c>
      <c r="X81">
        <v>358.24200000000002</v>
      </c>
      <c r="Y81">
        <v>734.44100000000003</v>
      </c>
      <c r="Z81">
        <v>1017.49</v>
      </c>
      <c r="AA81">
        <v>758.05100000000004</v>
      </c>
      <c r="AD81">
        <v>355.64100000000002</v>
      </c>
      <c r="AE81">
        <v>538.86300000000006</v>
      </c>
      <c r="AF81">
        <v>1381.15</v>
      </c>
      <c r="AG81">
        <v>735.59799999999996</v>
      </c>
      <c r="AH81">
        <v>735.65899999999999</v>
      </c>
      <c r="AK81">
        <v>384.67599999999999</v>
      </c>
      <c r="AL81">
        <v>374.03699999999998</v>
      </c>
      <c r="AM81">
        <v>819.69299999999998</v>
      </c>
      <c r="AN81">
        <v>852.351</v>
      </c>
      <c r="AO81">
        <v>820.85</v>
      </c>
    </row>
    <row r="82" spans="1:41" hidden="1">
      <c r="A82">
        <v>80</v>
      </c>
      <c r="B82">
        <v>629.85599999999999</v>
      </c>
      <c r="C82" s="1">
        <v>0.58861300000000005</v>
      </c>
      <c r="D82" s="1">
        <v>0.593974</v>
      </c>
      <c r="E82" s="1">
        <v>0.59462700000000002</v>
      </c>
      <c r="F82" s="1">
        <v>0.60149900000000001</v>
      </c>
      <c r="I82">
        <v>602.85299999999995</v>
      </c>
      <c r="J82" s="1">
        <v>0.58335199999999998</v>
      </c>
      <c r="K82" s="1">
        <v>0.583897</v>
      </c>
      <c r="L82" s="1">
        <v>0.58245199999999997</v>
      </c>
      <c r="M82" s="1">
        <v>0.60198700000000005</v>
      </c>
      <c r="P82">
        <v>666.07299999999998</v>
      </c>
      <c r="Q82" s="1">
        <v>0.68674500000000005</v>
      </c>
      <c r="R82" s="1">
        <v>0.59517200000000003</v>
      </c>
      <c r="S82" s="1">
        <v>0.59521500000000005</v>
      </c>
      <c r="T82" s="1">
        <v>0.59073399999999998</v>
      </c>
      <c r="W82">
        <v>331.53699999999998</v>
      </c>
      <c r="X82">
        <v>356.56700000000001</v>
      </c>
      <c r="Y82">
        <v>741.87</v>
      </c>
      <c r="Z82">
        <v>1009.98</v>
      </c>
      <c r="AA82">
        <v>762.68499999999995</v>
      </c>
      <c r="AD82">
        <v>326.47300000000001</v>
      </c>
      <c r="AE82">
        <v>328.42</v>
      </c>
      <c r="AF82">
        <v>740.39599999999996</v>
      </c>
      <c r="AG82">
        <v>756.97299999999996</v>
      </c>
      <c r="AH82">
        <v>698.52</v>
      </c>
      <c r="AK82">
        <v>384.32600000000002</v>
      </c>
      <c r="AL82">
        <v>393.15800000000002</v>
      </c>
      <c r="AM82">
        <v>889.10799999999995</v>
      </c>
      <c r="AN82">
        <v>869.53899999999999</v>
      </c>
      <c r="AO82">
        <v>810.322</v>
      </c>
    </row>
    <row r="83" spans="1:41" hidden="1">
      <c r="A83">
        <v>81</v>
      </c>
      <c r="B83">
        <v>629.29600000000005</v>
      </c>
      <c r="C83" s="1">
        <v>0.60364899999999999</v>
      </c>
      <c r="D83" s="1">
        <v>0.589333</v>
      </c>
      <c r="E83" s="1">
        <v>0.62712500000000004</v>
      </c>
      <c r="F83" s="1">
        <v>0.60560099999999994</v>
      </c>
      <c r="I83">
        <v>583.34299999999996</v>
      </c>
      <c r="J83" s="1">
        <v>0.58195300000000005</v>
      </c>
      <c r="K83" s="1">
        <v>0.58586899999999997</v>
      </c>
      <c r="L83" s="1">
        <v>0.60930200000000001</v>
      </c>
      <c r="M83" s="1">
        <v>0.58279000000000003</v>
      </c>
      <c r="P83">
        <v>590.18499999999995</v>
      </c>
      <c r="Q83" s="1">
        <v>0.62173800000000001</v>
      </c>
      <c r="R83" s="1">
        <v>0.60237600000000002</v>
      </c>
      <c r="S83" s="1">
        <v>0.59398600000000001</v>
      </c>
      <c r="T83" s="1">
        <v>0.58991899999999997</v>
      </c>
      <c r="U83" s="1"/>
      <c r="W83">
        <v>341.17200000000003</v>
      </c>
      <c r="X83">
        <v>372.82499999999999</v>
      </c>
      <c r="Y83">
        <v>821.11</v>
      </c>
      <c r="Z83">
        <v>1102.5899999999999</v>
      </c>
      <c r="AA83">
        <v>754.83199999999999</v>
      </c>
      <c r="AD83">
        <v>358.75400000000002</v>
      </c>
      <c r="AE83">
        <v>336.78699999999998</v>
      </c>
      <c r="AF83">
        <v>730.92200000000003</v>
      </c>
      <c r="AG83">
        <v>780.92100000000005</v>
      </c>
      <c r="AH83">
        <v>724.61300000000006</v>
      </c>
      <c r="AK83">
        <v>395.85899999999998</v>
      </c>
      <c r="AL83">
        <v>394.82</v>
      </c>
      <c r="AM83">
        <v>759.90700000000004</v>
      </c>
      <c r="AN83">
        <v>775.20399999999995</v>
      </c>
      <c r="AO83">
        <v>735.34100000000001</v>
      </c>
    </row>
    <row r="84" spans="1:41" hidden="1">
      <c r="A84">
        <v>82</v>
      </c>
      <c r="B84">
        <v>601.78</v>
      </c>
      <c r="C84" s="1">
        <v>0.61762899999999998</v>
      </c>
      <c r="D84" s="1">
        <v>0.60178399999999999</v>
      </c>
      <c r="E84" s="1">
        <v>0.61374700000000004</v>
      </c>
      <c r="F84" s="1">
        <v>0.58674000000000004</v>
      </c>
      <c r="I84">
        <v>582.64</v>
      </c>
      <c r="J84" s="1">
        <v>0.58316299999999999</v>
      </c>
      <c r="K84" s="1">
        <v>0.61055099999999995</v>
      </c>
      <c r="L84" s="1">
        <v>0.58376899999999998</v>
      </c>
      <c r="M84" s="1">
        <v>0.58244499999999999</v>
      </c>
      <c r="P84">
        <v>617.75300000000004</v>
      </c>
      <c r="Q84" s="1">
        <v>0.64407199999999998</v>
      </c>
      <c r="R84" s="1">
        <v>0.64153199999999999</v>
      </c>
      <c r="S84" s="1">
        <v>0.65184600000000004</v>
      </c>
      <c r="T84" s="1">
        <v>0.78129000000000004</v>
      </c>
      <c r="W84">
        <v>330.83699999999999</v>
      </c>
      <c r="X84">
        <v>351.54</v>
      </c>
      <c r="Y84">
        <v>739.74099999999999</v>
      </c>
      <c r="Z84">
        <v>941.55200000000002</v>
      </c>
      <c r="AA84">
        <v>717.84299999999996</v>
      </c>
      <c r="AD84">
        <v>345.83</v>
      </c>
      <c r="AE84">
        <v>335.28399999999999</v>
      </c>
      <c r="AF84">
        <v>720.95799999999997</v>
      </c>
      <c r="AG84">
        <v>907.73800000000006</v>
      </c>
      <c r="AH84">
        <v>735.07299999999998</v>
      </c>
      <c r="AK84">
        <v>354.50599999999997</v>
      </c>
      <c r="AL84">
        <v>367.93799999999999</v>
      </c>
      <c r="AM84">
        <v>728.56200000000001</v>
      </c>
      <c r="AN84">
        <v>757.38800000000003</v>
      </c>
      <c r="AO84">
        <v>707.66300000000001</v>
      </c>
    </row>
    <row r="85" spans="1:41" hidden="1">
      <c r="A85">
        <v>83</v>
      </c>
      <c r="B85">
        <v>591.12300000000005</v>
      </c>
      <c r="C85" s="1">
        <v>0.59233199999999997</v>
      </c>
      <c r="D85" s="1">
        <v>0.63584600000000002</v>
      </c>
      <c r="E85" s="1">
        <v>0.59083799999999997</v>
      </c>
      <c r="F85" s="1">
        <v>0.59679499999999996</v>
      </c>
      <c r="I85">
        <v>581.37900000000002</v>
      </c>
      <c r="J85" s="1">
        <v>0.60544500000000001</v>
      </c>
      <c r="K85" s="1">
        <v>0.58431100000000002</v>
      </c>
      <c r="L85" s="1">
        <v>0.58467499999999994</v>
      </c>
      <c r="M85" s="1">
        <v>0.58329900000000001</v>
      </c>
      <c r="P85">
        <v>610.84400000000005</v>
      </c>
      <c r="Q85" s="1">
        <v>0.77242599999999995</v>
      </c>
      <c r="R85" s="1">
        <v>0.59299500000000005</v>
      </c>
      <c r="S85" s="1">
        <v>0.60760999999999998</v>
      </c>
      <c r="T85" s="1">
        <v>0.58998899999999999</v>
      </c>
      <c r="U85" s="1"/>
      <c r="W85">
        <v>319.39600000000002</v>
      </c>
      <c r="X85">
        <v>362.72</v>
      </c>
      <c r="Y85">
        <v>725.62699999999995</v>
      </c>
      <c r="Z85">
        <v>1043.02</v>
      </c>
      <c r="AA85">
        <v>857.40599999999995</v>
      </c>
      <c r="AD85">
        <v>469.678</v>
      </c>
      <c r="AE85">
        <v>328.774</v>
      </c>
      <c r="AF85">
        <v>694.73299999999995</v>
      </c>
      <c r="AG85">
        <v>780.76700000000005</v>
      </c>
      <c r="AH85">
        <v>746.14700000000005</v>
      </c>
      <c r="AK85">
        <v>354.601</v>
      </c>
      <c r="AL85">
        <v>328.786</v>
      </c>
      <c r="AM85">
        <v>696.63300000000004</v>
      </c>
      <c r="AN85">
        <v>735.66</v>
      </c>
      <c r="AO85">
        <v>734.52</v>
      </c>
    </row>
    <row r="86" spans="1:41" hidden="1">
      <c r="A86">
        <v>84</v>
      </c>
      <c r="B86">
        <v>596.36900000000003</v>
      </c>
      <c r="C86" s="1">
        <v>0.64755600000000002</v>
      </c>
      <c r="D86" s="1">
        <v>0.63372899999999999</v>
      </c>
      <c r="E86" s="1">
        <v>0.60685699999999998</v>
      </c>
      <c r="F86" s="1">
        <v>0.58374599999999999</v>
      </c>
      <c r="I86">
        <v>582.43700000000001</v>
      </c>
      <c r="J86" s="1">
        <v>0.60991499999999998</v>
      </c>
      <c r="K86" s="1">
        <v>0.58336399999999999</v>
      </c>
      <c r="L86" s="1">
        <v>0.58174999999999999</v>
      </c>
      <c r="M86" s="1">
        <v>0.58133699999999999</v>
      </c>
      <c r="P86">
        <v>591.25099999999998</v>
      </c>
      <c r="Q86" s="1">
        <v>0.59202600000000005</v>
      </c>
      <c r="R86" s="1">
        <v>0.61844399999999999</v>
      </c>
      <c r="S86" s="1">
        <v>0.59672499999999995</v>
      </c>
      <c r="T86" s="1">
        <v>0.58823800000000004</v>
      </c>
      <c r="U86" s="1"/>
      <c r="W86">
        <v>371.66899999999998</v>
      </c>
      <c r="X86">
        <v>406.24700000000001</v>
      </c>
      <c r="Y86">
        <v>829.16200000000003</v>
      </c>
      <c r="Z86">
        <v>1088.55</v>
      </c>
      <c r="AA86">
        <v>812.80499999999995</v>
      </c>
      <c r="AD86">
        <v>326.49900000000002</v>
      </c>
      <c r="AE86">
        <v>327.46300000000002</v>
      </c>
      <c r="AF86">
        <v>692.65099999999995</v>
      </c>
      <c r="AG86">
        <v>761.48500000000001</v>
      </c>
      <c r="AH86">
        <v>703.16300000000001</v>
      </c>
      <c r="AK86">
        <v>331.43900000000002</v>
      </c>
      <c r="AL86">
        <v>328.36700000000002</v>
      </c>
      <c r="AM86">
        <v>695.58199999999999</v>
      </c>
      <c r="AN86">
        <v>735.69100000000003</v>
      </c>
      <c r="AO86">
        <v>737.54899999999998</v>
      </c>
    </row>
    <row r="87" spans="1:41" hidden="1">
      <c r="A87">
        <v>85</v>
      </c>
      <c r="B87">
        <v>632.04399999999998</v>
      </c>
      <c r="C87" s="1">
        <v>0.58923300000000001</v>
      </c>
      <c r="D87" s="1">
        <v>0.59062899999999996</v>
      </c>
      <c r="E87" s="1">
        <v>0.59340700000000002</v>
      </c>
      <c r="F87" s="1">
        <v>0.62673900000000005</v>
      </c>
      <c r="I87">
        <v>609.03300000000002</v>
      </c>
      <c r="J87" s="1">
        <v>0.58355800000000002</v>
      </c>
      <c r="K87" s="1">
        <v>0.58325000000000005</v>
      </c>
      <c r="L87" s="1">
        <v>0.582959</v>
      </c>
      <c r="M87" s="1">
        <v>0.59903300000000004</v>
      </c>
      <c r="P87">
        <v>592.83699999999999</v>
      </c>
      <c r="Q87" s="1">
        <v>0.61570599999999998</v>
      </c>
      <c r="R87" s="1">
        <v>0.59320600000000001</v>
      </c>
      <c r="S87" s="1">
        <v>0.59158699999999997</v>
      </c>
      <c r="T87" s="1">
        <v>0.58978600000000003</v>
      </c>
      <c r="U87" s="1"/>
      <c r="W87">
        <v>343.70400000000001</v>
      </c>
      <c r="X87">
        <v>365.125</v>
      </c>
      <c r="Y87">
        <v>740.44600000000003</v>
      </c>
      <c r="Z87">
        <v>1011.37</v>
      </c>
      <c r="AA87">
        <v>753.71699999999998</v>
      </c>
      <c r="AD87">
        <v>322.38499999999999</v>
      </c>
      <c r="AE87">
        <v>327.58600000000001</v>
      </c>
      <c r="AF87">
        <v>692.976</v>
      </c>
      <c r="AG87">
        <v>764.80499999999995</v>
      </c>
      <c r="AH87">
        <v>709.13499999999999</v>
      </c>
      <c r="AK87">
        <v>341.11399999999998</v>
      </c>
      <c r="AL87">
        <v>352.23599999999999</v>
      </c>
      <c r="AM87">
        <v>722.74</v>
      </c>
      <c r="AN87">
        <v>798.221</v>
      </c>
      <c r="AO87">
        <v>735.03399999999999</v>
      </c>
    </row>
    <row r="88" spans="1:41" hidden="1">
      <c r="A88">
        <v>86</v>
      </c>
      <c r="B88">
        <v>606.60400000000004</v>
      </c>
      <c r="C88" s="1">
        <v>0.60510600000000003</v>
      </c>
      <c r="D88" s="1">
        <v>0.59542799999999996</v>
      </c>
      <c r="E88" s="1">
        <v>0.60454300000000005</v>
      </c>
      <c r="F88" s="1">
        <v>0.61189000000000004</v>
      </c>
      <c r="I88">
        <v>581.16399999999999</v>
      </c>
      <c r="J88" s="1">
        <v>0.581955</v>
      </c>
      <c r="K88" s="1">
        <v>0.58587500000000003</v>
      </c>
      <c r="L88" s="1">
        <v>0.61582199999999998</v>
      </c>
      <c r="M88" s="1">
        <v>0.58512699999999995</v>
      </c>
      <c r="P88">
        <v>616.17700000000002</v>
      </c>
      <c r="Q88" s="1">
        <v>0.588453</v>
      </c>
      <c r="R88" s="1">
        <v>0.59216599999999997</v>
      </c>
      <c r="S88" s="1">
        <v>0.78078099999999995</v>
      </c>
      <c r="T88" s="1">
        <v>0.62012800000000001</v>
      </c>
      <c r="U88" s="1"/>
      <c r="W88">
        <v>337.38600000000002</v>
      </c>
      <c r="X88">
        <v>354.17700000000002</v>
      </c>
      <c r="Y88">
        <v>780.19200000000001</v>
      </c>
      <c r="Z88">
        <v>988.59</v>
      </c>
      <c r="AA88">
        <v>757.05499999999995</v>
      </c>
      <c r="AD88">
        <v>326.20400000000001</v>
      </c>
      <c r="AE88">
        <v>328.73500000000001</v>
      </c>
      <c r="AF88">
        <v>711.88599999999997</v>
      </c>
      <c r="AG88">
        <v>733.13199999999995</v>
      </c>
      <c r="AH88">
        <v>702.30899999999997</v>
      </c>
      <c r="AK88">
        <v>351.61500000000001</v>
      </c>
      <c r="AL88">
        <v>344.42</v>
      </c>
      <c r="AM88">
        <v>733.08399999999995</v>
      </c>
      <c r="AN88">
        <v>848.49400000000003</v>
      </c>
      <c r="AO88">
        <v>834.34100000000001</v>
      </c>
    </row>
    <row r="89" spans="1:41" hidden="1">
      <c r="A89">
        <v>87</v>
      </c>
      <c r="B89">
        <v>644.17499999999995</v>
      </c>
      <c r="C89" s="1">
        <v>0.60196899999999998</v>
      </c>
      <c r="D89" s="1">
        <v>0.593198</v>
      </c>
      <c r="E89" s="1">
        <v>0.61560300000000001</v>
      </c>
      <c r="F89" s="1">
        <v>0.58480399999999999</v>
      </c>
      <c r="I89">
        <v>582.84799999999996</v>
      </c>
      <c r="J89" s="1">
        <v>0.58350500000000005</v>
      </c>
      <c r="K89" s="1">
        <v>0.58211800000000002</v>
      </c>
      <c r="L89" s="1">
        <v>0.61168699999999998</v>
      </c>
      <c r="M89" s="1">
        <v>0.58406199999999997</v>
      </c>
      <c r="P89">
        <v>590.45500000000004</v>
      </c>
      <c r="Q89" s="1">
        <v>0.58874499999999996</v>
      </c>
      <c r="R89" s="1">
        <v>0.59118800000000005</v>
      </c>
      <c r="S89" s="1">
        <v>0.61830499999999999</v>
      </c>
      <c r="T89" s="1">
        <v>0.58685600000000004</v>
      </c>
      <c r="U89" s="1"/>
      <c r="W89">
        <v>339.18900000000002</v>
      </c>
      <c r="X89">
        <v>378.726</v>
      </c>
      <c r="Y89">
        <v>741.01199999999994</v>
      </c>
      <c r="Z89">
        <v>1046.04</v>
      </c>
      <c r="AA89">
        <v>800.56</v>
      </c>
      <c r="AD89">
        <v>320.31299999999999</v>
      </c>
      <c r="AE89">
        <v>328.12900000000002</v>
      </c>
      <c r="AF89">
        <v>747.779</v>
      </c>
      <c r="AG89">
        <v>741.91800000000001</v>
      </c>
      <c r="AH89">
        <v>733.41300000000001</v>
      </c>
      <c r="AK89">
        <v>386.21100000000001</v>
      </c>
      <c r="AL89">
        <v>392.14699999999999</v>
      </c>
      <c r="AM89">
        <v>779.65599999999995</v>
      </c>
      <c r="AN89">
        <v>872.64800000000002</v>
      </c>
      <c r="AO89">
        <v>820.72900000000004</v>
      </c>
    </row>
    <row r="90" spans="1:41" hidden="1">
      <c r="A90">
        <v>88</v>
      </c>
      <c r="B90">
        <v>603.67700000000002</v>
      </c>
      <c r="C90" s="1">
        <v>0.60033000000000003</v>
      </c>
      <c r="D90" s="1">
        <v>0.62582899999999997</v>
      </c>
      <c r="E90" s="1">
        <v>0.59776700000000005</v>
      </c>
      <c r="F90" s="1">
        <v>0.58428400000000003</v>
      </c>
      <c r="I90">
        <v>580.745</v>
      </c>
      <c r="J90" s="1">
        <v>0.58281300000000003</v>
      </c>
      <c r="K90" s="1">
        <v>0.60040300000000002</v>
      </c>
      <c r="L90" s="1">
        <v>0.58290500000000001</v>
      </c>
      <c r="M90" s="1">
        <v>0.57995699999999994</v>
      </c>
      <c r="P90">
        <v>588.65499999999997</v>
      </c>
      <c r="Q90" s="1">
        <v>0.59564399999999995</v>
      </c>
      <c r="R90" s="1">
        <v>0.691361</v>
      </c>
      <c r="S90" s="1">
        <v>0.66264100000000004</v>
      </c>
      <c r="T90" s="1">
        <v>0.59755499999999995</v>
      </c>
      <c r="U90" s="1"/>
      <c r="W90">
        <v>337.12700000000001</v>
      </c>
      <c r="X90">
        <v>336.291</v>
      </c>
      <c r="Y90">
        <v>712.38599999999997</v>
      </c>
      <c r="Z90">
        <v>939.601</v>
      </c>
      <c r="AA90">
        <v>746.80200000000002</v>
      </c>
      <c r="AD90">
        <v>333.15800000000002</v>
      </c>
      <c r="AE90">
        <v>359.56799999999998</v>
      </c>
      <c r="AF90">
        <v>726.95600000000002</v>
      </c>
      <c r="AG90">
        <v>759.84699999999998</v>
      </c>
      <c r="AH90">
        <v>761.45699999999999</v>
      </c>
      <c r="AK90">
        <v>402.26</v>
      </c>
      <c r="AL90">
        <v>360.69400000000002</v>
      </c>
      <c r="AM90">
        <v>888.971</v>
      </c>
      <c r="AN90">
        <v>843.19</v>
      </c>
      <c r="AO90">
        <v>777.66800000000001</v>
      </c>
    </row>
    <row r="91" spans="1:41" hidden="1">
      <c r="A91">
        <v>89</v>
      </c>
      <c r="B91">
        <v>588.39499999999998</v>
      </c>
      <c r="C91" s="1">
        <v>0.607491</v>
      </c>
      <c r="D91" s="1">
        <v>0.60691700000000004</v>
      </c>
      <c r="E91" s="1">
        <v>0.603383</v>
      </c>
      <c r="F91" s="1">
        <v>0.59024100000000002</v>
      </c>
      <c r="I91">
        <v>580.42399999999998</v>
      </c>
      <c r="J91" s="1">
        <v>0.60252099999999997</v>
      </c>
      <c r="K91" s="1">
        <v>0.66195300000000001</v>
      </c>
      <c r="L91" s="1">
        <v>0.584318</v>
      </c>
      <c r="M91" s="1">
        <v>0.58327200000000001</v>
      </c>
      <c r="P91">
        <v>600.64300000000003</v>
      </c>
      <c r="Q91" s="1">
        <v>0.62197599999999997</v>
      </c>
      <c r="R91" s="1">
        <v>0.61853899999999995</v>
      </c>
      <c r="S91" s="1">
        <v>0.61028700000000002</v>
      </c>
      <c r="T91" s="1">
        <v>0.62734400000000001</v>
      </c>
      <c r="U91" s="1"/>
      <c r="W91">
        <v>319.40800000000002</v>
      </c>
      <c r="X91">
        <v>347.673</v>
      </c>
      <c r="Y91">
        <v>756.98099999999999</v>
      </c>
      <c r="Z91">
        <v>1020.15</v>
      </c>
      <c r="AA91">
        <v>756.14700000000005</v>
      </c>
      <c r="AD91">
        <v>334.58600000000001</v>
      </c>
      <c r="AE91">
        <v>341.23399999999998</v>
      </c>
      <c r="AF91">
        <v>729.70500000000004</v>
      </c>
      <c r="AG91">
        <v>936.34900000000005</v>
      </c>
      <c r="AH91">
        <v>703.27300000000002</v>
      </c>
      <c r="AK91">
        <v>356.62799999999999</v>
      </c>
      <c r="AL91">
        <v>339.58300000000003</v>
      </c>
      <c r="AM91">
        <v>744.58900000000006</v>
      </c>
      <c r="AN91">
        <v>737.76</v>
      </c>
      <c r="AO91">
        <v>707.04</v>
      </c>
    </row>
    <row r="92" spans="1:41" hidden="1">
      <c r="A92">
        <v>90</v>
      </c>
      <c r="B92">
        <v>651.56600000000003</v>
      </c>
      <c r="C92" s="1">
        <v>0.59533499999999995</v>
      </c>
      <c r="D92" s="1">
        <v>0.59888600000000003</v>
      </c>
      <c r="E92" s="1">
        <v>0.60635899999999998</v>
      </c>
      <c r="F92" s="1">
        <v>0.58893099999999998</v>
      </c>
      <c r="I92">
        <v>598.11900000000003</v>
      </c>
      <c r="J92" s="1">
        <v>0.58402399999999999</v>
      </c>
      <c r="K92" s="1">
        <v>0.58469700000000002</v>
      </c>
      <c r="L92" s="1">
        <v>0.58304900000000004</v>
      </c>
      <c r="M92" s="1">
        <v>0.61370599999999997</v>
      </c>
      <c r="P92">
        <v>620.87099999999998</v>
      </c>
      <c r="Q92" s="1">
        <v>0.59714</v>
      </c>
      <c r="R92" s="1">
        <v>0.59978799999999999</v>
      </c>
      <c r="S92" s="1">
        <v>0.59348599999999996</v>
      </c>
      <c r="T92" s="1">
        <v>0.65155600000000002</v>
      </c>
      <c r="U92" s="1"/>
      <c r="W92">
        <v>375.41399999999999</v>
      </c>
      <c r="X92">
        <v>373.13799999999998</v>
      </c>
      <c r="Y92">
        <v>830.06100000000004</v>
      </c>
      <c r="Z92">
        <v>1137.9000000000001</v>
      </c>
      <c r="AA92">
        <v>840.33</v>
      </c>
      <c r="AD92">
        <v>327.26499999999999</v>
      </c>
      <c r="AE92">
        <v>329.87799999999999</v>
      </c>
      <c r="AF92">
        <v>692.58</v>
      </c>
      <c r="AG92">
        <v>756.86900000000003</v>
      </c>
      <c r="AH92">
        <v>702.34299999999996</v>
      </c>
      <c r="AK92">
        <v>330.98399999999998</v>
      </c>
      <c r="AL92">
        <v>343.57799999999997</v>
      </c>
      <c r="AM92">
        <v>694.51099999999997</v>
      </c>
      <c r="AN92">
        <v>735.76599999999996</v>
      </c>
      <c r="AO92">
        <v>771.53099999999995</v>
      </c>
    </row>
    <row r="93" spans="1:41" hidden="1">
      <c r="A93">
        <v>91</v>
      </c>
      <c r="B93">
        <v>622.19799999999998</v>
      </c>
      <c r="C93" s="1">
        <v>0.59332399999999996</v>
      </c>
      <c r="D93" s="1">
        <v>0.60815200000000003</v>
      </c>
      <c r="E93" s="1">
        <v>0.59145800000000004</v>
      </c>
      <c r="F93" s="1">
        <v>0.63547399999999998</v>
      </c>
      <c r="I93">
        <v>582.17399999999998</v>
      </c>
      <c r="J93" s="1">
        <v>0.58325499999999997</v>
      </c>
      <c r="K93" s="1">
        <v>0.58201499999999995</v>
      </c>
      <c r="L93" s="1">
        <v>0.58407100000000001</v>
      </c>
      <c r="M93" s="1">
        <v>0.60477099999999995</v>
      </c>
      <c r="P93">
        <v>595.03200000000004</v>
      </c>
      <c r="Q93" s="1">
        <v>0.59049300000000005</v>
      </c>
      <c r="R93" s="1">
        <v>0.59537899999999999</v>
      </c>
      <c r="S93" s="1">
        <v>0.63270000000000004</v>
      </c>
      <c r="T93" s="1">
        <v>0.59321199999999996</v>
      </c>
      <c r="U93" s="1"/>
      <c r="W93">
        <v>346.82299999999998</v>
      </c>
      <c r="X93">
        <v>440.28300000000002</v>
      </c>
      <c r="Y93">
        <v>794.29399999999998</v>
      </c>
      <c r="Z93">
        <v>1084.96</v>
      </c>
      <c r="AA93">
        <v>816.44799999999998</v>
      </c>
      <c r="AD93">
        <v>322.83699999999999</v>
      </c>
      <c r="AE93">
        <v>328.83699999999999</v>
      </c>
      <c r="AF93">
        <v>722.46</v>
      </c>
      <c r="AG93">
        <v>734.649</v>
      </c>
      <c r="AH93">
        <v>714.20100000000002</v>
      </c>
      <c r="AK93">
        <v>359.488</v>
      </c>
      <c r="AL93">
        <v>328.61599999999999</v>
      </c>
      <c r="AM93">
        <v>696.46900000000005</v>
      </c>
      <c r="AN93">
        <v>735.81</v>
      </c>
      <c r="AO93">
        <v>728.64</v>
      </c>
    </row>
    <row r="94" spans="1:41">
      <c r="A94">
        <v>92</v>
      </c>
      <c r="B94">
        <v>598.404</v>
      </c>
      <c r="C94" s="1">
        <v>0.60375699999999999</v>
      </c>
      <c r="D94" s="1">
        <v>0.59489199999999998</v>
      </c>
      <c r="E94" s="1">
        <v>0.61874300000000004</v>
      </c>
      <c r="F94" s="1">
        <v>0.58232399999999995</v>
      </c>
      <c r="I94">
        <v>582.90700000000004</v>
      </c>
      <c r="J94" s="1">
        <v>0.58159700000000003</v>
      </c>
      <c r="K94" s="1">
        <v>0.58203700000000003</v>
      </c>
      <c r="L94" s="1">
        <v>0.60646500000000003</v>
      </c>
      <c r="M94" s="1">
        <v>0.58101100000000006</v>
      </c>
      <c r="P94">
        <v>610.21699999999998</v>
      </c>
      <c r="Q94" s="1">
        <v>0.60112600000000005</v>
      </c>
      <c r="R94" s="1">
        <v>0.59513300000000002</v>
      </c>
      <c r="S94" s="1">
        <v>0.62426000000000004</v>
      </c>
      <c r="T94" s="1">
        <v>0.58942499999999998</v>
      </c>
      <c r="W94">
        <v>400.31099999999998</v>
      </c>
      <c r="X94">
        <v>394.791</v>
      </c>
      <c r="Y94">
        <v>787.69100000000003</v>
      </c>
      <c r="Z94">
        <v>996.07</v>
      </c>
      <c r="AA94">
        <v>777.35299999999995</v>
      </c>
      <c r="AD94">
        <v>352.93700000000001</v>
      </c>
      <c r="AE94">
        <v>336.90499999999997</v>
      </c>
      <c r="AF94">
        <v>742.41899999999998</v>
      </c>
      <c r="AG94">
        <v>732.29100000000005</v>
      </c>
      <c r="AH94">
        <v>699.76099999999997</v>
      </c>
      <c r="AK94">
        <v>333.447</v>
      </c>
      <c r="AL94">
        <v>338.42599999999999</v>
      </c>
      <c r="AM94">
        <v>714.80399999999997</v>
      </c>
      <c r="AN94">
        <v>762.55</v>
      </c>
      <c r="AO94">
        <v>766.87699999999995</v>
      </c>
    </row>
    <row r="95" spans="1:41">
      <c r="A95">
        <v>93</v>
      </c>
      <c r="B95">
        <v>608.32799999999997</v>
      </c>
      <c r="C95" s="1">
        <v>0.60340700000000003</v>
      </c>
      <c r="D95" s="1">
        <v>0.62522999999999995</v>
      </c>
      <c r="E95" s="1">
        <v>0.59191400000000005</v>
      </c>
      <c r="F95" s="1">
        <v>0.59885999999999995</v>
      </c>
      <c r="I95">
        <v>586.16499999999996</v>
      </c>
      <c r="J95" s="1">
        <v>0.59365999999999997</v>
      </c>
      <c r="K95" s="1">
        <v>0.61051999999999995</v>
      </c>
      <c r="L95" s="1">
        <v>0.59042399999999995</v>
      </c>
      <c r="M95" s="1">
        <v>0.588669</v>
      </c>
      <c r="P95">
        <v>595.03899999999999</v>
      </c>
      <c r="Q95" s="1">
        <v>0.59623599999999999</v>
      </c>
      <c r="R95" s="1">
        <v>0.63147399999999998</v>
      </c>
      <c r="S95" s="1">
        <v>0.59438599999999997</v>
      </c>
      <c r="T95" s="1">
        <v>0.587202</v>
      </c>
      <c r="U95" s="1"/>
      <c r="W95">
        <v>334.78199999999998</v>
      </c>
      <c r="X95">
        <v>352.24200000000002</v>
      </c>
      <c r="Y95">
        <v>766.77599999999995</v>
      </c>
      <c r="Z95">
        <v>1031.0899999999999</v>
      </c>
      <c r="AA95">
        <v>738.47900000000004</v>
      </c>
      <c r="AD95">
        <v>321.125</v>
      </c>
      <c r="AE95">
        <v>327.96899999999999</v>
      </c>
      <c r="AF95">
        <v>708.03099999999995</v>
      </c>
      <c r="AG95">
        <v>730.34699999999998</v>
      </c>
      <c r="AH95">
        <v>706.16700000000003</v>
      </c>
      <c r="AK95">
        <v>357.05700000000002</v>
      </c>
      <c r="AL95">
        <v>346.17899999999997</v>
      </c>
      <c r="AM95">
        <v>734.45299999999997</v>
      </c>
      <c r="AN95">
        <v>804.70600000000002</v>
      </c>
      <c r="AO95">
        <v>729.26700000000005</v>
      </c>
    </row>
    <row r="96" spans="1:41">
      <c r="A96">
        <v>94</v>
      </c>
      <c r="B96">
        <v>589.03099999999995</v>
      </c>
      <c r="C96" s="1">
        <v>0.59602200000000005</v>
      </c>
      <c r="D96" s="1">
        <v>0.63513500000000001</v>
      </c>
      <c r="E96" s="1">
        <v>0.594337</v>
      </c>
      <c r="F96" s="1">
        <v>0.58918099999999995</v>
      </c>
      <c r="I96">
        <v>582.39</v>
      </c>
      <c r="J96" s="1">
        <v>0.60146100000000002</v>
      </c>
      <c r="K96" s="1">
        <v>0.58388300000000004</v>
      </c>
      <c r="L96" s="1">
        <v>0.58385100000000001</v>
      </c>
      <c r="M96" s="1">
        <v>0.58159099999999997</v>
      </c>
      <c r="P96">
        <v>592.16899999999998</v>
      </c>
      <c r="Q96" s="1">
        <v>0.61467099999999997</v>
      </c>
      <c r="R96" s="1">
        <v>0.597387</v>
      </c>
      <c r="S96" s="1">
        <v>0.59917299999999996</v>
      </c>
      <c r="T96" s="1">
        <v>0.58901099999999995</v>
      </c>
      <c r="U96" s="1"/>
      <c r="W96">
        <v>320.49900000000002</v>
      </c>
      <c r="X96">
        <v>335.00200000000001</v>
      </c>
      <c r="Y96">
        <v>714.18100000000004</v>
      </c>
      <c r="Z96">
        <v>962.90700000000004</v>
      </c>
      <c r="AA96">
        <v>720.71299999999997</v>
      </c>
      <c r="AD96">
        <v>325.858</v>
      </c>
      <c r="AE96">
        <v>353.63200000000001</v>
      </c>
      <c r="AF96">
        <v>689.17700000000002</v>
      </c>
      <c r="AG96">
        <v>730.53899999999999</v>
      </c>
      <c r="AH96">
        <v>722.32899999999995</v>
      </c>
      <c r="AK96">
        <v>342.79500000000002</v>
      </c>
      <c r="AL96">
        <v>342.786</v>
      </c>
      <c r="AM96">
        <v>725.245</v>
      </c>
      <c r="AN96">
        <v>842.06700000000001</v>
      </c>
      <c r="AO96">
        <v>809.96400000000006</v>
      </c>
    </row>
    <row r="97" spans="1:41">
      <c r="A97">
        <v>95</v>
      </c>
      <c r="B97">
        <v>601.51599999999996</v>
      </c>
      <c r="C97" s="1">
        <v>0.60920200000000002</v>
      </c>
      <c r="D97" s="1">
        <v>0.60104999999999997</v>
      </c>
      <c r="E97" s="1">
        <v>0.59548699999999999</v>
      </c>
      <c r="F97" s="1">
        <v>0.60044699999999995</v>
      </c>
      <c r="I97">
        <v>605.577</v>
      </c>
      <c r="J97" s="1">
        <v>0.58429900000000001</v>
      </c>
      <c r="K97" s="1">
        <v>0.58257199999999998</v>
      </c>
      <c r="L97" s="1">
        <v>0.58313899999999996</v>
      </c>
      <c r="M97" s="1">
        <v>0.58225899999999997</v>
      </c>
      <c r="P97">
        <v>631.99</v>
      </c>
      <c r="Q97" s="1">
        <v>0.61985100000000004</v>
      </c>
      <c r="R97" s="1">
        <v>0.59841800000000001</v>
      </c>
      <c r="S97" s="1">
        <v>0.59497999999999995</v>
      </c>
      <c r="T97" s="1">
        <v>0.61926999999999999</v>
      </c>
      <c r="U97" s="1"/>
      <c r="W97">
        <v>338.76499999999999</v>
      </c>
      <c r="X97">
        <v>355.56200000000001</v>
      </c>
      <c r="Y97">
        <v>784.85</v>
      </c>
      <c r="Z97">
        <v>975.88900000000001</v>
      </c>
      <c r="AA97">
        <v>745.35199999999998</v>
      </c>
      <c r="AD97">
        <v>321.161</v>
      </c>
      <c r="AE97">
        <v>326.17399999999998</v>
      </c>
      <c r="AF97">
        <v>687.13599999999997</v>
      </c>
      <c r="AG97">
        <v>730.33600000000001</v>
      </c>
      <c r="AH97">
        <v>734.80399999999997</v>
      </c>
      <c r="AK97">
        <v>394.44799999999998</v>
      </c>
      <c r="AL97">
        <v>391.30500000000001</v>
      </c>
      <c r="AM97">
        <v>768.12900000000002</v>
      </c>
      <c r="AN97">
        <v>891.73099999999999</v>
      </c>
      <c r="AO97">
        <v>827.21299999999997</v>
      </c>
    </row>
    <row r="98" spans="1:41">
      <c r="A98">
        <v>96</v>
      </c>
      <c r="B98">
        <v>700.46400000000006</v>
      </c>
      <c r="C98" s="1">
        <v>0.59780199999999994</v>
      </c>
      <c r="D98" s="1">
        <v>0.59349799999999997</v>
      </c>
      <c r="E98" s="1">
        <v>0.60596399999999995</v>
      </c>
      <c r="F98" s="1">
        <v>0.61591200000000002</v>
      </c>
      <c r="I98">
        <v>603.70899999999995</v>
      </c>
      <c r="J98" s="1">
        <v>0.58366300000000004</v>
      </c>
      <c r="K98" s="1">
        <v>0.58282199999999995</v>
      </c>
      <c r="L98" s="1">
        <v>0.58385600000000004</v>
      </c>
      <c r="M98" s="1">
        <v>0.62134900000000004</v>
      </c>
      <c r="P98">
        <v>592.24</v>
      </c>
      <c r="Q98" s="1">
        <v>0.59550899999999996</v>
      </c>
      <c r="R98" s="1">
        <v>0.59494000000000002</v>
      </c>
      <c r="S98" s="1">
        <v>0.618838</v>
      </c>
      <c r="T98" s="1">
        <v>0.59473299999999996</v>
      </c>
      <c r="U98" s="1"/>
      <c r="W98">
        <v>358.69799999999998</v>
      </c>
      <c r="X98">
        <v>353.84100000000001</v>
      </c>
      <c r="Y98">
        <v>795.58600000000001</v>
      </c>
      <c r="Z98">
        <v>1105.78</v>
      </c>
      <c r="AA98">
        <v>957.846</v>
      </c>
      <c r="AD98">
        <v>325.62299999999999</v>
      </c>
      <c r="AE98">
        <v>326.51100000000002</v>
      </c>
      <c r="AF98">
        <v>692.12</v>
      </c>
      <c r="AG98">
        <v>757.88499999999999</v>
      </c>
      <c r="AH98">
        <v>706.30899999999997</v>
      </c>
      <c r="AK98">
        <v>399.64499999999998</v>
      </c>
      <c r="AL98">
        <v>368.10599999999999</v>
      </c>
      <c r="AM98">
        <v>738.99900000000002</v>
      </c>
      <c r="AN98">
        <v>737.30100000000004</v>
      </c>
      <c r="AO98">
        <v>723.97799999999995</v>
      </c>
    </row>
    <row r="99" spans="1:41">
      <c r="A99">
        <v>97</v>
      </c>
      <c r="B99">
        <v>603.67700000000002</v>
      </c>
      <c r="C99" s="1">
        <v>0.60926400000000003</v>
      </c>
      <c r="D99" s="1">
        <v>0.59106000000000003</v>
      </c>
      <c r="E99" s="1">
        <v>0.63275800000000004</v>
      </c>
      <c r="F99" s="1">
        <v>0.59509999999999996</v>
      </c>
      <c r="I99">
        <v>582.39700000000005</v>
      </c>
      <c r="J99" s="1">
        <v>0.58298300000000003</v>
      </c>
      <c r="K99" s="1">
        <v>0.58297100000000002</v>
      </c>
      <c r="L99" s="1">
        <v>0.58193700000000004</v>
      </c>
      <c r="M99" s="1">
        <v>0.61060099999999995</v>
      </c>
      <c r="P99">
        <v>606.20899999999995</v>
      </c>
      <c r="Q99" s="1">
        <v>0.59248000000000001</v>
      </c>
      <c r="R99" s="1">
        <v>0.62191700000000005</v>
      </c>
      <c r="S99" s="1">
        <v>0.59468699999999997</v>
      </c>
      <c r="T99" s="1">
        <v>0.58944799999999997</v>
      </c>
      <c r="U99" s="1"/>
      <c r="W99">
        <v>370.50200000000001</v>
      </c>
      <c r="X99">
        <v>402.94400000000002</v>
      </c>
      <c r="Y99">
        <v>818.84</v>
      </c>
      <c r="Z99">
        <v>1116.98</v>
      </c>
      <c r="AA99">
        <v>813.77700000000004</v>
      </c>
      <c r="AD99">
        <v>326.68099999999998</v>
      </c>
      <c r="AE99">
        <v>328.66899999999998</v>
      </c>
      <c r="AF99">
        <v>695.09299999999996</v>
      </c>
      <c r="AG99">
        <v>768.37199999999996</v>
      </c>
      <c r="AH99">
        <v>719.38499999999999</v>
      </c>
      <c r="AK99">
        <v>350.59</v>
      </c>
      <c r="AL99">
        <v>328.42899999999997</v>
      </c>
      <c r="AM99">
        <v>696.40099999999995</v>
      </c>
      <c r="AN99">
        <v>739.09799999999996</v>
      </c>
      <c r="AO99">
        <v>759.12400000000002</v>
      </c>
    </row>
    <row r="100" spans="1:41">
      <c r="A100">
        <v>98</v>
      </c>
      <c r="B100">
        <v>595.46799999999996</v>
      </c>
      <c r="C100" s="1">
        <v>0.58826500000000004</v>
      </c>
      <c r="D100" s="1">
        <v>0.61224299999999998</v>
      </c>
      <c r="E100" s="1">
        <v>0.60054399999999997</v>
      </c>
      <c r="F100" s="1">
        <v>0.59025499999999997</v>
      </c>
      <c r="I100">
        <v>582.13</v>
      </c>
      <c r="J100" s="1">
        <v>0.58206599999999997</v>
      </c>
      <c r="K100" s="1">
        <v>0.58579800000000004</v>
      </c>
      <c r="L100" s="1">
        <v>0.60254099999999999</v>
      </c>
      <c r="M100" s="1">
        <v>0.58113499999999996</v>
      </c>
      <c r="P100">
        <v>593.27200000000005</v>
      </c>
      <c r="Q100" s="1">
        <v>0.61565099999999995</v>
      </c>
      <c r="R100" s="1">
        <v>0.59692900000000004</v>
      </c>
      <c r="S100" s="1">
        <v>0.59581200000000001</v>
      </c>
      <c r="T100" s="1">
        <v>0.59087199999999995</v>
      </c>
      <c r="U100" s="1"/>
      <c r="W100">
        <v>357.15600000000001</v>
      </c>
      <c r="X100">
        <v>379.34899999999999</v>
      </c>
      <c r="Y100">
        <v>881.86699999999996</v>
      </c>
      <c r="Z100">
        <v>1128.8499999999999</v>
      </c>
      <c r="AA100">
        <v>794.57</v>
      </c>
      <c r="AD100">
        <v>330.53300000000002</v>
      </c>
      <c r="AE100">
        <v>329.67700000000002</v>
      </c>
      <c r="AF100">
        <v>714.35199999999998</v>
      </c>
      <c r="AG100">
        <v>737.26499999999999</v>
      </c>
      <c r="AH100">
        <v>703.43299999999999</v>
      </c>
      <c r="AK100">
        <v>344.05700000000002</v>
      </c>
      <c r="AL100">
        <v>349.11900000000003</v>
      </c>
      <c r="AM100">
        <v>728.22199999999998</v>
      </c>
      <c r="AN100">
        <v>739.77200000000005</v>
      </c>
      <c r="AO100">
        <v>741.61599999999999</v>
      </c>
    </row>
    <row r="101" spans="1:41">
      <c r="A101">
        <v>99</v>
      </c>
      <c r="B101">
        <v>596.96</v>
      </c>
      <c r="C101" s="1">
        <v>0.59294800000000003</v>
      </c>
      <c r="D101" s="1">
        <v>0.64259900000000003</v>
      </c>
      <c r="E101" s="1">
        <v>0.60813899999999999</v>
      </c>
      <c r="F101" s="1">
        <v>0.59323300000000001</v>
      </c>
      <c r="I101">
        <v>580.51900000000001</v>
      </c>
      <c r="J101" s="1">
        <v>0.58298000000000005</v>
      </c>
      <c r="K101" s="1">
        <v>0.59883799999999998</v>
      </c>
      <c r="L101" s="1">
        <v>0.58515499999999998</v>
      </c>
      <c r="M101" s="1">
        <v>0.63435900000000001</v>
      </c>
      <c r="P101">
        <v>592.45500000000004</v>
      </c>
      <c r="Q101" s="1">
        <v>0.61602199999999996</v>
      </c>
      <c r="R101" s="1">
        <v>0.59587000000000001</v>
      </c>
      <c r="S101" s="1">
        <v>0.59528800000000004</v>
      </c>
      <c r="T101" s="1">
        <v>0.58998399999999995</v>
      </c>
      <c r="U101" s="1"/>
      <c r="W101">
        <v>342.92399999999998</v>
      </c>
      <c r="X101">
        <v>353.50200000000001</v>
      </c>
      <c r="Y101">
        <v>735.92</v>
      </c>
      <c r="Z101">
        <v>940.27300000000002</v>
      </c>
      <c r="AA101">
        <v>718.80399999999997</v>
      </c>
      <c r="AD101">
        <v>332.73599999999999</v>
      </c>
      <c r="AE101">
        <v>333.17599999999999</v>
      </c>
      <c r="AF101">
        <v>718.85199999999998</v>
      </c>
      <c r="AG101">
        <v>742.83100000000002</v>
      </c>
      <c r="AH101">
        <v>709.38599999999997</v>
      </c>
      <c r="AK101">
        <v>352.22399999999999</v>
      </c>
      <c r="AL101">
        <v>334.92700000000002</v>
      </c>
      <c r="AM101">
        <v>697.61800000000005</v>
      </c>
      <c r="AN101">
        <v>770.25699999999995</v>
      </c>
      <c r="AO101">
        <v>723.41600000000005</v>
      </c>
    </row>
    <row r="102" spans="1:41">
      <c r="A102">
        <v>100</v>
      </c>
      <c r="B102" s="17">
        <v>593.95000000000005</v>
      </c>
      <c r="C102" s="60">
        <v>0.62450700000000003</v>
      </c>
      <c r="D102" s="60">
        <v>0.60540099999999997</v>
      </c>
      <c r="E102" s="60">
        <v>0.59920399999999996</v>
      </c>
      <c r="F102" s="60">
        <v>0.59691000000000005</v>
      </c>
      <c r="I102" s="17">
        <v>581.22699999999998</v>
      </c>
      <c r="J102" s="60">
        <v>0.60875800000000002</v>
      </c>
      <c r="K102" s="60">
        <v>0.58250199999999996</v>
      </c>
      <c r="L102" s="60">
        <v>0.58289199999999997</v>
      </c>
      <c r="M102" s="60">
        <v>0.58305099999999999</v>
      </c>
      <c r="P102" s="17">
        <v>632.02</v>
      </c>
      <c r="Q102" s="60">
        <v>0.58985799999999999</v>
      </c>
      <c r="R102" s="60">
        <v>0.59542499999999998</v>
      </c>
      <c r="S102" s="60">
        <v>0.59415799999999996</v>
      </c>
      <c r="T102" s="60">
        <v>0.61685699999999999</v>
      </c>
      <c r="U102" s="1"/>
      <c r="W102" s="17">
        <v>344.86200000000002</v>
      </c>
      <c r="X102" s="17">
        <v>335.23899999999998</v>
      </c>
      <c r="Y102" s="17">
        <v>713.47799999999995</v>
      </c>
      <c r="Z102" s="17">
        <v>949.226</v>
      </c>
      <c r="AA102" s="17">
        <v>781.66499999999996</v>
      </c>
      <c r="AD102" s="17">
        <v>326.11</v>
      </c>
      <c r="AE102" s="17">
        <v>352.53300000000002</v>
      </c>
      <c r="AF102" s="17">
        <v>750.77200000000005</v>
      </c>
      <c r="AG102" s="17">
        <v>748.47</v>
      </c>
      <c r="AH102" s="17">
        <v>752.096</v>
      </c>
      <c r="AK102" s="17">
        <v>331.31</v>
      </c>
      <c r="AL102" s="17">
        <v>327.74099999999999</v>
      </c>
      <c r="AM102" s="17">
        <v>696.6</v>
      </c>
      <c r="AN102" s="17">
        <v>762.67600000000004</v>
      </c>
      <c r="AO102" s="17">
        <v>715.529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AVERAGE(Encrypt16x32[ECB])</f>
        <v>608.40352000000007</v>
      </c>
      <c r="C106" s="29">
        <f>AVERAGE(Encrypt16x32[CBC])</f>
        <v>0.60771479000000017</v>
      </c>
      <c r="D106" s="29">
        <f>AVERAGE(Encrypt16x32[OFB])</f>
        <v>0.60642534000000015</v>
      </c>
      <c r="E106" s="29">
        <f>AVERAGE(Encrypt16x32[CFB])</f>
        <v>0.60762368000000011</v>
      </c>
      <c r="F106" s="29">
        <f>AVERAGE(Encrypt16x32[CTR])</f>
        <v>0.60431409000000003</v>
      </c>
      <c r="G106" s="26"/>
      <c r="H106" s="28" t="s">
        <v>8</v>
      </c>
      <c r="I106" s="29">
        <f>AVERAGE(Encrypt24x32[ECB])</f>
        <v>591.50602000000003</v>
      </c>
      <c r="J106" s="29">
        <f>AVERAGE(Encrypt24x32[CBC])</f>
        <v>0.59102666000000026</v>
      </c>
      <c r="K106" s="29">
        <f>AVERAGE(Encrypt24x32[OFB])</f>
        <v>0.59110143000000015</v>
      </c>
      <c r="L106" s="29">
        <f>AVERAGE(Encrypt24x32[CFB])</f>
        <v>0.59286342000000003</v>
      </c>
      <c r="M106" s="29">
        <f>AVERAGE(Encrypt24x32[CTR])</f>
        <v>0.59049072000000014</v>
      </c>
      <c r="N106" s="26"/>
      <c r="O106" s="28" t="s">
        <v>8</v>
      </c>
      <c r="P106" s="29">
        <f>AVERAGE(Encrypt32x32[ECB])</f>
        <v>600.46119999999974</v>
      </c>
      <c r="Q106" s="29">
        <f>AVERAGE(Encrypt32x32[CBC])</f>
        <v>0.6031778400000003</v>
      </c>
      <c r="R106" s="29">
        <f>AVERAGE(Encrypt32x32[OFB])</f>
        <v>0.60496234000000004</v>
      </c>
      <c r="S106" s="29">
        <f>AVERAGE(Encrypt32x32[CFB])</f>
        <v>0.6055059399999998</v>
      </c>
      <c r="T106" s="29">
        <f>AVERAGE(Encrypt32x32[CTR])</f>
        <v>0.60078033999999969</v>
      </c>
      <c r="U106" s="26"/>
      <c r="V106" s="28" t="s">
        <v>8</v>
      </c>
      <c r="W106" s="29">
        <f>AVERAGE(Decrypt16x32[ECB])</f>
        <v>350.32823000000002</v>
      </c>
      <c r="X106" s="29">
        <f>AVERAGE(Decrypt16x32[CBC])</f>
        <v>371.24275</v>
      </c>
      <c r="Y106" s="29">
        <f>AVERAGE(Decrypt16x32[OFB])</f>
        <v>779.07748000000004</v>
      </c>
      <c r="Z106" s="29">
        <f>AVERAGE(Decrypt16x32[CFB])</f>
        <v>1027.2411400000001</v>
      </c>
      <c r="AA106" s="29">
        <f>AVERAGE(Decrypt16x32[CTR])</f>
        <v>784.01287000000025</v>
      </c>
      <c r="AB106" s="26"/>
      <c r="AC106" s="28" t="s">
        <v>8</v>
      </c>
      <c r="AD106" s="29">
        <f>AVERAGE(Decrypt24x32[ECB])</f>
        <v>356.35649999999993</v>
      </c>
      <c r="AE106" s="29">
        <f>AVERAGE(Decrypt24x32[CBC])</f>
        <v>355.06464</v>
      </c>
      <c r="AF106" s="29">
        <f>AVERAGE(Decrypt24x32[OFB])</f>
        <v>753.76609999999982</v>
      </c>
      <c r="AG106" s="29">
        <f>AVERAGE(Decrypt24x32[CFB])</f>
        <v>795.59422999999992</v>
      </c>
      <c r="AH106" s="29">
        <f>AVERAGE(Decrypt24x32[CTR])</f>
        <v>764.77648999999951</v>
      </c>
      <c r="AI106" s="26"/>
      <c r="AJ106" s="28" t="s">
        <v>8</v>
      </c>
      <c r="AK106" s="29">
        <f>AVERAGE(Decrypt32x32[ECB])</f>
        <v>361.75540000000001</v>
      </c>
      <c r="AL106" s="29">
        <f>AVERAGE(Decrypt32x32[CBC])</f>
        <v>356.05535999999995</v>
      </c>
      <c r="AM106" s="29">
        <f>AVERAGE(Decrypt32x32[OFB])</f>
        <v>753.73851999999988</v>
      </c>
      <c r="AN106" s="29">
        <f>AVERAGE(Decrypt32x32[CFB])</f>
        <v>795.13630000000023</v>
      </c>
      <c r="AO106" s="29">
        <f>AVERAGE(Decrypt32x32[CTR])</f>
        <v>770.82877999999994</v>
      </c>
    </row>
    <row r="107" spans="1:41">
      <c r="A107" s="30" t="s">
        <v>10</v>
      </c>
      <c r="B107" s="29">
        <f>MIN(Encrypt16x32[ECB])</f>
        <v>580.56299999999999</v>
      </c>
      <c r="C107" s="29">
        <f>MIN(Encrypt16x32[CBC])</f>
        <v>0.58245800000000003</v>
      </c>
      <c r="D107" s="29">
        <f>MIN(Encrypt16x32[OFB])</f>
        <v>0.58478300000000005</v>
      </c>
      <c r="E107" s="29">
        <f>MIN(Encrypt16x32[CFB])</f>
        <v>0.58712900000000001</v>
      </c>
      <c r="F107" s="29">
        <f>MIN(Encrypt16x32[CTR])</f>
        <v>0.58232399999999995</v>
      </c>
      <c r="G107" s="26"/>
      <c r="H107" s="31" t="s">
        <v>10</v>
      </c>
      <c r="I107" s="29">
        <f>MIN(Encrypt24x32[ECB])</f>
        <v>580.42399999999998</v>
      </c>
      <c r="J107" s="29">
        <f>MIN(Encrypt24x32[CBC])</f>
        <v>0.58119699999999996</v>
      </c>
      <c r="K107" s="29">
        <f>MIN(Encrypt24x32[OFB])</f>
        <v>0.580627</v>
      </c>
      <c r="L107" s="29">
        <f>MIN(Encrypt24x32[CFB])</f>
        <v>0.581399</v>
      </c>
      <c r="M107" s="29">
        <f>MIN(Encrypt24x32[CTR])</f>
        <v>0.57942099999999996</v>
      </c>
      <c r="N107" s="26"/>
      <c r="O107" s="31" t="s">
        <v>10</v>
      </c>
      <c r="P107" s="29">
        <f>MIN(Encrypt32x32[ECB])</f>
        <v>588.26900000000001</v>
      </c>
      <c r="Q107" s="29">
        <f>MIN(Encrypt32x32[CBC])</f>
        <v>0.58796000000000004</v>
      </c>
      <c r="R107" s="29">
        <f>MIN(Encrypt32x32[OFB])</f>
        <v>0.59041500000000002</v>
      </c>
      <c r="S107" s="29">
        <f>MIN(Encrypt32x32[CFB])</f>
        <v>0.59153100000000003</v>
      </c>
      <c r="T107" s="29">
        <f>MIN(Encrypt32x32[CTR])</f>
        <v>0.58655500000000005</v>
      </c>
      <c r="U107" s="26"/>
      <c r="V107" s="30" t="s">
        <v>10</v>
      </c>
      <c r="W107" s="29">
        <f>MIN(Decrypt16x32[ECB])</f>
        <v>317.73899999999998</v>
      </c>
      <c r="X107" s="29">
        <f>MIN(Decrypt16x32[CBC])</f>
        <v>316.416</v>
      </c>
      <c r="Y107" s="29">
        <f>MIN(Decrypt16x32[OFB])</f>
        <v>705.91200000000003</v>
      </c>
      <c r="Z107" s="29">
        <f>MIN(Decrypt16x32[CFB])</f>
        <v>939.601</v>
      </c>
      <c r="AA107" s="29">
        <f>MIN(Decrypt16x32[CTR])</f>
        <v>716.91700000000003</v>
      </c>
      <c r="AB107" s="26"/>
      <c r="AC107" s="31" t="s">
        <v>10</v>
      </c>
      <c r="AD107" s="29">
        <f>MIN(Decrypt24x32[ECB])</f>
        <v>320.31299999999999</v>
      </c>
      <c r="AE107" s="29">
        <f>MIN(Decrypt24x32[CBC])</f>
        <v>326.17399999999998</v>
      </c>
      <c r="AF107" s="29">
        <f>MIN(Decrypt24x32[OFB])</f>
        <v>687.13599999999997</v>
      </c>
      <c r="AG107" s="29">
        <f>MIN(Decrypt24x32[CFB])</f>
        <v>730.33600000000001</v>
      </c>
      <c r="AH107" s="29">
        <f>MIN(Decrypt24x32[CTR])</f>
        <v>698.52</v>
      </c>
      <c r="AI107" s="26"/>
      <c r="AJ107" s="31" t="s">
        <v>10</v>
      </c>
      <c r="AK107" s="29">
        <f>MIN(Decrypt32x32[ECB])</f>
        <v>330.79500000000002</v>
      </c>
      <c r="AL107" s="29">
        <f>MIN(Decrypt32x32[CBC])</f>
        <v>326.92599999999999</v>
      </c>
      <c r="AM107" s="29">
        <f>MIN(Decrypt32x32[OFB])</f>
        <v>694.51099999999997</v>
      </c>
      <c r="AN107" s="29">
        <f>MIN(Decrypt32x32[CFB])</f>
        <v>735.66</v>
      </c>
      <c r="AO107" s="29">
        <f>MIN(Decrypt32x32[CTR])</f>
        <v>707.04</v>
      </c>
    </row>
    <row r="108" spans="1:41">
      <c r="A108" s="28" t="s">
        <v>11</v>
      </c>
      <c r="B108" s="29">
        <f>MAX(Encrypt16x32[ECB])</f>
        <v>701.77</v>
      </c>
      <c r="C108" s="29">
        <f>MAX(Encrypt16x32[CBC])</f>
        <v>0.70157999999999998</v>
      </c>
      <c r="D108" s="29">
        <f>MAX(Encrypt16x32[OFB])</f>
        <v>0.70856600000000003</v>
      </c>
      <c r="E108" s="29">
        <f>MAX(Encrypt16x32[CFB])</f>
        <v>0.694268</v>
      </c>
      <c r="F108" s="29">
        <f>MAX(Encrypt16x32[CTR])</f>
        <v>0.71203099999999997</v>
      </c>
      <c r="G108" s="26"/>
      <c r="H108" s="32" t="s">
        <v>11</v>
      </c>
      <c r="I108" s="29">
        <f>MAX(Encrypt24x32[ECB])</f>
        <v>677.19299999999998</v>
      </c>
      <c r="J108" s="29">
        <f>MAX(Encrypt24x32[CBC])</f>
        <v>0.65286299999999997</v>
      </c>
      <c r="K108" s="29">
        <f>MAX(Encrypt24x32[OFB])</f>
        <v>0.66195300000000001</v>
      </c>
      <c r="L108" s="29">
        <f>MAX(Encrypt24x32[CFB])</f>
        <v>0.67401299999999997</v>
      </c>
      <c r="M108" s="29">
        <f>MAX(Encrypt24x32[CTR])</f>
        <v>0.69999900000000004</v>
      </c>
      <c r="N108" s="26"/>
      <c r="O108" s="32" t="s">
        <v>11</v>
      </c>
      <c r="P108" s="29">
        <f>MAX(Encrypt32x32[ECB])</f>
        <v>666.07299999999998</v>
      </c>
      <c r="Q108" s="29">
        <f>MAX(Encrypt32x32[CBC])</f>
        <v>0.77242599999999995</v>
      </c>
      <c r="R108" s="29">
        <f>MAX(Encrypt32x32[OFB])</f>
        <v>0.72878299999999996</v>
      </c>
      <c r="S108" s="29">
        <f>MAX(Encrypt32x32[CFB])</f>
        <v>0.78078099999999995</v>
      </c>
      <c r="T108" s="29">
        <f>MAX(Encrypt32x32[CTR])</f>
        <v>0.78129000000000004</v>
      </c>
      <c r="U108" s="26"/>
      <c r="V108" s="28" t="s">
        <v>11</v>
      </c>
      <c r="W108" s="29">
        <f>MAX(Decrypt16x32[ECB])</f>
        <v>420.62299999999999</v>
      </c>
      <c r="X108" s="29">
        <f>MAX(Decrypt16x32[CBC])</f>
        <v>452.41500000000002</v>
      </c>
      <c r="Y108" s="29">
        <f>MAX(Decrypt16x32[OFB])</f>
        <v>972.08799999999997</v>
      </c>
      <c r="Z108" s="29">
        <f>MAX(Decrypt16x32[CFB])</f>
        <v>1218.31</v>
      </c>
      <c r="AA108" s="29">
        <f>MAX(Decrypt16x32[CTR])</f>
        <v>957.846</v>
      </c>
      <c r="AB108" s="26"/>
      <c r="AC108" s="32" t="s">
        <v>11</v>
      </c>
      <c r="AD108" s="29">
        <f>MAX(Decrypt24x32[ECB])</f>
        <v>469.678</v>
      </c>
      <c r="AE108" s="29">
        <f>MAX(Decrypt24x32[CBC])</f>
        <v>538.86300000000006</v>
      </c>
      <c r="AF108" s="29">
        <f>MAX(Decrypt24x32[OFB])</f>
        <v>1381.15</v>
      </c>
      <c r="AG108" s="29">
        <f>MAX(Decrypt24x32[CFB])</f>
        <v>1150.8499999999999</v>
      </c>
      <c r="AH108" s="29">
        <f>MAX(Decrypt24x32[CTR])</f>
        <v>966.98699999999997</v>
      </c>
      <c r="AI108" s="26"/>
      <c r="AJ108" s="32" t="s">
        <v>11</v>
      </c>
      <c r="AK108" s="29">
        <f>MAX(Decrypt32x32[ECB])</f>
        <v>505.67200000000003</v>
      </c>
      <c r="AL108" s="29">
        <f>MAX(Decrypt32x32[CBC])</f>
        <v>469.15800000000002</v>
      </c>
      <c r="AM108" s="29">
        <f>MAX(Decrypt32x32[OFB])</f>
        <v>1072.6600000000001</v>
      </c>
      <c r="AN108" s="29">
        <f>MAX(Decrypt32x32[CFB])</f>
        <v>1070.53</v>
      </c>
      <c r="AO108" s="29">
        <f>MAX(Decrypt32x32[CTR])</f>
        <v>1093.83</v>
      </c>
    </row>
    <row r="109" spans="1:41">
      <c r="A109" s="33" t="s">
        <v>9</v>
      </c>
      <c r="B109" s="29">
        <f>MEDIAN(Encrypt16x32[ECB])</f>
        <v>600.15499999999997</v>
      </c>
      <c r="C109" s="29">
        <f>MEDIAN(Encrypt16x32[CBC])</f>
        <v>0.60118199999999999</v>
      </c>
      <c r="D109" s="29">
        <f>MEDIAN(Encrypt16x32[OFB])</f>
        <v>0.59886050000000002</v>
      </c>
      <c r="E109" s="29">
        <f>MEDIAN(Encrypt16x32[CFB])</f>
        <v>0.60056500000000002</v>
      </c>
      <c r="F109" s="29">
        <f>MEDIAN(Encrypt16x32[CTR])</f>
        <v>0.59882550000000001</v>
      </c>
      <c r="G109" s="26"/>
      <c r="H109" s="34" t="s">
        <v>9</v>
      </c>
      <c r="I109" s="29">
        <f>MEDIAN(Encrypt24x32[ECB])</f>
        <v>583.22299999999996</v>
      </c>
      <c r="J109" s="29">
        <f>MEDIAN(Encrypt24x32[CBC])</f>
        <v>0.58416950000000001</v>
      </c>
      <c r="K109" s="29">
        <f>MEDIAN(Encrypt24x32[OFB])</f>
        <v>0.58389000000000002</v>
      </c>
      <c r="L109" s="29">
        <f>MEDIAN(Encrypt24x32[CFB])</f>
        <v>0.58432949999999995</v>
      </c>
      <c r="M109" s="29">
        <f>MEDIAN(Encrypt24x32[CTR])</f>
        <v>0.58318249999999994</v>
      </c>
      <c r="N109" s="26"/>
      <c r="O109" s="34" t="s">
        <v>9</v>
      </c>
      <c r="P109" s="29">
        <f>MEDIAN(Encrypt32x32[ECB])</f>
        <v>592.26150000000007</v>
      </c>
      <c r="Q109" s="29">
        <f>MEDIAN(Encrypt32x32[CBC])</f>
        <v>0.59198400000000007</v>
      </c>
      <c r="R109" s="29">
        <f>MEDIAN(Encrypt32x32[OFB])</f>
        <v>0.59503649999999997</v>
      </c>
      <c r="S109" s="29">
        <f>MEDIAN(Encrypt32x32[CFB])</f>
        <v>0.59525150000000004</v>
      </c>
      <c r="T109" s="29">
        <f>MEDIAN(Encrypt32x32[CTR])</f>
        <v>0.59082250000000003</v>
      </c>
      <c r="U109" s="26"/>
      <c r="V109" s="33" t="s">
        <v>9</v>
      </c>
      <c r="W109" s="29">
        <f>MEDIAN(Decrypt16x32[ECB])</f>
        <v>341.97300000000001</v>
      </c>
      <c r="X109" s="29">
        <f>MEDIAN(Decrypt16x32[CBC])</f>
        <v>361.887</v>
      </c>
      <c r="Y109" s="29">
        <f>MEDIAN(Decrypt16x32[OFB])</f>
        <v>771.86400000000003</v>
      </c>
      <c r="Z109" s="29">
        <f>MEDIAN(Decrypt16x32[CFB])</f>
        <v>1011.89</v>
      </c>
      <c r="AA109" s="29">
        <f>MEDIAN(Decrypt16x32[CTR])</f>
        <v>768.05</v>
      </c>
      <c r="AB109" s="26"/>
      <c r="AC109" s="34" t="s">
        <v>9</v>
      </c>
      <c r="AD109" s="29">
        <f>MEDIAN(Decrypt24x32[ECB])</f>
        <v>344.21800000000002</v>
      </c>
      <c r="AE109" s="29">
        <f>MEDIAN(Decrypt24x32[CBC])</f>
        <v>346.00799999999998</v>
      </c>
      <c r="AF109" s="29">
        <f>MEDIAN(Decrypt24x32[OFB])</f>
        <v>733.75299999999993</v>
      </c>
      <c r="AG109" s="29">
        <f>MEDIAN(Decrypt24x32[CFB])</f>
        <v>779.39750000000004</v>
      </c>
      <c r="AH109" s="29">
        <f>MEDIAN(Decrypt24x32[CTR])</f>
        <v>751.2</v>
      </c>
      <c r="AI109" s="26"/>
      <c r="AJ109" s="34" t="s">
        <v>9</v>
      </c>
      <c r="AK109" s="29">
        <f>MEDIAN(Decrypt32x32[ECB])</f>
        <v>351.24400000000003</v>
      </c>
      <c r="AL109" s="29">
        <f>MEDIAN(Decrypt32x32[CBC])</f>
        <v>344.70799999999997</v>
      </c>
      <c r="AM109" s="29">
        <f>MEDIAN(Decrypt32x32[OFB])</f>
        <v>730.149</v>
      </c>
      <c r="AN109" s="29">
        <f>MEDIAN(Decrypt32x32[CFB])</f>
        <v>771.58899999999994</v>
      </c>
      <c r="AO109" s="29">
        <f>MEDIAN(Decrypt32x32[CTR])</f>
        <v>741.85300000000007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9"/>
  <sheetViews>
    <sheetView workbookViewId="0">
      <selection activeCell="AP114" sqref="AP114"/>
    </sheetView>
  </sheetViews>
  <sheetFormatPr baseColWidth="10" defaultRowHeight="15" x14ac:dyDescent="0"/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1182.73</v>
      </c>
      <c r="C3">
        <v>1.1881200000000001</v>
      </c>
      <c r="D3">
        <v>1.1995800000000001</v>
      </c>
      <c r="E3">
        <v>1.1820999999999999</v>
      </c>
      <c r="F3">
        <v>1.15435</v>
      </c>
      <c r="I3">
        <v>1270.1099999999999</v>
      </c>
      <c r="J3">
        <v>1.19983</v>
      </c>
      <c r="K3">
        <v>1.16849</v>
      </c>
      <c r="L3">
        <v>1.1924399999999999</v>
      </c>
      <c r="M3">
        <v>1.1692400000000001</v>
      </c>
      <c r="P3">
        <v>1385.54</v>
      </c>
      <c r="Q3">
        <v>1.40618</v>
      </c>
      <c r="R3">
        <v>1.2461800000000001</v>
      </c>
      <c r="S3">
        <v>1.2317400000000001</v>
      </c>
      <c r="T3">
        <v>1.16171</v>
      </c>
      <c r="W3">
        <v>641.20600000000002</v>
      </c>
      <c r="X3">
        <v>643.947</v>
      </c>
      <c r="Y3">
        <v>1441.47</v>
      </c>
      <c r="Z3">
        <v>1621.3</v>
      </c>
      <c r="AA3">
        <v>1810.52</v>
      </c>
      <c r="AD3">
        <v>786.41600000000005</v>
      </c>
      <c r="AE3">
        <v>649.68899999999996</v>
      </c>
      <c r="AF3">
        <v>1554.34</v>
      </c>
      <c r="AG3">
        <v>2325.73</v>
      </c>
      <c r="AH3">
        <v>1596.52</v>
      </c>
      <c r="AK3">
        <v>813.94899999999996</v>
      </c>
      <c r="AL3">
        <v>686.51300000000003</v>
      </c>
      <c r="AM3">
        <v>1624.56</v>
      </c>
      <c r="AN3">
        <v>1719.05</v>
      </c>
      <c r="AO3">
        <v>1618.28</v>
      </c>
    </row>
    <row r="4" spans="1:41">
      <c r="A4">
        <v>2</v>
      </c>
      <c r="B4">
        <v>1172.77</v>
      </c>
      <c r="C4">
        <v>1.1597599999999999</v>
      </c>
      <c r="D4">
        <v>1.18784</v>
      </c>
      <c r="E4">
        <v>1.16221</v>
      </c>
      <c r="F4">
        <v>1.17974</v>
      </c>
      <c r="I4">
        <v>1170.27</v>
      </c>
      <c r="J4">
        <v>1.18906</v>
      </c>
      <c r="K4">
        <v>1.1685399999999999</v>
      </c>
      <c r="L4">
        <v>1.1881200000000001</v>
      </c>
      <c r="M4">
        <v>1.16839</v>
      </c>
      <c r="P4">
        <v>1182.3499999999999</v>
      </c>
      <c r="Q4">
        <v>1.1568499999999999</v>
      </c>
      <c r="R4">
        <v>1.1955499999999999</v>
      </c>
      <c r="S4">
        <v>1.1658900000000001</v>
      </c>
      <c r="T4">
        <v>1.1731199999999999</v>
      </c>
      <c r="W4">
        <v>708.57799999999997</v>
      </c>
      <c r="X4">
        <v>961.84100000000001</v>
      </c>
      <c r="Y4">
        <v>1814.28</v>
      </c>
      <c r="Z4">
        <v>1673.32</v>
      </c>
      <c r="AA4">
        <v>1712.2</v>
      </c>
      <c r="AD4">
        <v>736.08</v>
      </c>
      <c r="AE4">
        <v>759.23099999999999</v>
      </c>
      <c r="AF4">
        <v>1692.13</v>
      </c>
      <c r="AG4">
        <v>2218.91</v>
      </c>
      <c r="AH4">
        <v>1472.34</v>
      </c>
      <c r="AK4">
        <v>855.26199999999994</v>
      </c>
      <c r="AL4">
        <v>725.48</v>
      </c>
      <c r="AM4">
        <v>1793.24</v>
      </c>
      <c r="AN4">
        <v>1904.02</v>
      </c>
      <c r="AO4">
        <v>1566.84</v>
      </c>
    </row>
    <row r="5" spans="1:41">
      <c r="A5">
        <v>3</v>
      </c>
      <c r="B5">
        <v>1154.8</v>
      </c>
      <c r="C5">
        <v>1.2109799999999999</v>
      </c>
      <c r="D5">
        <v>1.22085</v>
      </c>
      <c r="E5">
        <v>1.19278</v>
      </c>
      <c r="F5">
        <v>1.1551400000000001</v>
      </c>
      <c r="I5">
        <v>1191.6300000000001</v>
      </c>
      <c r="J5">
        <v>1.1651</v>
      </c>
      <c r="K5">
        <v>1.18991</v>
      </c>
      <c r="L5">
        <v>1.16649</v>
      </c>
      <c r="M5">
        <v>1.18588</v>
      </c>
      <c r="P5">
        <v>1159.82</v>
      </c>
      <c r="Q5">
        <v>1.1815100000000001</v>
      </c>
      <c r="R5">
        <v>1.1676299999999999</v>
      </c>
      <c r="S5">
        <v>1.19059</v>
      </c>
      <c r="T5">
        <v>1.1608099999999999</v>
      </c>
      <c r="W5">
        <v>803.96600000000001</v>
      </c>
      <c r="X5">
        <v>779.09799999999996</v>
      </c>
      <c r="Y5">
        <v>1637.44</v>
      </c>
      <c r="Z5">
        <v>1598.27</v>
      </c>
      <c r="AA5">
        <v>1516.18</v>
      </c>
      <c r="AD5">
        <v>645.85</v>
      </c>
      <c r="AE5">
        <v>703.87800000000004</v>
      </c>
      <c r="AF5">
        <v>1397.57</v>
      </c>
      <c r="AG5">
        <v>1915.44</v>
      </c>
      <c r="AH5">
        <v>1439.03</v>
      </c>
      <c r="AK5">
        <v>706.971</v>
      </c>
      <c r="AL5">
        <v>680.26400000000001</v>
      </c>
      <c r="AM5">
        <v>1458.52</v>
      </c>
      <c r="AN5">
        <v>1738.16</v>
      </c>
      <c r="AO5">
        <v>1737.86</v>
      </c>
    </row>
    <row r="6" spans="1:41">
      <c r="A6">
        <v>4</v>
      </c>
      <c r="B6">
        <v>1250.98</v>
      </c>
      <c r="C6">
        <v>1.1572100000000001</v>
      </c>
      <c r="D6">
        <v>1.18405</v>
      </c>
      <c r="E6">
        <v>1.1607000000000001</v>
      </c>
      <c r="F6">
        <v>1.1534199999999999</v>
      </c>
      <c r="I6">
        <v>1165.5</v>
      </c>
      <c r="J6">
        <v>1.1916100000000001</v>
      </c>
      <c r="K6">
        <v>1.1700299999999999</v>
      </c>
      <c r="L6">
        <v>1.1847799999999999</v>
      </c>
      <c r="M6">
        <v>1.1941200000000001</v>
      </c>
      <c r="P6">
        <v>1185.3499999999999</v>
      </c>
      <c r="Q6">
        <v>1.16018</v>
      </c>
      <c r="R6">
        <v>1.16873</v>
      </c>
      <c r="S6">
        <v>1.1896800000000001</v>
      </c>
      <c r="T6">
        <v>1.2820400000000001</v>
      </c>
      <c r="W6">
        <v>687.5</v>
      </c>
      <c r="X6">
        <v>718.17600000000004</v>
      </c>
      <c r="Y6">
        <v>1569.55</v>
      </c>
      <c r="Z6">
        <v>1765.63</v>
      </c>
      <c r="AA6">
        <v>1675.2</v>
      </c>
      <c r="AD6">
        <v>773.97900000000004</v>
      </c>
      <c r="AE6">
        <v>751.11500000000001</v>
      </c>
      <c r="AF6">
        <v>1601.33</v>
      </c>
      <c r="AG6">
        <v>2115.5100000000002</v>
      </c>
      <c r="AH6">
        <v>1626.76</v>
      </c>
      <c r="AK6">
        <v>782.92700000000002</v>
      </c>
      <c r="AL6">
        <v>757.87099999999998</v>
      </c>
      <c r="AM6">
        <v>1707.06</v>
      </c>
      <c r="AN6">
        <v>1721.76</v>
      </c>
      <c r="AO6">
        <v>1678.9</v>
      </c>
    </row>
    <row r="7" spans="1:41">
      <c r="A7">
        <v>5</v>
      </c>
      <c r="B7">
        <v>1167.97</v>
      </c>
      <c r="C7">
        <v>1.1532800000000001</v>
      </c>
      <c r="D7">
        <v>1.18862</v>
      </c>
      <c r="E7">
        <v>1.1630799999999999</v>
      </c>
      <c r="F7">
        <v>1.1787300000000001</v>
      </c>
      <c r="I7">
        <v>1179.8699999999999</v>
      </c>
      <c r="J7">
        <v>1.2981100000000001</v>
      </c>
      <c r="K7">
        <v>1.1906600000000001</v>
      </c>
      <c r="L7">
        <v>1.1678599999999999</v>
      </c>
      <c r="M7">
        <v>1.1888700000000001</v>
      </c>
      <c r="P7">
        <v>1262.82</v>
      </c>
      <c r="Q7">
        <v>1.2370000000000001</v>
      </c>
      <c r="R7">
        <v>1.27627</v>
      </c>
      <c r="S7">
        <v>1.20214</v>
      </c>
      <c r="T7">
        <v>1.1735500000000001</v>
      </c>
      <c r="W7">
        <v>821.81299999999999</v>
      </c>
      <c r="X7">
        <v>821.81600000000003</v>
      </c>
      <c r="Y7">
        <v>1688.6</v>
      </c>
      <c r="Z7">
        <v>1717.86</v>
      </c>
      <c r="AA7">
        <v>1533.99</v>
      </c>
      <c r="AD7">
        <v>694.50199999999995</v>
      </c>
      <c r="AE7">
        <v>655.24300000000005</v>
      </c>
      <c r="AF7">
        <v>1474.28</v>
      </c>
      <c r="AG7">
        <v>1921.58</v>
      </c>
      <c r="AH7">
        <v>1487.08</v>
      </c>
      <c r="AK7">
        <v>782.928</v>
      </c>
      <c r="AL7">
        <v>728.82299999999998</v>
      </c>
      <c r="AM7">
        <v>1441.01</v>
      </c>
      <c r="AN7">
        <v>1587</v>
      </c>
      <c r="AO7">
        <v>1471.49</v>
      </c>
    </row>
    <row r="8" spans="1:41">
      <c r="A8">
        <v>6</v>
      </c>
      <c r="B8">
        <v>1155.1600000000001</v>
      </c>
      <c r="C8">
        <v>1.17483</v>
      </c>
      <c r="D8">
        <v>1.1657599999999999</v>
      </c>
      <c r="E8">
        <v>1.1897200000000001</v>
      </c>
      <c r="F8">
        <v>1.1555800000000001</v>
      </c>
      <c r="I8">
        <v>1169.69</v>
      </c>
      <c r="J8">
        <v>1.16506</v>
      </c>
      <c r="K8">
        <v>1.18967</v>
      </c>
      <c r="L8">
        <v>1.1629499999999999</v>
      </c>
      <c r="M8">
        <v>1.1832100000000001</v>
      </c>
      <c r="P8">
        <v>1161.19</v>
      </c>
      <c r="Q8">
        <v>1.1820999999999999</v>
      </c>
      <c r="R8">
        <v>1.1686799999999999</v>
      </c>
      <c r="S8">
        <v>1.1857899999999999</v>
      </c>
      <c r="T8">
        <v>1.2176800000000001</v>
      </c>
      <c r="W8">
        <v>657.53499999999997</v>
      </c>
      <c r="X8">
        <v>787.07399999999996</v>
      </c>
      <c r="Y8">
        <v>1482.3</v>
      </c>
      <c r="Z8">
        <v>1681.7</v>
      </c>
      <c r="AA8">
        <v>1681.31</v>
      </c>
      <c r="AD8">
        <v>682.54200000000003</v>
      </c>
      <c r="AE8">
        <v>728.495</v>
      </c>
      <c r="AF8">
        <v>1531.57</v>
      </c>
      <c r="AG8">
        <v>2207.8000000000002</v>
      </c>
      <c r="AH8">
        <v>1610.87</v>
      </c>
      <c r="AK8">
        <v>693.06299999999999</v>
      </c>
      <c r="AL8">
        <v>711.52</v>
      </c>
      <c r="AM8">
        <v>1644.12</v>
      </c>
      <c r="AN8">
        <v>1721.49</v>
      </c>
      <c r="AO8">
        <v>1681.79</v>
      </c>
    </row>
    <row r="9" spans="1:41">
      <c r="A9">
        <v>7</v>
      </c>
      <c r="B9">
        <v>1178.22</v>
      </c>
      <c r="C9">
        <v>1.1587700000000001</v>
      </c>
      <c r="D9">
        <v>1.1839500000000001</v>
      </c>
      <c r="E9">
        <v>1.1618900000000001</v>
      </c>
      <c r="F9">
        <v>1.1717599999999999</v>
      </c>
      <c r="I9">
        <v>1163.5999999999999</v>
      </c>
      <c r="J9">
        <v>1.1850799999999999</v>
      </c>
      <c r="K9">
        <v>1.1680999999999999</v>
      </c>
      <c r="L9">
        <v>1.2073700000000001</v>
      </c>
      <c r="M9">
        <v>1.19187</v>
      </c>
      <c r="P9">
        <v>1187.93</v>
      </c>
      <c r="Q9">
        <v>1.15866</v>
      </c>
      <c r="R9">
        <v>1.1830700000000001</v>
      </c>
      <c r="S9">
        <v>1.16425</v>
      </c>
      <c r="T9">
        <v>1.18432</v>
      </c>
      <c r="W9">
        <v>735.14099999999996</v>
      </c>
      <c r="X9">
        <v>741.46600000000001</v>
      </c>
      <c r="Y9">
        <v>1753.6</v>
      </c>
      <c r="Z9">
        <v>1806.99</v>
      </c>
      <c r="AA9">
        <v>1740.21</v>
      </c>
      <c r="AD9">
        <v>787.5</v>
      </c>
      <c r="AE9">
        <v>704.76300000000003</v>
      </c>
      <c r="AF9">
        <v>1391.09</v>
      </c>
      <c r="AG9">
        <v>1891.72</v>
      </c>
      <c r="AH9">
        <v>1438.05</v>
      </c>
      <c r="AK9">
        <v>833.20100000000002</v>
      </c>
      <c r="AL9">
        <v>720.29300000000001</v>
      </c>
      <c r="AM9">
        <v>1715.97</v>
      </c>
      <c r="AN9">
        <v>1713.27</v>
      </c>
      <c r="AO9">
        <v>1627.55</v>
      </c>
    </row>
    <row r="10" spans="1:41">
      <c r="A10">
        <v>8</v>
      </c>
      <c r="B10">
        <v>1155.8399999999999</v>
      </c>
      <c r="C10">
        <v>1.1598900000000001</v>
      </c>
      <c r="D10">
        <v>1.1895100000000001</v>
      </c>
      <c r="E10">
        <v>1.1636200000000001</v>
      </c>
      <c r="F10">
        <v>1.1811100000000001</v>
      </c>
      <c r="I10">
        <v>1186.81</v>
      </c>
      <c r="J10">
        <v>1.1632400000000001</v>
      </c>
      <c r="K10">
        <v>1.20923</v>
      </c>
      <c r="L10">
        <v>1.16486</v>
      </c>
      <c r="M10">
        <v>1.1832</v>
      </c>
      <c r="P10">
        <v>1163.68</v>
      </c>
      <c r="Q10">
        <v>1.2248600000000001</v>
      </c>
      <c r="R10">
        <v>1.24404</v>
      </c>
      <c r="S10">
        <v>1.1797200000000001</v>
      </c>
      <c r="T10">
        <v>1.19872</v>
      </c>
      <c r="W10">
        <v>736.67600000000004</v>
      </c>
      <c r="X10">
        <v>758.94799999999998</v>
      </c>
      <c r="Y10">
        <v>1549.42</v>
      </c>
      <c r="Z10">
        <v>1579.37</v>
      </c>
      <c r="AA10">
        <v>1652.42</v>
      </c>
      <c r="AD10">
        <v>643.84</v>
      </c>
      <c r="AE10">
        <v>642.07000000000005</v>
      </c>
      <c r="AF10">
        <v>1398.29</v>
      </c>
      <c r="AG10">
        <v>1884.69</v>
      </c>
      <c r="AH10">
        <v>1406.51</v>
      </c>
      <c r="AK10">
        <v>742.529</v>
      </c>
      <c r="AL10">
        <v>696.32299999999998</v>
      </c>
      <c r="AM10">
        <v>1450.3</v>
      </c>
      <c r="AN10">
        <v>1573.82</v>
      </c>
      <c r="AO10">
        <v>1468.92</v>
      </c>
    </row>
    <row r="11" spans="1:41">
      <c r="A11">
        <v>9</v>
      </c>
      <c r="B11">
        <v>1150.56</v>
      </c>
      <c r="C11">
        <v>1.2602100000000001</v>
      </c>
      <c r="D11">
        <v>1.16818</v>
      </c>
      <c r="E11">
        <v>1.18062</v>
      </c>
      <c r="F11">
        <v>1.15543</v>
      </c>
      <c r="I11">
        <v>1164.27</v>
      </c>
      <c r="J11">
        <v>1.1930000000000001</v>
      </c>
      <c r="K11">
        <v>1.1662300000000001</v>
      </c>
      <c r="L11">
        <v>1.1832100000000001</v>
      </c>
      <c r="M11">
        <v>1.2507699999999999</v>
      </c>
      <c r="P11">
        <v>1176.3900000000001</v>
      </c>
      <c r="Q11">
        <v>1.22489</v>
      </c>
      <c r="R11">
        <v>1.17737</v>
      </c>
      <c r="S11">
        <v>1.2029300000000001</v>
      </c>
      <c r="T11">
        <v>1.2805200000000001</v>
      </c>
      <c r="W11">
        <v>686.18399999999997</v>
      </c>
      <c r="X11">
        <v>810.30499999999995</v>
      </c>
      <c r="Y11">
        <v>1704.14</v>
      </c>
      <c r="Z11">
        <v>1786.55</v>
      </c>
      <c r="AA11">
        <v>1713.13</v>
      </c>
      <c r="AD11">
        <v>678.654</v>
      </c>
      <c r="AE11">
        <v>717.25300000000004</v>
      </c>
      <c r="AF11">
        <v>1444.64</v>
      </c>
      <c r="AG11">
        <v>1951.9</v>
      </c>
      <c r="AH11">
        <v>1540.33</v>
      </c>
      <c r="AK11">
        <v>747.02300000000002</v>
      </c>
      <c r="AL11">
        <v>716.53</v>
      </c>
      <c r="AM11">
        <v>1570.96</v>
      </c>
      <c r="AN11">
        <v>1802.06</v>
      </c>
      <c r="AO11">
        <v>1522.96</v>
      </c>
    </row>
    <row r="12" spans="1:41">
      <c r="A12">
        <v>10</v>
      </c>
      <c r="B12">
        <v>1183.57</v>
      </c>
      <c r="C12">
        <v>1.1634100000000001</v>
      </c>
      <c r="D12">
        <v>1.1925600000000001</v>
      </c>
      <c r="E12">
        <v>1.19024</v>
      </c>
      <c r="F12">
        <v>1.2438100000000001</v>
      </c>
      <c r="I12">
        <v>1184.1300000000001</v>
      </c>
      <c r="J12">
        <v>1.1660200000000001</v>
      </c>
      <c r="K12">
        <v>1.1791199999999999</v>
      </c>
      <c r="L12">
        <v>1.1969399999999999</v>
      </c>
      <c r="M12">
        <v>1.16734</v>
      </c>
      <c r="P12">
        <v>1211.1300000000001</v>
      </c>
      <c r="Q12">
        <v>1.1854899999999999</v>
      </c>
      <c r="R12">
        <v>1.21506</v>
      </c>
      <c r="S12">
        <v>1.1717299999999999</v>
      </c>
      <c r="T12">
        <v>1.2252700000000001</v>
      </c>
      <c r="W12">
        <v>747.13300000000004</v>
      </c>
      <c r="X12">
        <v>806.452</v>
      </c>
      <c r="Y12">
        <v>1637.38</v>
      </c>
      <c r="Z12">
        <v>1638.04</v>
      </c>
      <c r="AA12">
        <v>1540.98</v>
      </c>
      <c r="AD12">
        <v>688.30100000000004</v>
      </c>
      <c r="AE12">
        <v>752.46500000000003</v>
      </c>
      <c r="AF12">
        <v>1593.2</v>
      </c>
      <c r="AG12">
        <v>1974.42</v>
      </c>
      <c r="AH12">
        <v>1460.18</v>
      </c>
      <c r="AK12">
        <v>781.11</v>
      </c>
      <c r="AL12">
        <v>707.99300000000005</v>
      </c>
      <c r="AM12">
        <v>1600.02</v>
      </c>
      <c r="AN12">
        <v>1746.45</v>
      </c>
      <c r="AO12">
        <v>1644.99</v>
      </c>
    </row>
    <row r="13" spans="1:41">
      <c r="A13">
        <v>11</v>
      </c>
      <c r="B13">
        <v>1205.0899999999999</v>
      </c>
      <c r="C13">
        <v>1.2633300000000001</v>
      </c>
      <c r="D13">
        <v>1.23695</v>
      </c>
      <c r="E13">
        <v>1.2448999999999999</v>
      </c>
      <c r="F13">
        <v>1.21393</v>
      </c>
      <c r="I13">
        <v>1236.93</v>
      </c>
      <c r="J13">
        <v>1.2055199999999999</v>
      </c>
      <c r="K13">
        <v>1.1924300000000001</v>
      </c>
      <c r="L13">
        <v>1.1639299999999999</v>
      </c>
      <c r="M13">
        <v>1.1835599999999999</v>
      </c>
      <c r="P13">
        <v>1186.8800000000001</v>
      </c>
      <c r="Q13">
        <v>1.1913400000000001</v>
      </c>
      <c r="R13">
        <v>1.1772899999999999</v>
      </c>
      <c r="S13">
        <v>1.1921999999999999</v>
      </c>
      <c r="T13">
        <v>1.1771499999999999</v>
      </c>
      <c r="W13">
        <v>654.03399999999999</v>
      </c>
      <c r="X13">
        <v>654.94100000000003</v>
      </c>
      <c r="Y13">
        <v>1519.27</v>
      </c>
      <c r="Z13">
        <v>1679.52</v>
      </c>
      <c r="AA13">
        <v>1623.46</v>
      </c>
      <c r="AD13">
        <v>641.78</v>
      </c>
      <c r="AE13">
        <v>681.94899999999996</v>
      </c>
      <c r="AF13">
        <v>1389.8</v>
      </c>
      <c r="AG13">
        <v>2042.48</v>
      </c>
      <c r="AH13">
        <v>1481.74</v>
      </c>
      <c r="AK13">
        <v>767.27700000000004</v>
      </c>
      <c r="AL13">
        <v>725.45399999999995</v>
      </c>
      <c r="AM13">
        <v>1507.6</v>
      </c>
      <c r="AN13">
        <v>1530.27</v>
      </c>
      <c r="AO13">
        <v>1486.32</v>
      </c>
    </row>
    <row r="14" spans="1:41" hidden="1">
      <c r="A14">
        <v>12</v>
      </c>
      <c r="B14">
        <v>1220.92</v>
      </c>
      <c r="C14">
        <v>1.1968700000000001</v>
      </c>
      <c r="D14">
        <v>1.2219</v>
      </c>
      <c r="E14">
        <v>1.16421</v>
      </c>
      <c r="F14">
        <v>1.1821600000000001</v>
      </c>
      <c r="I14">
        <v>1164.68</v>
      </c>
      <c r="J14">
        <v>1.19502</v>
      </c>
      <c r="K14">
        <v>1.1697500000000001</v>
      </c>
      <c r="L14">
        <v>1.1809099999999999</v>
      </c>
      <c r="M14">
        <v>1.1628799999999999</v>
      </c>
      <c r="P14">
        <v>1193.51</v>
      </c>
      <c r="Q14">
        <v>1.19668</v>
      </c>
      <c r="R14">
        <v>1.22509</v>
      </c>
      <c r="S14">
        <v>1.1800900000000001</v>
      </c>
      <c r="T14">
        <v>1.2168099999999999</v>
      </c>
      <c r="W14">
        <v>775.79100000000005</v>
      </c>
      <c r="X14">
        <v>727.63400000000001</v>
      </c>
      <c r="Y14">
        <v>1743.72</v>
      </c>
      <c r="Z14">
        <v>1818.91</v>
      </c>
      <c r="AA14">
        <v>1638.14</v>
      </c>
      <c r="AD14">
        <v>693.75699999999995</v>
      </c>
      <c r="AE14">
        <v>709.28099999999995</v>
      </c>
      <c r="AF14">
        <v>1518.73</v>
      </c>
      <c r="AG14">
        <v>1913.06</v>
      </c>
      <c r="AH14">
        <v>1477.55</v>
      </c>
      <c r="AK14">
        <v>826.005</v>
      </c>
      <c r="AL14">
        <v>692.59</v>
      </c>
      <c r="AM14">
        <v>1651.78</v>
      </c>
      <c r="AN14">
        <v>1800.98</v>
      </c>
      <c r="AO14">
        <v>1631.68</v>
      </c>
    </row>
    <row r="15" spans="1:41" hidden="1">
      <c r="A15">
        <v>13</v>
      </c>
      <c r="B15">
        <v>1153.1199999999999</v>
      </c>
      <c r="C15">
        <v>1.1784300000000001</v>
      </c>
      <c r="D15">
        <v>1.1640699999999999</v>
      </c>
      <c r="E15">
        <v>1.1896</v>
      </c>
      <c r="F15">
        <v>1.1556900000000001</v>
      </c>
      <c r="I15">
        <v>1275.57</v>
      </c>
      <c r="J15">
        <v>1.17469</v>
      </c>
      <c r="K15">
        <v>1.1923900000000001</v>
      </c>
      <c r="L15">
        <v>1.1625099999999999</v>
      </c>
      <c r="M15">
        <v>1.19024</v>
      </c>
      <c r="P15">
        <v>1175.28</v>
      </c>
      <c r="Q15">
        <v>1.2064600000000001</v>
      </c>
      <c r="R15">
        <v>1.1749799999999999</v>
      </c>
      <c r="S15">
        <v>1.2083900000000001</v>
      </c>
      <c r="T15">
        <v>1.19007</v>
      </c>
      <c r="W15">
        <v>759.53800000000001</v>
      </c>
      <c r="X15">
        <v>674.86800000000005</v>
      </c>
      <c r="Y15">
        <v>1599.68</v>
      </c>
      <c r="Z15">
        <v>1729.93</v>
      </c>
      <c r="AA15">
        <v>1465.36</v>
      </c>
      <c r="AD15">
        <v>670.30700000000002</v>
      </c>
      <c r="AE15">
        <v>687.58199999999999</v>
      </c>
      <c r="AF15">
        <v>1608.51</v>
      </c>
      <c r="AG15">
        <v>2064.44</v>
      </c>
      <c r="AH15">
        <v>1421.88</v>
      </c>
      <c r="AK15">
        <v>790.61099999999999</v>
      </c>
      <c r="AL15">
        <v>751.93</v>
      </c>
      <c r="AM15">
        <v>1629.93</v>
      </c>
      <c r="AN15">
        <v>1821.81</v>
      </c>
      <c r="AO15">
        <v>1719.1</v>
      </c>
    </row>
    <row r="16" spans="1:41" hidden="1">
      <c r="A16">
        <v>14</v>
      </c>
      <c r="B16">
        <v>1172.0999999999999</v>
      </c>
      <c r="C16">
        <v>1.22841</v>
      </c>
      <c r="D16">
        <v>1.2383299999999999</v>
      </c>
      <c r="E16">
        <v>1.2091099999999999</v>
      </c>
      <c r="F16">
        <v>1.22672</v>
      </c>
      <c r="I16">
        <v>1161.1199999999999</v>
      </c>
      <c r="J16">
        <v>1.1905699999999999</v>
      </c>
      <c r="K16">
        <v>1.1690499999999999</v>
      </c>
      <c r="L16">
        <v>1.1657200000000001</v>
      </c>
      <c r="M16">
        <v>1.1839500000000001</v>
      </c>
      <c r="P16">
        <v>1213.73</v>
      </c>
      <c r="Q16">
        <v>1.17709</v>
      </c>
      <c r="R16">
        <v>1.2996399999999999</v>
      </c>
      <c r="S16">
        <v>1.1714500000000001</v>
      </c>
      <c r="T16">
        <v>1.29677</v>
      </c>
      <c r="W16">
        <v>759.428</v>
      </c>
      <c r="X16">
        <v>657.06899999999996</v>
      </c>
      <c r="Y16">
        <v>1509.64</v>
      </c>
      <c r="Z16">
        <v>1532.08</v>
      </c>
      <c r="AA16">
        <v>1792.13</v>
      </c>
      <c r="AD16">
        <v>686.17600000000004</v>
      </c>
      <c r="AE16">
        <v>646.16</v>
      </c>
      <c r="AF16">
        <v>1379.76</v>
      </c>
      <c r="AG16">
        <v>1900.07</v>
      </c>
      <c r="AH16">
        <v>1445.4</v>
      </c>
      <c r="AK16">
        <v>973.351</v>
      </c>
      <c r="AL16">
        <v>705.02200000000005</v>
      </c>
      <c r="AM16">
        <v>1458.87</v>
      </c>
      <c r="AN16">
        <v>1543.83</v>
      </c>
      <c r="AO16">
        <v>1607.31</v>
      </c>
    </row>
    <row r="17" spans="1:41" hidden="1">
      <c r="A17">
        <v>15</v>
      </c>
      <c r="B17">
        <v>1221.29</v>
      </c>
      <c r="C17">
        <v>1.19573</v>
      </c>
      <c r="D17">
        <v>1.1819299999999999</v>
      </c>
      <c r="E17">
        <v>1.1639699999999999</v>
      </c>
      <c r="F17">
        <v>1.18099</v>
      </c>
      <c r="I17">
        <v>1247.32</v>
      </c>
      <c r="J17">
        <v>1.1935199999999999</v>
      </c>
      <c r="K17">
        <v>1.16835</v>
      </c>
      <c r="L17">
        <v>1.1949799999999999</v>
      </c>
      <c r="M17">
        <v>1.16713</v>
      </c>
      <c r="P17">
        <v>1181.8</v>
      </c>
      <c r="Q17">
        <v>1.1911700000000001</v>
      </c>
      <c r="R17">
        <v>1.18719</v>
      </c>
      <c r="S17">
        <v>1.21051</v>
      </c>
      <c r="T17">
        <v>1.19459</v>
      </c>
      <c r="W17">
        <v>730.63300000000004</v>
      </c>
      <c r="X17">
        <v>734.351</v>
      </c>
      <c r="Y17">
        <v>1655.06</v>
      </c>
      <c r="Z17">
        <v>1804.3</v>
      </c>
      <c r="AA17">
        <v>1577.63</v>
      </c>
      <c r="AD17">
        <v>664.58600000000001</v>
      </c>
      <c r="AE17">
        <v>740.36</v>
      </c>
      <c r="AF17">
        <v>1471.99</v>
      </c>
      <c r="AG17">
        <v>1930.49</v>
      </c>
      <c r="AH17">
        <v>1469.9</v>
      </c>
      <c r="AK17">
        <v>765.851</v>
      </c>
      <c r="AL17">
        <v>751.178</v>
      </c>
      <c r="AM17">
        <v>1577.55</v>
      </c>
      <c r="AN17">
        <v>1614.24</v>
      </c>
      <c r="AO17">
        <v>1517.41</v>
      </c>
    </row>
    <row r="18" spans="1:41" hidden="1">
      <c r="A18">
        <v>16</v>
      </c>
      <c r="B18">
        <v>1153.98</v>
      </c>
      <c r="C18">
        <v>1.1831700000000001</v>
      </c>
      <c r="D18">
        <v>1.1637200000000001</v>
      </c>
      <c r="E18">
        <v>1.18974</v>
      </c>
      <c r="F18">
        <v>1.15282</v>
      </c>
      <c r="I18">
        <v>1197</v>
      </c>
      <c r="J18">
        <v>1.1628400000000001</v>
      </c>
      <c r="K18">
        <v>1.2213799999999999</v>
      </c>
      <c r="L18">
        <v>1.16401</v>
      </c>
      <c r="M18">
        <v>1.18743</v>
      </c>
      <c r="P18">
        <v>1230.4100000000001</v>
      </c>
      <c r="Q18">
        <v>1.17635</v>
      </c>
      <c r="R18">
        <v>1.19553</v>
      </c>
      <c r="S18">
        <v>1.2074</v>
      </c>
      <c r="T18">
        <v>1.1730400000000001</v>
      </c>
      <c r="W18">
        <v>881.07100000000003</v>
      </c>
      <c r="X18">
        <v>746.86400000000003</v>
      </c>
      <c r="Y18">
        <v>1659.68</v>
      </c>
      <c r="Z18">
        <v>1640.48</v>
      </c>
      <c r="AA18">
        <v>1432.43</v>
      </c>
      <c r="AD18">
        <v>674.928</v>
      </c>
      <c r="AE18">
        <v>677.21699999999998</v>
      </c>
      <c r="AF18">
        <v>1384.48</v>
      </c>
      <c r="AG18">
        <v>1942.68</v>
      </c>
      <c r="AH18">
        <v>1522.37</v>
      </c>
      <c r="AK18">
        <v>728.952</v>
      </c>
      <c r="AL18">
        <v>657.37199999999996</v>
      </c>
      <c r="AM18">
        <v>1513.67</v>
      </c>
      <c r="AN18">
        <v>1719.3</v>
      </c>
      <c r="AO18">
        <v>1716.42</v>
      </c>
    </row>
    <row r="19" spans="1:41" hidden="1">
      <c r="A19">
        <v>17</v>
      </c>
      <c r="B19">
        <v>1175.93</v>
      </c>
      <c r="C19">
        <v>1.1565799999999999</v>
      </c>
      <c r="D19">
        <v>1.1643399999999999</v>
      </c>
      <c r="E19">
        <v>1.1911</v>
      </c>
      <c r="F19">
        <v>1.15262</v>
      </c>
      <c r="I19">
        <v>1162.29</v>
      </c>
      <c r="J19">
        <v>1.18598</v>
      </c>
      <c r="K19">
        <v>1.1700900000000001</v>
      </c>
      <c r="L19">
        <v>1.1918899999999999</v>
      </c>
      <c r="M19">
        <v>1.1639299999999999</v>
      </c>
      <c r="P19">
        <v>1210.22</v>
      </c>
      <c r="Q19">
        <v>1.18624</v>
      </c>
      <c r="R19">
        <v>1.1977599999999999</v>
      </c>
      <c r="S19">
        <v>1.1778599999999999</v>
      </c>
      <c r="T19">
        <v>1.1972799999999999</v>
      </c>
      <c r="W19">
        <v>668.94200000000001</v>
      </c>
      <c r="X19">
        <v>692.47400000000005</v>
      </c>
      <c r="Y19">
        <v>1528.08</v>
      </c>
      <c r="Z19">
        <v>1635.46</v>
      </c>
      <c r="AA19">
        <v>1519.19</v>
      </c>
      <c r="AD19">
        <v>728.66499999999996</v>
      </c>
      <c r="AE19">
        <v>681.87</v>
      </c>
      <c r="AF19">
        <v>1424.2</v>
      </c>
      <c r="AG19">
        <v>1909.82</v>
      </c>
      <c r="AH19">
        <v>1538.14</v>
      </c>
      <c r="AK19">
        <v>775.83299999999997</v>
      </c>
      <c r="AL19">
        <v>738.88699999999994</v>
      </c>
      <c r="AM19">
        <v>1614.65</v>
      </c>
      <c r="AN19">
        <v>1808.05</v>
      </c>
      <c r="AO19">
        <v>1450.49</v>
      </c>
    </row>
    <row r="20" spans="1:41" hidden="1">
      <c r="A20">
        <v>18</v>
      </c>
      <c r="B20">
        <v>1179.6199999999999</v>
      </c>
      <c r="C20">
        <v>1.1626099999999999</v>
      </c>
      <c r="D20">
        <v>1.1913899999999999</v>
      </c>
      <c r="E20">
        <v>1.1626799999999999</v>
      </c>
      <c r="F20">
        <v>1.17991</v>
      </c>
      <c r="I20">
        <v>1195.8699999999999</v>
      </c>
      <c r="J20">
        <v>1.16869</v>
      </c>
      <c r="K20">
        <v>1.1859500000000001</v>
      </c>
      <c r="L20">
        <v>1.1674</v>
      </c>
      <c r="M20">
        <v>1.1664600000000001</v>
      </c>
      <c r="P20">
        <v>1220.96</v>
      </c>
      <c r="Q20">
        <v>1.1998800000000001</v>
      </c>
      <c r="R20">
        <v>1.1916800000000001</v>
      </c>
      <c r="S20">
        <v>1.2077100000000001</v>
      </c>
      <c r="T20">
        <v>1.17638</v>
      </c>
      <c r="W20">
        <v>820.67399999999998</v>
      </c>
      <c r="X20">
        <v>713.31200000000001</v>
      </c>
      <c r="Y20">
        <v>1640.57</v>
      </c>
      <c r="Z20">
        <v>1710.18</v>
      </c>
      <c r="AA20">
        <v>1606.53</v>
      </c>
      <c r="AD20">
        <v>658.94799999999998</v>
      </c>
      <c r="AE20">
        <v>645.43200000000002</v>
      </c>
      <c r="AF20">
        <v>1406.61</v>
      </c>
      <c r="AG20">
        <v>1902.57</v>
      </c>
      <c r="AH20">
        <v>1396.6</v>
      </c>
      <c r="AK20">
        <v>691.9</v>
      </c>
      <c r="AL20">
        <v>695.42</v>
      </c>
      <c r="AM20">
        <v>1483.86</v>
      </c>
      <c r="AN20">
        <v>1627.25</v>
      </c>
      <c r="AO20">
        <v>1616.6</v>
      </c>
    </row>
    <row r="21" spans="1:41" hidden="1">
      <c r="A21">
        <v>19</v>
      </c>
      <c r="B21">
        <v>1156.18</v>
      </c>
      <c r="C21">
        <v>1.18363</v>
      </c>
      <c r="D21">
        <v>1.29121</v>
      </c>
      <c r="E21">
        <v>1.1886399999999999</v>
      </c>
      <c r="F21">
        <v>1.1522699999999999</v>
      </c>
      <c r="I21">
        <v>1240.31</v>
      </c>
      <c r="J21">
        <v>1.16639</v>
      </c>
      <c r="K21">
        <v>1.1874899999999999</v>
      </c>
      <c r="L21">
        <v>1.1670499999999999</v>
      </c>
      <c r="M21">
        <v>1.1897800000000001</v>
      </c>
      <c r="P21">
        <v>1203.26</v>
      </c>
      <c r="Q21">
        <v>1.1646399999999999</v>
      </c>
      <c r="R21">
        <v>1.2067099999999999</v>
      </c>
      <c r="S21">
        <v>1.1936</v>
      </c>
      <c r="T21">
        <v>1.1922600000000001</v>
      </c>
      <c r="W21">
        <v>707.58100000000002</v>
      </c>
      <c r="X21">
        <v>742.678</v>
      </c>
      <c r="Y21">
        <v>1577.14</v>
      </c>
      <c r="Z21">
        <v>1656.82</v>
      </c>
      <c r="AA21">
        <v>1551.68</v>
      </c>
      <c r="AD21">
        <v>649.16499999999996</v>
      </c>
      <c r="AE21">
        <v>671.41800000000001</v>
      </c>
      <c r="AF21">
        <v>1387.28</v>
      </c>
      <c r="AG21">
        <v>1897.71</v>
      </c>
      <c r="AH21">
        <v>1487.36</v>
      </c>
      <c r="AK21">
        <v>805.48199999999997</v>
      </c>
      <c r="AL21">
        <v>742.08299999999997</v>
      </c>
      <c r="AM21">
        <v>1673.83</v>
      </c>
      <c r="AN21">
        <v>1665.98</v>
      </c>
      <c r="AO21">
        <v>1511.6</v>
      </c>
    </row>
    <row r="22" spans="1:41" hidden="1">
      <c r="A22">
        <v>20</v>
      </c>
      <c r="B22">
        <v>1178.78</v>
      </c>
      <c r="C22">
        <v>1.1539999999999999</v>
      </c>
      <c r="D22">
        <v>1.1852799999999999</v>
      </c>
      <c r="E22">
        <v>1.16255</v>
      </c>
      <c r="F22">
        <v>1.1517200000000001</v>
      </c>
      <c r="I22">
        <v>1163.7</v>
      </c>
      <c r="J22">
        <v>1.24193</v>
      </c>
      <c r="K22">
        <v>1.169</v>
      </c>
      <c r="L22">
        <v>1.34371</v>
      </c>
      <c r="M22">
        <v>1.1945600000000001</v>
      </c>
      <c r="P22">
        <v>1241.6500000000001</v>
      </c>
      <c r="Q22">
        <v>1.1906099999999999</v>
      </c>
      <c r="R22">
        <v>1.17916</v>
      </c>
      <c r="S22">
        <v>1.1934100000000001</v>
      </c>
      <c r="T22">
        <v>1.2020200000000001</v>
      </c>
      <c r="W22">
        <v>703.94100000000003</v>
      </c>
      <c r="X22">
        <v>660.56399999999996</v>
      </c>
      <c r="Y22">
        <v>1646.53</v>
      </c>
      <c r="Z22">
        <v>1573.69</v>
      </c>
      <c r="AA22">
        <v>1534.44</v>
      </c>
      <c r="AD22">
        <v>712.04399999999998</v>
      </c>
      <c r="AE22">
        <v>721.43700000000001</v>
      </c>
      <c r="AF22">
        <v>1671.94</v>
      </c>
      <c r="AG22">
        <v>2128.4299999999998</v>
      </c>
      <c r="AH22">
        <v>1649.54</v>
      </c>
      <c r="AK22">
        <v>675.12</v>
      </c>
      <c r="AL22">
        <v>649.76099999999997</v>
      </c>
      <c r="AM22">
        <v>1419.42</v>
      </c>
      <c r="AN22">
        <v>1690.28</v>
      </c>
      <c r="AO22">
        <v>1629.32</v>
      </c>
    </row>
    <row r="23" spans="1:41" hidden="1">
      <c r="A23">
        <v>21</v>
      </c>
      <c r="B23">
        <v>1174.17</v>
      </c>
      <c r="C23">
        <v>1.15561</v>
      </c>
      <c r="D23">
        <v>1.18693</v>
      </c>
      <c r="E23">
        <v>1.16252</v>
      </c>
      <c r="F23">
        <v>1.1768099999999999</v>
      </c>
      <c r="I23">
        <v>1305.3599999999999</v>
      </c>
      <c r="J23">
        <v>1.26359</v>
      </c>
      <c r="K23">
        <v>1.4149099999999999</v>
      </c>
      <c r="L23">
        <v>1.23387</v>
      </c>
      <c r="M23">
        <v>1.3167500000000001</v>
      </c>
      <c r="P23">
        <v>1182.76</v>
      </c>
      <c r="Q23">
        <v>1.2083200000000001</v>
      </c>
      <c r="R23">
        <v>1.1823999999999999</v>
      </c>
      <c r="S23">
        <v>1.20984</v>
      </c>
      <c r="T23">
        <v>1.17839</v>
      </c>
      <c r="W23">
        <v>771.28</v>
      </c>
      <c r="X23">
        <v>770.346</v>
      </c>
      <c r="Y23">
        <v>1565.06</v>
      </c>
      <c r="Z23">
        <v>1725.06</v>
      </c>
      <c r="AA23">
        <v>1633.52</v>
      </c>
      <c r="AD23">
        <v>760.83199999999999</v>
      </c>
      <c r="AE23">
        <v>779.57299999999998</v>
      </c>
      <c r="AF23">
        <v>1650.82</v>
      </c>
      <c r="AG23">
        <v>2125.84</v>
      </c>
      <c r="AH23">
        <v>1492.22</v>
      </c>
      <c r="AK23">
        <v>756.92399999999998</v>
      </c>
      <c r="AL23">
        <v>832.56399999999996</v>
      </c>
      <c r="AM23">
        <v>1638.52</v>
      </c>
      <c r="AN23">
        <v>1783.13</v>
      </c>
      <c r="AO23">
        <v>1466.66</v>
      </c>
    </row>
    <row r="24" spans="1:41" hidden="1">
      <c r="A24">
        <v>22</v>
      </c>
      <c r="B24">
        <v>1152.9000000000001</v>
      </c>
      <c r="C24">
        <v>1.1828799999999999</v>
      </c>
      <c r="D24">
        <v>1.16595</v>
      </c>
      <c r="E24">
        <v>1.19167</v>
      </c>
      <c r="F24">
        <v>1.15385</v>
      </c>
      <c r="I24">
        <v>1454.54</v>
      </c>
      <c r="J24">
        <v>1.35043</v>
      </c>
      <c r="K24">
        <v>1.2271799999999999</v>
      </c>
      <c r="L24">
        <v>1.20774</v>
      </c>
      <c r="M24">
        <v>1.16937</v>
      </c>
      <c r="P24">
        <v>1218.51</v>
      </c>
      <c r="Q24">
        <v>1.16029</v>
      </c>
      <c r="R24">
        <v>1.1939</v>
      </c>
      <c r="S24">
        <v>1.16476</v>
      </c>
      <c r="T24">
        <v>1.19886</v>
      </c>
      <c r="W24">
        <v>783.80399999999997</v>
      </c>
      <c r="X24">
        <v>749.87099999999998</v>
      </c>
      <c r="Y24">
        <v>1636.67</v>
      </c>
      <c r="Z24">
        <v>1713.13</v>
      </c>
      <c r="AA24">
        <v>1485.39</v>
      </c>
      <c r="AD24">
        <v>669.26499999999999</v>
      </c>
      <c r="AE24">
        <v>645.69600000000003</v>
      </c>
      <c r="AF24">
        <v>1406.57</v>
      </c>
      <c r="AG24">
        <v>1884.81</v>
      </c>
      <c r="AH24">
        <v>1484.86</v>
      </c>
      <c r="AK24">
        <v>733.24099999999999</v>
      </c>
      <c r="AL24">
        <v>694.13800000000003</v>
      </c>
      <c r="AM24">
        <v>1566.13</v>
      </c>
      <c r="AN24">
        <v>1781.02</v>
      </c>
      <c r="AO24">
        <v>1565.84</v>
      </c>
    </row>
    <row r="25" spans="1:41" hidden="1">
      <c r="A25">
        <v>23</v>
      </c>
      <c r="B25">
        <v>1175.81</v>
      </c>
      <c r="C25">
        <v>1.15537</v>
      </c>
      <c r="D25">
        <v>1.16476</v>
      </c>
      <c r="E25">
        <v>1.1914100000000001</v>
      </c>
      <c r="F25">
        <v>1.1526400000000001</v>
      </c>
      <c r="I25">
        <v>1189.8900000000001</v>
      </c>
      <c r="J25">
        <v>1.1721900000000001</v>
      </c>
      <c r="K25">
        <v>1.17082</v>
      </c>
      <c r="L25">
        <v>1.20472</v>
      </c>
      <c r="M25">
        <v>1.19614</v>
      </c>
      <c r="P25">
        <v>1164.46</v>
      </c>
      <c r="Q25">
        <v>1.1771499999999999</v>
      </c>
      <c r="R25">
        <v>1.1702999999999999</v>
      </c>
      <c r="S25">
        <v>1.1867399999999999</v>
      </c>
      <c r="T25">
        <v>1.1584300000000001</v>
      </c>
      <c r="W25">
        <v>648.94500000000005</v>
      </c>
      <c r="X25">
        <v>659.79700000000003</v>
      </c>
      <c r="Y25">
        <v>1446.69</v>
      </c>
      <c r="Z25">
        <v>1544.42</v>
      </c>
      <c r="AA25">
        <v>1677.35</v>
      </c>
      <c r="AD25">
        <v>736.32399999999996</v>
      </c>
      <c r="AE25">
        <v>850.65899999999999</v>
      </c>
      <c r="AF25">
        <v>1698.32</v>
      </c>
      <c r="AG25">
        <v>2144.7199999999998</v>
      </c>
      <c r="AH25">
        <v>1665.63</v>
      </c>
      <c r="AK25">
        <v>886.58699999999999</v>
      </c>
      <c r="AL25">
        <v>727.03700000000003</v>
      </c>
      <c r="AM25">
        <v>1636.37</v>
      </c>
      <c r="AN25">
        <v>1691.76</v>
      </c>
      <c r="AO25">
        <v>1624.76</v>
      </c>
    </row>
    <row r="26" spans="1:41" hidden="1">
      <c r="A26">
        <v>24</v>
      </c>
      <c r="B26">
        <v>1182.6199999999999</v>
      </c>
      <c r="C26">
        <v>1.1554800000000001</v>
      </c>
      <c r="D26">
        <v>1.1825699999999999</v>
      </c>
      <c r="E26">
        <v>1.2482200000000001</v>
      </c>
      <c r="F26">
        <v>1.17174</v>
      </c>
      <c r="I26">
        <v>1202.8599999999999</v>
      </c>
      <c r="J26">
        <v>1.16656</v>
      </c>
      <c r="K26">
        <v>1.19537</v>
      </c>
      <c r="L26">
        <v>1.1683699999999999</v>
      </c>
      <c r="M26">
        <v>1.19781</v>
      </c>
      <c r="P26">
        <v>1181.73</v>
      </c>
      <c r="Q26">
        <v>1.1591</v>
      </c>
      <c r="R26">
        <v>1.19042</v>
      </c>
      <c r="S26">
        <v>1.1624300000000001</v>
      </c>
      <c r="T26">
        <v>1.1589700000000001</v>
      </c>
      <c r="W26">
        <v>799.47199999999998</v>
      </c>
      <c r="X26">
        <v>767.93499999999995</v>
      </c>
      <c r="Y26">
        <v>1698.93</v>
      </c>
      <c r="Z26">
        <v>1679.61</v>
      </c>
      <c r="AA26">
        <v>1834.94</v>
      </c>
      <c r="AD26">
        <v>810.846</v>
      </c>
      <c r="AE26">
        <v>701.24199999999996</v>
      </c>
      <c r="AF26">
        <v>1592.48</v>
      </c>
      <c r="AG26">
        <v>2297.64</v>
      </c>
      <c r="AH26">
        <v>1510.66</v>
      </c>
      <c r="AK26">
        <v>742.33600000000001</v>
      </c>
      <c r="AL26">
        <v>770.31500000000005</v>
      </c>
      <c r="AM26">
        <v>1567.56</v>
      </c>
      <c r="AN26">
        <v>1536.91</v>
      </c>
      <c r="AO26">
        <v>1479.09</v>
      </c>
    </row>
    <row r="27" spans="1:41" hidden="1">
      <c r="A27">
        <v>25</v>
      </c>
      <c r="B27">
        <v>1151.9100000000001</v>
      </c>
      <c r="C27">
        <v>1.1834800000000001</v>
      </c>
      <c r="D27">
        <v>1.16307</v>
      </c>
      <c r="E27">
        <v>1.1775100000000001</v>
      </c>
      <c r="F27">
        <v>1.15462</v>
      </c>
      <c r="I27">
        <v>1394.73</v>
      </c>
      <c r="J27">
        <v>1.21461</v>
      </c>
      <c r="K27">
        <v>1.1724300000000001</v>
      </c>
      <c r="L27">
        <v>1.19858</v>
      </c>
      <c r="M27">
        <v>1.17241</v>
      </c>
      <c r="P27">
        <v>1326.8</v>
      </c>
      <c r="Q27">
        <v>1.1668700000000001</v>
      </c>
      <c r="R27">
        <v>1.1923299999999999</v>
      </c>
      <c r="S27">
        <v>1.16906</v>
      </c>
      <c r="T27">
        <v>1.2228300000000001</v>
      </c>
      <c r="W27">
        <v>826.37699999999995</v>
      </c>
      <c r="X27">
        <v>869.56299999999999</v>
      </c>
      <c r="Y27">
        <v>1554.93</v>
      </c>
      <c r="Z27">
        <v>1722.6</v>
      </c>
      <c r="AA27">
        <v>1466.13</v>
      </c>
      <c r="AD27">
        <v>680.101</v>
      </c>
      <c r="AE27">
        <v>648.48599999999999</v>
      </c>
      <c r="AF27">
        <v>1415.54</v>
      </c>
      <c r="AG27">
        <v>1982.59</v>
      </c>
      <c r="AH27">
        <v>1731.3</v>
      </c>
      <c r="AK27">
        <v>706.71900000000005</v>
      </c>
      <c r="AL27">
        <v>732.56899999999996</v>
      </c>
      <c r="AM27">
        <v>1576.99</v>
      </c>
      <c r="AN27">
        <v>1751.94</v>
      </c>
      <c r="AO27">
        <v>1674.78</v>
      </c>
    </row>
    <row r="28" spans="1:41" hidden="1">
      <c r="A28">
        <v>26</v>
      </c>
      <c r="B28">
        <v>1178.3900000000001</v>
      </c>
      <c r="C28">
        <v>1.1612800000000001</v>
      </c>
      <c r="D28">
        <v>1.2225299999999999</v>
      </c>
      <c r="E28">
        <v>1.1723600000000001</v>
      </c>
      <c r="F28">
        <v>1.18102</v>
      </c>
      <c r="I28">
        <v>1188.4100000000001</v>
      </c>
      <c r="J28">
        <v>1.1619999999999999</v>
      </c>
      <c r="K28">
        <v>1.20102</v>
      </c>
      <c r="L28">
        <v>1.19719</v>
      </c>
      <c r="M28">
        <v>1.2106399999999999</v>
      </c>
      <c r="P28">
        <v>1233.3699999999999</v>
      </c>
      <c r="Q28">
        <v>1.17872</v>
      </c>
      <c r="R28">
        <v>1.16971</v>
      </c>
      <c r="S28">
        <v>1.18703</v>
      </c>
      <c r="T28">
        <v>1.1591800000000001</v>
      </c>
      <c r="W28">
        <v>810.83799999999997</v>
      </c>
      <c r="X28">
        <v>659.83</v>
      </c>
      <c r="Y28">
        <v>1514.03</v>
      </c>
      <c r="Z28">
        <v>1615.2</v>
      </c>
      <c r="AA28">
        <v>1415.93</v>
      </c>
      <c r="AD28">
        <v>749.29600000000005</v>
      </c>
      <c r="AE28">
        <v>715.50300000000004</v>
      </c>
      <c r="AF28">
        <v>1613.36</v>
      </c>
      <c r="AG28">
        <v>2190.35</v>
      </c>
      <c r="AH28">
        <v>1642.34</v>
      </c>
      <c r="AK28">
        <v>823.35900000000004</v>
      </c>
      <c r="AL28">
        <v>756.40800000000002</v>
      </c>
      <c r="AM28">
        <v>1697.58</v>
      </c>
      <c r="AN28">
        <v>1767.4</v>
      </c>
      <c r="AO28">
        <v>1609.73</v>
      </c>
    </row>
    <row r="29" spans="1:41" hidden="1">
      <c r="A29">
        <v>27</v>
      </c>
      <c r="B29">
        <v>1153.47</v>
      </c>
      <c r="C29">
        <v>1.1830000000000001</v>
      </c>
      <c r="D29">
        <v>1.18299</v>
      </c>
      <c r="E29">
        <v>1.1989300000000001</v>
      </c>
      <c r="F29">
        <v>1.18076</v>
      </c>
      <c r="I29">
        <v>1171.8699999999999</v>
      </c>
      <c r="J29">
        <v>1.1876199999999999</v>
      </c>
      <c r="K29">
        <v>1.1742699999999999</v>
      </c>
      <c r="L29">
        <v>1.1847300000000001</v>
      </c>
      <c r="M29">
        <v>1.16825</v>
      </c>
      <c r="P29">
        <v>1199.74</v>
      </c>
      <c r="Q29">
        <v>1.1598999999999999</v>
      </c>
      <c r="R29">
        <v>1.19997</v>
      </c>
      <c r="S29">
        <v>1.1675599999999999</v>
      </c>
      <c r="T29">
        <v>1.1955800000000001</v>
      </c>
      <c r="W29">
        <v>713.80499999999995</v>
      </c>
      <c r="X29">
        <v>644.13499999999999</v>
      </c>
      <c r="Y29">
        <v>1363.03</v>
      </c>
      <c r="Z29">
        <v>1467.53</v>
      </c>
      <c r="AA29">
        <v>1389.71</v>
      </c>
      <c r="AD29">
        <v>752.93399999999997</v>
      </c>
      <c r="AE29">
        <v>769.55799999999999</v>
      </c>
      <c r="AF29">
        <v>1464.3</v>
      </c>
      <c r="AG29">
        <v>1911.54</v>
      </c>
      <c r="AH29">
        <v>1457.91</v>
      </c>
      <c r="AK29">
        <v>767.36</v>
      </c>
      <c r="AL29">
        <v>706.36199999999997</v>
      </c>
      <c r="AM29">
        <v>1580.27</v>
      </c>
      <c r="AN29">
        <v>1810.55</v>
      </c>
      <c r="AO29">
        <v>1664.84</v>
      </c>
    </row>
    <row r="30" spans="1:41" hidden="1">
      <c r="A30">
        <v>28</v>
      </c>
      <c r="B30">
        <v>1153.05</v>
      </c>
      <c r="C30">
        <v>1.1751499999999999</v>
      </c>
      <c r="D30">
        <v>1.16246</v>
      </c>
      <c r="E30">
        <v>1.18293</v>
      </c>
      <c r="F30">
        <v>1.1530400000000001</v>
      </c>
      <c r="I30">
        <v>1208.0999999999999</v>
      </c>
      <c r="J30">
        <v>1.17906</v>
      </c>
      <c r="K30">
        <v>1.17249</v>
      </c>
      <c r="L30">
        <v>1.18832</v>
      </c>
      <c r="M30">
        <v>1.17004</v>
      </c>
      <c r="P30">
        <v>1161.5</v>
      </c>
      <c r="Q30">
        <v>1.17544</v>
      </c>
      <c r="R30">
        <v>1.1715199999999999</v>
      </c>
      <c r="S30">
        <v>1.1629400000000001</v>
      </c>
      <c r="T30">
        <v>1.18262</v>
      </c>
      <c r="W30">
        <v>734.67399999999998</v>
      </c>
      <c r="X30">
        <v>635.67600000000004</v>
      </c>
      <c r="Y30">
        <v>1499.67</v>
      </c>
      <c r="Z30">
        <v>1568.96</v>
      </c>
      <c r="AA30">
        <v>1440.18</v>
      </c>
      <c r="AD30">
        <v>685.85900000000004</v>
      </c>
      <c r="AE30">
        <v>726.11</v>
      </c>
      <c r="AF30">
        <v>1443.23</v>
      </c>
      <c r="AG30">
        <v>2089.81</v>
      </c>
      <c r="AH30">
        <v>1625.95</v>
      </c>
      <c r="AK30">
        <v>819.43499999999995</v>
      </c>
      <c r="AL30">
        <v>852.51900000000001</v>
      </c>
      <c r="AM30">
        <v>1494.43</v>
      </c>
      <c r="AN30">
        <v>1833.25</v>
      </c>
      <c r="AO30">
        <v>1811.49</v>
      </c>
    </row>
    <row r="31" spans="1:41" hidden="1">
      <c r="A31">
        <v>29</v>
      </c>
      <c r="B31">
        <v>1169.6400000000001</v>
      </c>
      <c r="C31">
        <v>1.1556200000000001</v>
      </c>
      <c r="D31">
        <v>1.1637500000000001</v>
      </c>
      <c r="E31">
        <v>1.1957100000000001</v>
      </c>
      <c r="F31">
        <v>1.25648</v>
      </c>
      <c r="I31">
        <v>1186.6199999999999</v>
      </c>
      <c r="J31">
        <v>1.18906</v>
      </c>
      <c r="K31">
        <v>1.18906</v>
      </c>
      <c r="L31">
        <v>1.16658</v>
      </c>
      <c r="M31">
        <v>1.19286</v>
      </c>
      <c r="P31">
        <v>1160.83</v>
      </c>
      <c r="Q31">
        <v>1.1874499999999999</v>
      </c>
      <c r="R31">
        <v>1.1683399999999999</v>
      </c>
      <c r="S31">
        <v>1.1864300000000001</v>
      </c>
      <c r="T31">
        <v>1.15652</v>
      </c>
      <c r="W31">
        <v>634.72900000000004</v>
      </c>
      <c r="X31">
        <v>630.13900000000001</v>
      </c>
      <c r="Y31">
        <v>1396.45</v>
      </c>
      <c r="Z31">
        <v>1458.85</v>
      </c>
      <c r="AA31">
        <v>1433.74</v>
      </c>
      <c r="AD31">
        <v>755.803</v>
      </c>
      <c r="AE31">
        <v>756.66</v>
      </c>
      <c r="AF31">
        <v>1733.52</v>
      </c>
      <c r="AG31">
        <v>2138.08</v>
      </c>
      <c r="AH31">
        <v>1588.66</v>
      </c>
      <c r="AK31">
        <v>740.01499999999999</v>
      </c>
      <c r="AL31">
        <v>740.42499999999995</v>
      </c>
      <c r="AM31">
        <v>1504.26</v>
      </c>
      <c r="AN31">
        <v>1562.88</v>
      </c>
      <c r="AO31">
        <v>2162.38</v>
      </c>
    </row>
    <row r="32" spans="1:41" hidden="1">
      <c r="A32">
        <v>30</v>
      </c>
      <c r="B32">
        <v>1182.3900000000001</v>
      </c>
      <c r="C32">
        <v>1.1564300000000001</v>
      </c>
      <c r="D32">
        <v>1.1913100000000001</v>
      </c>
      <c r="E32">
        <v>1.1606300000000001</v>
      </c>
      <c r="F32">
        <v>1.1729000000000001</v>
      </c>
      <c r="I32">
        <v>1167.07</v>
      </c>
      <c r="J32">
        <v>1.27214</v>
      </c>
      <c r="K32">
        <v>1.16751</v>
      </c>
      <c r="L32">
        <v>1.19276</v>
      </c>
      <c r="M32">
        <v>1.1657</v>
      </c>
      <c r="P32">
        <v>1181.5999999999999</v>
      </c>
      <c r="Q32">
        <v>1.25597</v>
      </c>
      <c r="R32">
        <v>1.1903999999999999</v>
      </c>
      <c r="S32">
        <v>1.1637599999999999</v>
      </c>
      <c r="T32">
        <v>1.1578200000000001</v>
      </c>
      <c r="W32">
        <v>696.67200000000003</v>
      </c>
      <c r="X32">
        <v>630.39400000000001</v>
      </c>
      <c r="Y32">
        <v>1568.86</v>
      </c>
      <c r="Z32">
        <v>1541.32</v>
      </c>
      <c r="AA32">
        <v>1550.63</v>
      </c>
      <c r="AD32">
        <v>668.64</v>
      </c>
      <c r="AE32">
        <v>645.85900000000004</v>
      </c>
      <c r="AF32">
        <v>1484.02</v>
      </c>
      <c r="AG32">
        <v>1918.59</v>
      </c>
      <c r="AH32">
        <v>1451.75</v>
      </c>
      <c r="AK32">
        <v>868.50699999999995</v>
      </c>
      <c r="AL32">
        <v>1083.3399999999999</v>
      </c>
      <c r="AM32">
        <v>1656.35</v>
      </c>
      <c r="AN32">
        <v>1717.08</v>
      </c>
      <c r="AO32">
        <v>1900.22</v>
      </c>
    </row>
    <row r="33" spans="1:41" hidden="1">
      <c r="A33">
        <v>31</v>
      </c>
      <c r="B33">
        <v>1154.6400000000001</v>
      </c>
      <c r="C33">
        <v>1.1815100000000001</v>
      </c>
      <c r="D33">
        <v>1.16547</v>
      </c>
      <c r="E33">
        <v>1.1904600000000001</v>
      </c>
      <c r="F33">
        <v>1.15557</v>
      </c>
      <c r="I33">
        <v>1182.33</v>
      </c>
      <c r="J33">
        <v>1.16757</v>
      </c>
      <c r="K33">
        <v>1.19051</v>
      </c>
      <c r="L33">
        <v>1.16709</v>
      </c>
      <c r="M33">
        <v>1.1912400000000001</v>
      </c>
      <c r="P33">
        <v>1182.58</v>
      </c>
      <c r="Q33">
        <v>1.1577999999999999</v>
      </c>
      <c r="R33">
        <v>1.1887000000000001</v>
      </c>
      <c r="S33">
        <v>1.16679</v>
      </c>
      <c r="T33">
        <v>1.1829099999999999</v>
      </c>
      <c r="W33">
        <v>738.09699999999998</v>
      </c>
      <c r="X33">
        <v>868.72699999999998</v>
      </c>
      <c r="Y33">
        <v>1619.33</v>
      </c>
      <c r="Z33">
        <v>1734.19</v>
      </c>
      <c r="AA33">
        <v>1606.42</v>
      </c>
      <c r="AD33">
        <v>708.59400000000005</v>
      </c>
      <c r="AE33">
        <v>672.08799999999997</v>
      </c>
      <c r="AF33">
        <v>1489.86</v>
      </c>
      <c r="AG33">
        <v>2185.6999999999998</v>
      </c>
      <c r="AH33">
        <v>1652.12</v>
      </c>
      <c r="AK33">
        <v>816.94399999999996</v>
      </c>
      <c r="AL33">
        <v>743.92399999999998</v>
      </c>
      <c r="AM33">
        <v>1851.25</v>
      </c>
      <c r="AN33">
        <v>1618.78</v>
      </c>
      <c r="AO33">
        <v>1596.11</v>
      </c>
    </row>
    <row r="34" spans="1:41" hidden="1">
      <c r="A34">
        <v>32</v>
      </c>
      <c r="B34">
        <v>1154.76</v>
      </c>
      <c r="C34">
        <v>1.19373</v>
      </c>
      <c r="D34">
        <v>1.1650700000000001</v>
      </c>
      <c r="E34">
        <v>1.1836800000000001</v>
      </c>
      <c r="F34">
        <v>1.1549799999999999</v>
      </c>
      <c r="I34">
        <v>1163.6400000000001</v>
      </c>
      <c r="J34">
        <v>1.1919299999999999</v>
      </c>
      <c r="K34">
        <v>1.16778</v>
      </c>
      <c r="L34">
        <v>1.1656299999999999</v>
      </c>
      <c r="M34">
        <v>1.18388</v>
      </c>
      <c r="P34">
        <v>1161.3800000000001</v>
      </c>
      <c r="Q34">
        <v>1.1816899999999999</v>
      </c>
      <c r="R34">
        <v>1.1690700000000001</v>
      </c>
      <c r="S34">
        <v>1.1887700000000001</v>
      </c>
      <c r="T34">
        <v>1.1549100000000001</v>
      </c>
      <c r="W34">
        <v>719.66700000000003</v>
      </c>
      <c r="X34">
        <v>659.78099999999995</v>
      </c>
      <c r="Y34">
        <v>1516.07</v>
      </c>
      <c r="Z34">
        <v>1559.33</v>
      </c>
      <c r="AA34">
        <v>1561.42</v>
      </c>
      <c r="AD34">
        <v>723.78899999999999</v>
      </c>
      <c r="AE34">
        <v>747.79899999999998</v>
      </c>
      <c r="AF34">
        <v>1615.92</v>
      </c>
      <c r="AG34">
        <v>2155.63</v>
      </c>
      <c r="AH34">
        <v>1626.87</v>
      </c>
      <c r="AK34">
        <v>847.69500000000005</v>
      </c>
      <c r="AL34">
        <v>860.07</v>
      </c>
      <c r="AM34">
        <v>1968.28</v>
      </c>
      <c r="AN34">
        <v>1912.74</v>
      </c>
      <c r="AO34">
        <v>1777.11</v>
      </c>
    </row>
    <row r="35" spans="1:41" hidden="1">
      <c r="A35">
        <v>33</v>
      </c>
      <c r="B35">
        <v>1177.9100000000001</v>
      </c>
      <c r="C35">
        <v>1.15534</v>
      </c>
      <c r="D35">
        <v>1.19017</v>
      </c>
      <c r="E35">
        <v>1.1732800000000001</v>
      </c>
      <c r="F35">
        <v>1.19858</v>
      </c>
      <c r="I35">
        <v>1162.8499999999999</v>
      </c>
      <c r="J35">
        <v>1.18997</v>
      </c>
      <c r="K35">
        <v>1.16733</v>
      </c>
      <c r="L35">
        <v>1.18574</v>
      </c>
      <c r="M35">
        <v>1.16652</v>
      </c>
      <c r="P35">
        <v>1187.81</v>
      </c>
      <c r="Q35">
        <v>1.15771</v>
      </c>
      <c r="R35">
        <v>1.18652</v>
      </c>
      <c r="S35">
        <v>1.1655</v>
      </c>
      <c r="T35">
        <v>1.1791</v>
      </c>
      <c r="W35">
        <v>760.69200000000001</v>
      </c>
      <c r="X35">
        <v>818.81500000000005</v>
      </c>
      <c r="Y35">
        <v>1630.34</v>
      </c>
      <c r="Z35">
        <v>1646.86</v>
      </c>
      <c r="AA35">
        <v>1421.71</v>
      </c>
      <c r="AD35">
        <v>756.47299999999996</v>
      </c>
      <c r="AE35">
        <v>771.43499999999995</v>
      </c>
      <c r="AF35">
        <v>1413.89</v>
      </c>
      <c r="AG35">
        <v>1950.96</v>
      </c>
      <c r="AH35">
        <v>1460.39</v>
      </c>
      <c r="AK35">
        <v>889.41200000000003</v>
      </c>
      <c r="AL35">
        <v>925.00199999999995</v>
      </c>
      <c r="AM35">
        <v>2014.8</v>
      </c>
      <c r="AN35">
        <v>2125.83</v>
      </c>
      <c r="AO35">
        <v>1894.73</v>
      </c>
    </row>
    <row r="36" spans="1:41" hidden="1">
      <c r="A36">
        <v>34</v>
      </c>
      <c r="B36">
        <v>1153.76</v>
      </c>
      <c r="C36">
        <v>1.1721600000000001</v>
      </c>
      <c r="D36">
        <v>1.1628499999999999</v>
      </c>
      <c r="E36">
        <v>1.1636299999999999</v>
      </c>
      <c r="F36">
        <v>1.1772199999999999</v>
      </c>
      <c r="I36">
        <v>1189.26</v>
      </c>
      <c r="J36">
        <v>1.1655</v>
      </c>
      <c r="K36">
        <v>1.2040900000000001</v>
      </c>
      <c r="L36">
        <v>1.16642</v>
      </c>
      <c r="M36">
        <v>1.1924399999999999</v>
      </c>
      <c r="P36">
        <v>1161.78</v>
      </c>
      <c r="Q36">
        <v>1.1773199999999999</v>
      </c>
      <c r="R36">
        <v>1.16944</v>
      </c>
      <c r="S36">
        <v>1.1637999999999999</v>
      </c>
      <c r="T36">
        <v>1.1785600000000001</v>
      </c>
      <c r="W36">
        <v>675.02599999999995</v>
      </c>
      <c r="X36">
        <v>657.65200000000004</v>
      </c>
      <c r="Y36">
        <v>1425.97</v>
      </c>
      <c r="Z36">
        <v>1497.76</v>
      </c>
      <c r="AA36">
        <v>1419.24</v>
      </c>
      <c r="AD36">
        <v>704.03099999999995</v>
      </c>
      <c r="AE36">
        <v>679.37099999999998</v>
      </c>
      <c r="AF36">
        <v>1514.64</v>
      </c>
      <c r="AG36">
        <v>2178.9499999999998</v>
      </c>
      <c r="AH36">
        <v>1724.07</v>
      </c>
      <c r="AK36">
        <v>802.04899999999998</v>
      </c>
      <c r="AL36">
        <v>787.24699999999996</v>
      </c>
      <c r="AM36">
        <v>1799.89</v>
      </c>
      <c r="AN36">
        <v>1590.86</v>
      </c>
      <c r="AO36">
        <v>1489.15</v>
      </c>
    </row>
    <row r="37" spans="1:41" hidden="1">
      <c r="A37">
        <v>35</v>
      </c>
      <c r="B37">
        <v>1260.32</v>
      </c>
      <c r="C37">
        <v>1.1566700000000001</v>
      </c>
      <c r="D37">
        <v>1.1635599999999999</v>
      </c>
      <c r="E37">
        <v>1.18458</v>
      </c>
      <c r="F37">
        <v>1.1550100000000001</v>
      </c>
      <c r="I37">
        <v>1164.42</v>
      </c>
      <c r="J37">
        <v>1.28851</v>
      </c>
      <c r="K37">
        <v>1.17035</v>
      </c>
      <c r="L37">
        <v>1.19669</v>
      </c>
      <c r="M37">
        <v>1.1644099999999999</v>
      </c>
      <c r="P37">
        <v>1164.1500000000001</v>
      </c>
      <c r="Q37">
        <v>1.1904300000000001</v>
      </c>
      <c r="R37">
        <v>1.2399</v>
      </c>
      <c r="S37">
        <v>1.1851</v>
      </c>
      <c r="T37">
        <v>1.1607099999999999</v>
      </c>
      <c r="W37">
        <v>679.15099999999995</v>
      </c>
      <c r="X37">
        <v>653.69899999999996</v>
      </c>
      <c r="Y37">
        <v>1465.81</v>
      </c>
      <c r="Z37">
        <v>1550.24</v>
      </c>
      <c r="AA37">
        <v>1502.82</v>
      </c>
      <c r="AD37">
        <v>762.68799999999999</v>
      </c>
      <c r="AE37">
        <v>795.09799999999996</v>
      </c>
      <c r="AF37">
        <v>1575.1</v>
      </c>
      <c r="AG37">
        <v>2152.37</v>
      </c>
      <c r="AH37">
        <v>1809.69</v>
      </c>
      <c r="AK37">
        <v>696.90200000000004</v>
      </c>
      <c r="AL37">
        <v>829.19100000000003</v>
      </c>
      <c r="AM37">
        <v>1743.08</v>
      </c>
      <c r="AN37">
        <v>1820.68</v>
      </c>
      <c r="AO37">
        <v>1623.92</v>
      </c>
    </row>
    <row r="38" spans="1:41" hidden="1">
      <c r="A38">
        <v>36</v>
      </c>
      <c r="B38">
        <v>1173.51</v>
      </c>
      <c r="C38">
        <v>1.15741</v>
      </c>
      <c r="D38">
        <v>1.18882</v>
      </c>
      <c r="E38">
        <v>1.1611400000000001</v>
      </c>
      <c r="F38">
        <v>1.1734</v>
      </c>
      <c r="I38">
        <v>1182.4000000000001</v>
      </c>
      <c r="J38">
        <v>1.1639900000000001</v>
      </c>
      <c r="K38">
        <v>1.1652899999999999</v>
      </c>
      <c r="L38">
        <v>1.18733</v>
      </c>
      <c r="M38">
        <v>1.18912</v>
      </c>
      <c r="P38">
        <v>1201.56</v>
      </c>
      <c r="Q38">
        <v>1.17502</v>
      </c>
      <c r="R38">
        <v>1.19082</v>
      </c>
      <c r="S38">
        <v>1.1657</v>
      </c>
      <c r="T38">
        <v>1.19343</v>
      </c>
      <c r="W38">
        <v>790.18799999999999</v>
      </c>
      <c r="X38">
        <v>730.73199999999997</v>
      </c>
      <c r="Y38">
        <v>1604.36</v>
      </c>
      <c r="Z38">
        <v>1559.49</v>
      </c>
      <c r="AA38">
        <v>1453.68</v>
      </c>
      <c r="AD38">
        <v>756.52700000000004</v>
      </c>
      <c r="AE38">
        <v>910.12099999999998</v>
      </c>
      <c r="AF38">
        <v>1400.07</v>
      </c>
      <c r="AG38">
        <v>1912.48</v>
      </c>
      <c r="AH38">
        <v>1546.04</v>
      </c>
      <c r="AK38">
        <v>848.76800000000003</v>
      </c>
      <c r="AL38">
        <v>789.37099999999998</v>
      </c>
      <c r="AM38">
        <v>1568.89</v>
      </c>
      <c r="AN38">
        <v>1624.68</v>
      </c>
      <c r="AO38">
        <v>1494.99</v>
      </c>
    </row>
    <row r="39" spans="1:41" hidden="1">
      <c r="A39">
        <v>37</v>
      </c>
      <c r="B39">
        <v>1152.48</v>
      </c>
      <c r="C39">
        <v>1.18164</v>
      </c>
      <c r="D39">
        <v>1.163</v>
      </c>
      <c r="E39">
        <v>1.1823300000000001</v>
      </c>
      <c r="F39">
        <v>1.1546700000000001</v>
      </c>
      <c r="I39">
        <v>1189.77</v>
      </c>
      <c r="J39">
        <v>1.17232</v>
      </c>
      <c r="K39">
        <v>1.2031499999999999</v>
      </c>
      <c r="L39">
        <v>1.1684000000000001</v>
      </c>
      <c r="M39">
        <v>1.1864300000000001</v>
      </c>
      <c r="P39">
        <v>1166.26</v>
      </c>
      <c r="Q39">
        <v>1.1667400000000001</v>
      </c>
      <c r="R39">
        <v>1.1710499999999999</v>
      </c>
      <c r="S39">
        <v>1.16293</v>
      </c>
      <c r="T39">
        <v>1.18401</v>
      </c>
      <c r="W39">
        <v>623.67899999999997</v>
      </c>
      <c r="X39">
        <v>630.86699999999996</v>
      </c>
      <c r="Y39">
        <v>1411.56</v>
      </c>
      <c r="Z39">
        <v>1809.21</v>
      </c>
      <c r="AA39">
        <v>1434.86</v>
      </c>
      <c r="AD39">
        <v>677.30100000000004</v>
      </c>
      <c r="AE39">
        <v>678.99699999999996</v>
      </c>
      <c r="AF39">
        <v>1652.3</v>
      </c>
      <c r="AG39">
        <v>1973.97</v>
      </c>
      <c r="AH39">
        <v>1403.17</v>
      </c>
      <c r="AK39">
        <v>690.87900000000002</v>
      </c>
      <c r="AL39">
        <v>662.90200000000004</v>
      </c>
      <c r="AM39">
        <v>1414.37</v>
      </c>
      <c r="AN39">
        <v>1617.97</v>
      </c>
      <c r="AO39">
        <v>1729.85</v>
      </c>
    </row>
    <row r="40" spans="1:41" hidden="1">
      <c r="A40">
        <v>38</v>
      </c>
      <c r="B40">
        <v>1175.4000000000001</v>
      </c>
      <c r="C40">
        <v>1.15493</v>
      </c>
      <c r="D40">
        <v>1.1902900000000001</v>
      </c>
      <c r="E40">
        <v>1.1611400000000001</v>
      </c>
      <c r="F40">
        <v>1.15602</v>
      </c>
      <c r="I40">
        <v>1164.23</v>
      </c>
      <c r="J40">
        <v>1.18662</v>
      </c>
      <c r="K40">
        <v>1.1680600000000001</v>
      </c>
      <c r="L40">
        <v>1.18821</v>
      </c>
      <c r="M40">
        <v>1.16706</v>
      </c>
      <c r="P40">
        <v>1163.32</v>
      </c>
      <c r="Q40">
        <v>1.18011</v>
      </c>
      <c r="R40">
        <v>1.1682600000000001</v>
      </c>
      <c r="S40">
        <v>1.2083999999999999</v>
      </c>
      <c r="T40">
        <v>1.16551</v>
      </c>
      <c r="W40">
        <v>676.62099999999998</v>
      </c>
      <c r="X40">
        <v>655.47799999999995</v>
      </c>
      <c r="Y40">
        <v>1431.75</v>
      </c>
      <c r="Z40">
        <v>1564.57</v>
      </c>
      <c r="AA40">
        <v>1478.53</v>
      </c>
      <c r="AD40">
        <v>646.03499999999997</v>
      </c>
      <c r="AE40">
        <v>661.78700000000003</v>
      </c>
      <c r="AF40">
        <v>1469.76</v>
      </c>
      <c r="AG40">
        <v>2140.6</v>
      </c>
      <c r="AH40">
        <v>1635.31</v>
      </c>
      <c r="AK40">
        <v>774.33900000000006</v>
      </c>
      <c r="AL40">
        <v>806.101</v>
      </c>
      <c r="AM40">
        <v>1617.87</v>
      </c>
      <c r="AN40">
        <v>1713.97</v>
      </c>
      <c r="AO40">
        <v>1632.01</v>
      </c>
    </row>
    <row r="41" spans="1:41" hidden="1">
      <c r="A41">
        <v>39</v>
      </c>
      <c r="B41">
        <v>1184.78</v>
      </c>
      <c r="C41">
        <v>1.15734</v>
      </c>
      <c r="D41">
        <v>1.1906000000000001</v>
      </c>
      <c r="E41">
        <v>1.1598299999999999</v>
      </c>
      <c r="F41">
        <v>1.17866</v>
      </c>
      <c r="I41">
        <v>1183.97</v>
      </c>
      <c r="J41">
        <v>1.16429</v>
      </c>
      <c r="K41">
        <v>1.1859200000000001</v>
      </c>
      <c r="L41">
        <v>1.1670700000000001</v>
      </c>
      <c r="M41">
        <v>1.1829799999999999</v>
      </c>
      <c r="P41">
        <v>1182.25</v>
      </c>
      <c r="Q41">
        <v>1.15821</v>
      </c>
      <c r="R41">
        <v>1.1823600000000001</v>
      </c>
      <c r="S41">
        <v>1.165</v>
      </c>
      <c r="T41">
        <v>1.1785099999999999</v>
      </c>
      <c r="W41">
        <v>627.51499999999999</v>
      </c>
      <c r="X41">
        <v>656.38</v>
      </c>
      <c r="Y41">
        <v>1367.23</v>
      </c>
      <c r="Z41">
        <v>1482.51</v>
      </c>
      <c r="AA41">
        <v>1393.77</v>
      </c>
      <c r="AD41">
        <v>733.09699999999998</v>
      </c>
      <c r="AE41">
        <v>742.76599999999996</v>
      </c>
      <c r="AF41">
        <v>1682.07</v>
      </c>
      <c r="AG41">
        <v>2286.4499999999998</v>
      </c>
      <c r="AH41">
        <v>1626.82</v>
      </c>
      <c r="AK41">
        <v>783.39</v>
      </c>
      <c r="AL41">
        <v>713.61699999999996</v>
      </c>
      <c r="AM41">
        <v>1465.1</v>
      </c>
      <c r="AN41">
        <v>1548.96</v>
      </c>
      <c r="AO41">
        <v>1554.75</v>
      </c>
    </row>
    <row r="42" spans="1:41" hidden="1">
      <c r="A42">
        <v>40</v>
      </c>
      <c r="B42">
        <v>1158.05</v>
      </c>
      <c r="C42">
        <v>1.26023</v>
      </c>
      <c r="D42">
        <v>1.16455</v>
      </c>
      <c r="E42">
        <v>1.1858</v>
      </c>
      <c r="F42">
        <v>1.1564000000000001</v>
      </c>
      <c r="I42">
        <v>1164.49</v>
      </c>
      <c r="J42">
        <v>1.19112</v>
      </c>
      <c r="K42">
        <v>1.2556700000000001</v>
      </c>
      <c r="L42">
        <v>1.1923699999999999</v>
      </c>
      <c r="M42">
        <v>1.1661300000000001</v>
      </c>
      <c r="P42">
        <v>1162.18</v>
      </c>
      <c r="Q42">
        <v>1.1879299999999999</v>
      </c>
      <c r="R42">
        <v>1.16882</v>
      </c>
      <c r="S42">
        <v>1.2295400000000001</v>
      </c>
      <c r="T42">
        <v>1.1829700000000001</v>
      </c>
      <c r="W42">
        <v>688.81700000000001</v>
      </c>
      <c r="X42">
        <v>626.51599999999996</v>
      </c>
      <c r="Y42">
        <v>1554.14</v>
      </c>
      <c r="Z42">
        <v>1493.78</v>
      </c>
      <c r="AA42">
        <v>1419.48</v>
      </c>
      <c r="AD42">
        <v>683.24400000000003</v>
      </c>
      <c r="AE42">
        <v>670.52800000000002</v>
      </c>
      <c r="AF42">
        <v>1399.83</v>
      </c>
      <c r="AG42">
        <v>1915.33</v>
      </c>
      <c r="AH42">
        <v>1448.51</v>
      </c>
      <c r="AK42">
        <v>743.28</v>
      </c>
      <c r="AL42">
        <v>737.471</v>
      </c>
      <c r="AM42">
        <v>1642.66</v>
      </c>
      <c r="AN42">
        <v>1740.34</v>
      </c>
      <c r="AO42">
        <v>1612.08</v>
      </c>
    </row>
    <row r="43" spans="1:41" hidden="1">
      <c r="A43">
        <v>41</v>
      </c>
      <c r="B43">
        <v>1174.33</v>
      </c>
      <c r="C43">
        <v>1.15625</v>
      </c>
      <c r="D43">
        <v>1.2252000000000001</v>
      </c>
      <c r="E43">
        <v>1.16167</v>
      </c>
      <c r="F43">
        <v>1.1797599999999999</v>
      </c>
      <c r="I43">
        <v>1164.46</v>
      </c>
      <c r="J43">
        <v>1.19486</v>
      </c>
      <c r="K43">
        <v>1.1690799999999999</v>
      </c>
      <c r="L43">
        <v>1.19242</v>
      </c>
      <c r="M43">
        <v>1.1661699999999999</v>
      </c>
      <c r="P43">
        <v>1163.2</v>
      </c>
      <c r="Q43">
        <v>1.17723</v>
      </c>
      <c r="R43">
        <v>1.1730799999999999</v>
      </c>
      <c r="S43">
        <v>1.1855</v>
      </c>
      <c r="T43">
        <v>1.15943</v>
      </c>
      <c r="W43">
        <v>625.43499999999995</v>
      </c>
      <c r="X43">
        <v>628.44899999999996</v>
      </c>
      <c r="Y43">
        <v>1393.19</v>
      </c>
      <c r="Z43">
        <v>1453.66</v>
      </c>
      <c r="AA43">
        <v>1407.12</v>
      </c>
      <c r="AD43">
        <v>714.84500000000003</v>
      </c>
      <c r="AE43">
        <v>677.38900000000001</v>
      </c>
      <c r="AF43">
        <v>1464.31</v>
      </c>
      <c r="AG43">
        <v>2033.24</v>
      </c>
      <c r="AH43">
        <v>1572.42</v>
      </c>
      <c r="AK43">
        <v>765.18899999999996</v>
      </c>
      <c r="AL43">
        <v>771.60199999999998</v>
      </c>
      <c r="AM43">
        <v>1570.43</v>
      </c>
      <c r="AN43">
        <v>1775.23</v>
      </c>
      <c r="AO43">
        <v>1663.6</v>
      </c>
    </row>
    <row r="44" spans="1:41" hidden="1">
      <c r="A44">
        <v>42</v>
      </c>
      <c r="B44">
        <v>1156.1400000000001</v>
      </c>
      <c r="C44">
        <v>1.17482</v>
      </c>
      <c r="D44">
        <v>1.1641900000000001</v>
      </c>
      <c r="E44">
        <v>1.1607400000000001</v>
      </c>
      <c r="F44">
        <v>1.1794100000000001</v>
      </c>
      <c r="I44">
        <v>1189.98</v>
      </c>
      <c r="J44">
        <v>1.16534</v>
      </c>
      <c r="K44">
        <v>1.2065900000000001</v>
      </c>
      <c r="L44">
        <v>1.16571</v>
      </c>
      <c r="M44">
        <v>1.1925699999999999</v>
      </c>
      <c r="P44">
        <v>1188.7</v>
      </c>
      <c r="Q44">
        <v>1.1613199999999999</v>
      </c>
      <c r="R44">
        <v>1.18927</v>
      </c>
      <c r="S44">
        <v>1.1640600000000001</v>
      </c>
      <c r="T44">
        <v>1.1813199999999999</v>
      </c>
      <c r="W44">
        <v>672.55600000000004</v>
      </c>
      <c r="X44">
        <v>626.50599999999997</v>
      </c>
      <c r="Y44">
        <v>1511.2</v>
      </c>
      <c r="Z44">
        <v>1644.14</v>
      </c>
      <c r="AA44">
        <v>1442.6</v>
      </c>
      <c r="AD44">
        <v>779.39099999999996</v>
      </c>
      <c r="AE44">
        <v>750.88499999999999</v>
      </c>
      <c r="AF44">
        <v>1590.86</v>
      </c>
      <c r="AG44">
        <v>2181.29</v>
      </c>
      <c r="AH44">
        <v>1617.83</v>
      </c>
      <c r="AK44">
        <v>751.85400000000004</v>
      </c>
      <c r="AL44">
        <v>756.62199999999996</v>
      </c>
      <c r="AM44">
        <v>1475.3</v>
      </c>
      <c r="AN44">
        <v>1521.08</v>
      </c>
      <c r="AO44">
        <v>1467.05</v>
      </c>
    </row>
    <row r="45" spans="1:41" hidden="1">
      <c r="A45">
        <v>43</v>
      </c>
      <c r="B45">
        <v>1155.4000000000001</v>
      </c>
      <c r="C45">
        <v>1.1824399999999999</v>
      </c>
      <c r="D45">
        <v>1.1636500000000001</v>
      </c>
      <c r="E45">
        <v>1.1861299999999999</v>
      </c>
      <c r="F45">
        <v>1.1524700000000001</v>
      </c>
      <c r="I45">
        <v>1183.23</v>
      </c>
      <c r="J45">
        <v>1.19581</v>
      </c>
      <c r="K45">
        <v>1.16805</v>
      </c>
      <c r="L45">
        <v>1.18161</v>
      </c>
      <c r="M45">
        <v>1.16551</v>
      </c>
      <c r="P45">
        <v>1166.02</v>
      </c>
      <c r="Q45">
        <v>1.18404</v>
      </c>
      <c r="R45">
        <v>1.17258</v>
      </c>
      <c r="S45">
        <v>1.19154</v>
      </c>
      <c r="T45">
        <v>1.1588799999999999</v>
      </c>
      <c r="W45">
        <v>656.89300000000003</v>
      </c>
      <c r="X45">
        <v>628.84699999999998</v>
      </c>
      <c r="Y45">
        <v>1364.89</v>
      </c>
      <c r="Z45">
        <v>1488.06</v>
      </c>
      <c r="AA45">
        <v>1398.56</v>
      </c>
      <c r="AD45">
        <v>776.56899999999996</v>
      </c>
      <c r="AE45">
        <v>693.75300000000004</v>
      </c>
      <c r="AF45">
        <v>1379.62</v>
      </c>
      <c r="AG45">
        <v>1919.39</v>
      </c>
      <c r="AH45">
        <v>1445.21</v>
      </c>
      <c r="AK45">
        <v>694.27300000000002</v>
      </c>
      <c r="AL45">
        <v>710.80499999999995</v>
      </c>
      <c r="AM45">
        <v>1550.3</v>
      </c>
      <c r="AN45">
        <v>1720.74</v>
      </c>
      <c r="AO45">
        <v>1707.41</v>
      </c>
    </row>
    <row r="46" spans="1:41" hidden="1">
      <c r="A46">
        <v>44</v>
      </c>
      <c r="B46">
        <v>1173.49</v>
      </c>
      <c r="C46">
        <v>1.1563699999999999</v>
      </c>
      <c r="D46">
        <v>1.18424</v>
      </c>
      <c r="E46">
        <v>1.1610100000000001</v>
      </c>
      <c r="F46">
        <v>1.1522600000000001</v>
      </c>
      <c r="I46">
        <v>1188.6500000000001</v>
      </c>
      <c r="J46">
        <v>1.16777</v>
      </c>
      <c r="K46">
        <v>1.1938</v>
      </c>
      <c r="L46">
        <v>1.16612</v>
      </c>
      <c r="M46">
        <v>1.16679</v>
      </c>
      <c r="P46">
        <v>1163.82</v>
      </c>
      <c r="Q46">
        <v>1.1777200000000001</v>
      </c>
      <c r="R46">
        <v>1.1727300000000001</v>
      </c>
      <c r="S46">
        <v>1.18476</v>
      </c>
      <c r="T46">
        <v>1.16269</v>
      </c>
      <c r="W46">
        <v>701.16700000000003</v>
      </c>
      <c r="X46">
        <v>628.98699999999997</v>
      </c>
      <c r="Y46">
        <v>1476.64</v>
      </c>
      <c r="Z46">
        <v>1646.45</v>
      </c>
      <c r="AA46">
        <v>1628.7</v>
      </c>
      <c r="AD46">
        <v>798.29700000000003</v>
      </c>
      <c r="AE46">
        <v>685.69</v>
      </c>
      <c r="AF46">
        <v>1520.46</v>
      </c>
      <c r="AG46">
        <v>2138.56</v>
      </c>
      <c r="AH46">
        <v>1630.61</v>
      </c>
      <c r="AK46">
        <v>769.24</v>
      </c>
      <c r="AL46">
        <v>762.78</v>
      </c>
      <c r="AM46">
        <v>1579.35</v>
      </c>
      <c r="AN46">
        <v>1847.1</v>
      </c>
      <c r="AO46">
        <v>1652.2</v>
      </c>
    </row>
    <row r="47" spans="1:41" hidden="1">
      <c r="A47">
        <v>45</v>
      </c>
      <c r="B47">
        <v>1184.74</v>
      </c>
      <c r="C47">
        <v>1.1611400000000001</v>
      </c>
      <c r="D47">
        <v>1.2155499999999999</v>
      </c>
      <c r="E47">
        <v>1.16367</v>
      </c>
      <c r="F47">
        <v>1.17533</v>
      </c>
      <c r="I47">
        <v>1189.02</v>
      </c>
      <c r="J47">
        <v>1.1667700000000001</v>
      </c>
      <c r="K47">
        <v>1.18716</v>
      </c>
      <c r="L47">
        <v>1.26159</v>
      </c>
      <c r="M47">
        <v>1.18381</v>
      </c>
      <c r="P47">
        <v>1187.57</v>
      </c>
      <c r="Q47">
        <v>1.15659</v>
      </c>
      <c r="R47">
        <v>1.1839599999999999</v>
      </c>
      <c r="S47">
        <v>1.16086</v>
      </c>
      <c r="T47">
        <v>1.1995</v>
      </c>
      <c r="W47">
        <v>738.67100000000005</v>
      </c>
      <c r="X47">
        <v>755.404</v>
      </c>
      <c r="Y47">
        <v>1611.84</v>
      </c>
      <c r="Z47">
        <v>1706.58</v>
      </c>
      <c r="AA47">
        <v>1611.63</v>
      </c>
      <c r="AD47">
        <v>686.95399999999995</v>
      </c>
      <c r="AE47">
        <v>669.18799999999999</v>
      </c>
      <c r="AF47">
        <v>1408.19</v>
      </c>
      <c r="AG47">
        <v>1929.41</v>
      </c>
      <c r="AH47">
        <v>1539.35</v>
      </c>
      <c r="AK47">
        <v>719.92100000000005</v>
      </c>
      <c r="AL47">
        <v>699.58</v>
      </c>
      <c r="AM47">
        <v>1532.08</v>
      </c>
      <c r="AN47">
        <v>1784.43</v>
      </c>
      <c r="AO47">
        <v>1646.84</v>
      </c>
    </row>
    <row r="48" spans="1:41" hidden="1">
      <c r="A48">
        <v>46</v>
      </c>
      <c r="B48">
        <v>1159.8900000000001</v>
      </c>
      <c r="C48">
        <v>1.1686799999999999</v>
      </c>
      <c r="D48">
        <v>1.1633899999999999</v>
      </c>
      <c r="E48">
        <v>1.1933</v>
      </c>
      <c r="F48">
        <v>1.1556599999999999</v>
      </c>
      <c r="I48">
        <v>1164.1300000000001</v>
      </c>
      <c r="J48">
        <v>1.19722</v>
      </c>
      <c r="K48">
        <v>1.16717</v>
      </c>
      <c r="L48">
        <v>1.18811</v>
      </c>
      <c r="M48">
        <v>1.18364</v>
      </c>
      <c r="P48">
        <v>1165.1099999999999</v>
      </c>
      <c r="Q48">
        <v>1.17902</v>
      </c>
      <c r="R48">
        <v>1.1694899999999999</v>
      </c>
      <c r="S48">
        <v>1.1847799999999999</v>
      </c>
      <c r="T48">
        <v>1.1575800000000001</v>
      </c>
      <c r="W48">
        <v>812.85500000000002</v>
      </c>
      <c r="X48">
        <v>733.79700000000003</v>
      </c>
      <c r="Y48">
        <v>1528.11</v>
      </c>
      <c r="Z48">
        <v>1493.02</v>
      </c>
      <c r="AA48">
        <v>1428.93</v>
      </c>
      <c r="AD48">
        <v>741.50199999999995</v>
      </c>
      <c r="AE48">
        <v>758.93700000000001</v>
      </c>
      <c r="AF48">
        <v>1566.26</v>
      </c>
      <c r="AG48">
        <v>2205.25</v>
      </c>
      <c r="AH48">
        <v>1684.73</v>
      </c>
      <c r="AK48">
        <v>748.08</v>
      </c>
      <c r="AL48">
        <v>754.43700000000001</v>
      </c>
      <c r="AM48">
        <v>1630.79</v>
      </c>
      <c r="AN48">
        <v>1600.37</v>
      </c>
      <c r="AO48">
        <v>1465.1</v>
      </c>
    </row>
    <row r="49" spans="1:41" hidden="1">
      <c r="A49">
        <v>47</v>
      </c>
      <c r="B49">
        <v>1168.8399999999999</v>
      </c>
      <c r="C49">
        <v>1.15889</v>
      </c>
      <c r="D49">
        <v>1.1904999999999999</v>
      </c>
      <c r="E49">
        <v>1.16178</v>
      </c>
      <c r="F49">
        <v>1.1831499999999999</v>
      </c>
      <c r="I49">
        <v>1181.76</v>
      </c>
      <c r="J49">
        <v>1.16869</v>
      </c>
      <c r="K49">
        <v>1.19987</v>
      </c>
      <c r="L49">
        <v>1.1648099999999999</v>
      </c>
      <c r="M49">
        <v>1.18919</v>
      </c>
      <c r="P49">
        <v>1193.33</v>
      </c>
      <c r="Q49">
        <v>1.1596900000000001</v>
      </c>
      <c r="R49">
        <v>1.19445</v>
      </c>
      <c r="S49">
        <v>1.165</v>
      </c>
      <c r="T49">
        <v>1.1590100000000001</v>
      </c>
      <c r="W49">
        <v>653.33100000000002</v>
      </c>
      <c r="X49">
        <v>738.971</v>
      </c>
      <c r="Y49">
        <v>1533.42</v>
      </c>
      <c r="Z49">
        <v>1595.62</v>
      </c>
      <c r="AA49">
        <v>1619.64</v>
      </c>
      <c r="AD49">
        <v>657.495</v>
      </c>
      <c r="AE49">
        <v>670.68</v>
      </c>
      <c r="AF49">
        <v>1418.2</v>
      </c>
      <c r="AG49">
        <v>1888.25</v>
      </c>
      <c r="AH49">
        <v>1442.94</v>
      </c>
      <c r="AK49">
        <v>719.75099999999998</v>
      </c>
      <c r="AL49">
        <v>674.57100000000003</v>
      </c>
      <c r="AM49">
        <v>1501.1</v>
      </c>
      <c r="AN49">
        <v>1540.04</v>
      </c>
      <c r="AO49">
        <v>1550.38</v>
      </c>
    </row>
    <row r="50" spans="1:41" hidden="1">
      <c r="A50">
        <v>48</v>
      </c>
      <c r="B50">
        <v>1184.99</v>
      </c>
      <c r="C50">
        <v>1.1966600000000001</v>
      </c>
      <c r="D50">
        <v>1.1652199999999999</v>
      </c>
      <c r="E50">
        <v>1.16208</v>
      </c>
      <c r="F50">
        <v>1.1890099999999999</v>
      </c>
      <c r="I50">
        <v>1167.69</v>
      </c>
      <c r="J50">
        <v>1.19485</v>
      </c>
      <c r="K50">
        <v>1.16632</v>
      </c>
      <c r="L50">
        <v>1.1915100000000001</v>
      </c>
      <c r="M50">
        <v>1.16795</v>
      </c>
      <c r="P50">
        <v>1189.3699999999999</v>
      </c>
      <c r="Q50">
        <v>1.15933</v>
      </c>
      <c r="R50">
        <v>1.19648</v>
      </c>
      <c r="S50">
        <v>1.16188</v>
      </c>
      <c r="T50">
        <v>1.1839500000000001</v>
      </c>
      <c r="W50">
        <v>810.66099999999994</v>
      </c>
      <c r="X50">
        <v>724.178</v>
      </c>
      <c r="Y50">
        <v>1657.31</v>
      </c>
      <c r="Z50">
        <v>1757.9</v>
      </c>
      <c r="AA50">
        <v>1581.23</v>
      </c>
      <c r="AD50">
        <v>645.02599999999995</v>
      </c>
      <c r="AE50">
        <v>670.07799999999997</v>
      </c>
      <c r="AF50">
        <v>1376.31</v>
      </c>
      <c r="AG50">
        <v>1891.47</v>
      </c>
      <c r="AH50">
        <v>1519.51</v>
      </c>
      <c r="AK50">
        <v>755.72799999999995</v>
      </c>
      <c r="AL50">
        <v>738.56200000000001</v>
      </c>
      <c r="AM50">
        <v>1652.08</v>
      </c>
      <c r="AN50">
        <v>1696.37</v>
      </c>
      <c r="AO50">
        <v>1644.8</v>
      </c>
    </row>
    <row r="51" spans="1:41" hidden="1">
      <c r="A51">
        <v>49</v>
      </c>
      <c r="B51">
        <v>1155.75</v>
      </c>
      <c r="C51">
        <v>1.1770700000000001</v>
      </c>
      <c r="D51">
        <v>1.1669700000000001</v>
      </c>
      <c r="E51">
        <v>1.2991900000000001</v>
      </c>
      <c r="F51">
        <v>1.1652</v>
      </c>
      <c r="I51">
        <v>1163.6300000000001</v>
      </c>
      <c r="J51">
        <v>1.19313</v>
      </c>
      <c r="K51">
        <v>1.1697299999999999</v>
      </c>
      <c r="L51">
        <v>1.19001</v>
      </c>
      <c r="M51">
        <v>1.1645000000000001</v>
      </c>
      <c r="P51">
        <v>1162.07</v>
      </c>
      <c r="Q51">
        <v>1.18424</v>
      </c>
      <c r="R51">
        <v>1.17639</v>
      </c>
      <c r="S51">
        <v>1.18144</v>
      </c>
      <c r="T51">
        <v>1.15629</v>
      </c>
      <c r="W51">
        <v>711.12400000000002</v>
      </c>
      <c r="X51">
        <v>731.90200000000004</v>
      </c>
      <c r="Y51">
        <v>1550.96</v>
      </c>
      <c r="Z51">
        <v>1572.38</v>
      </c>
      <c r="AA51">
        <v>1427.89</v>
      </c>
      <c r="AD51">
        <v>699.25699999999995</v>
      </c>
      <c r="AE51">
        <v>675.01900000000001</v>
      </c>
      <c r="AF51">
        <v>1474.81</v>
      </c>
      <c r="AG51">
        <v>1966.48</v>
      </c>
      <c r="AH51">
        <v>1620.46</v>
      </c>
      <c r="AK51">
        <v>742.47199999999998</v>
      </c>
      <c r="AL51">
        <v>792.88</v>
      </c>
      <c r="AM51">
        <v>1611.36</v>
      </c>
      <c r="AN51">
        <v>1758.37</v>
      </c>
      <c r="AO51">
        <v>1610.72</v>
      </c>
    </row>
    <row r="52" spans="1:41" hidden="1">
      <c r="A52">
        <v>50</v>
      </c>
      <c r="B52">
        <v>1176.97</v>
      </c>
      <c r="C52">
        <v>1.15507</v>
      </c>
      <c r="D52">
        <v>1.2693700000000001</v>
      </c>
      <c r="E52">
        <v>1.17079</v>
      </c>
      <c r="F52">
        <v>1.1782600000000001</v>
      </c>
      <c r="I52">
        <v>1189.0899999999999</v>
      </c>
      <c r="J52">
        <v>1.17645</v>
      </c>
      <c r="K52">
        <v>1.1875</v>
      </c>
      <c r="L52">
        <v>1.1653899999999999</v>
      </c>
      <c r="M52">
        <v>1.2961</v>
      </c>
      <c r="P52">
        <v>1190.97</v>
      </c>
      <c r="Q52">
        <v>1.1910099999999999</v>
      </c>
      <c r="R52">
        <v>1.18607</v>
      </c>
      <c r="S52">
        <v>1.1640600000000001</v>
      </c>
      <c r="T52">
        <v>1.2602</v>
      </c>
      <c r="W52">
        <v>728.755</v>
      </c>
      <c r="X52">
        <v>663.56500000000005</v>
      </c>
      <c r="Y52">
        <v>1518.81</v>
      </c>
      <c r="Z52">
        <v>1641.01</v>
      </c>
      <c r="AA52">
        <v>1460.79</v>
      </c>
      <c r="AD52">
        <v>784.98099999999999</v>
      </c>
      <c r="AE52">
        <v>774.04200000000003</v>
      </c>
      <c r="AF52">
        <v>1490.72</v>
      </c>
      <c r="AG52">
        <v>2018.71</v>
      </c>
      <c r="AH52">
        <v>1405.92</v>
      </c>
      <c r="AK52">
        <v>712.30100000000004</v>
      </c>
      <c r="AL52">
        <v>870.23400000000004</v>
      </c>
      <c r="AM52">
        <v>1486.29</v>
      </c>
      <c r="AN52">
        <v>1559.66</v>
      </c>
      <c r="AO52">
        <v>1459.92</v>
      </c>
    </row>
    <row r="53" spans="1:41" hidden="1">
      <c r="A53">
        <v>51</v>
      </c>
      <c r="B53">
        <v>1154.52</v>
      </c>
      <c r="C53">
        <v>1.1759599999999999</v>
      </c>
      <c r="D53">
        <v>1.1640299999999999</v>
      </c>
      <c r="E53">
        <v>1.18858</v>
      </c>
      <c r="F53">
        <v>1.1518200000000001</v>
      </c>
      <c r="I53">
        <v>1164.55</v>
      </c>
      <c r="J53">
        <v>1.19286</v>
      </c>
      <c r="K53">
        <v>1.1685300000000001</v>
      </c>
      <c r="L53">
        <v>1.19337</v>
      </c>
      <c r="M53">
        <v>1.1661999999999999</v>
      </c>
      <c r="P53">
        <v>1166.05</v>
      </c>
      <c r="Q53">
        <v>1.15689</v>
      </c>
      <c r="R53">
        <v>1.19337</v>
      </c>
      <c r="S53">
        <v>1.1626700000000001</v>
      </c>
      <c r="T53">
        <v>1.1848799999999999</v>
      </c>
      <c r="W53">
        <v>744.45500000000004</v>
      </c>
      <c r="X53">
        <v>762.68100000000004</v>
      </c>
      <c r="Y53">
        <v>1713</v>
      </c>
      <c r="Z53">
        <v>1656.24</v>
      </c>
      <c r="AA53">
        <v>1593</v>
      </c>
      <c r="AD53">
        <v>673.46799999999996</v>
      </c>
      <c r="AE53">
        <v>646.37699999999995</v>
      </c>
      <c r="AF53">
        <v>1377.12</v>
      </c>
      <c r="AG53">
        <v>1907.14</v>
      </c>
      <c r="AH53">
        <v>1439.33</v>
      </c>
      <c r="AK53">
        <v>710.95100000000002</v>
      </c>
      <c r="AL53">
        <v>676.03099999999995</v>
      </c>
      <c r="AM53">
        <v>1570.67</v>
      </c>
      <c r="AN53">
        <v>1677.24</v>
      </c>
      <c r="AO53">
        <v>1665.75</v>
      </c>
    </row>
    <row r="54" spans="1:41" hidden="1">
      <c r="A54">
        <v>52</v>
      </c>
      <c r="B54">
        <v>1192.0999999999999</v>
      </c>
      <c r="C54">
        <v>1.16154</v>
      </c>
      <c r="D54">
        <v>1.18076</v>
      </c>
      <c r="E54">
        <v>1.16479</v>
      </c>
      <c r="F54">
        <v>1.1574500000000001</v>
      </c>
      <c r="I54">
        <v>1187.18</v>
      </c>
      <c r="J54">
        <v>1.1668700000000001</v>
      </c>
      <c r="K54">
        <v>1.1936899999999999</v>
      </c>
      <c r="L54">
        <v>1.1683300000000001</v>
      </c>
      <c r="M54">
        <v>1.19028</v>
      </c>
      <c r="P54">
        <v>1167.3</v>
      </c>
      <c r="Q54">
        <v>1.21028</v>
      </c>
      <c r="R54">
        <v>1.1740299999999999</v>
      </c>
      <c r="S54">
        <v>1.18421</v>
      </c>
      <c r="T54">
        <v>1.1787300000000001</v>
      </c>
      <c r="W54">
        <v>843.02300000000002</v>
      </c>
      <c r="X54">
        <v>784.87300000000005</v>
      </c>
      <c r="Y54">
        <v>1483.9</v>
      </c>
      <c r="Z54">
        <v>1493.18</v>
      </c>
      <c r="AA54">
        <v>1483.17</v>
      </c>
      <c r="AD54">
        <v>649.71</v>
      </c>
      <c r="AE54">
        <v>646.14200000000005</v>
      </c>
      <c r="AF54">
        <v>1407.58</v>
      </c>
      <c r="AG54">
        <v>1913.63</v>
      </c>
      <c r="AH54">
        <v>1426.6</v>
      </c>
      <c r="AK54">
        <v>741.37800000000004</v>
      </c>
      <c r="AL54">
        <v>757.82799999999997</v>
      </c>
      <c r="AM54">
        <v>1618.32</v>
      </c>
      <c r="AN54">
        <v>1691.48</v>
      </c>
      <c r="AO54">
        <v>1523.95</v>
      </c>
    </row>
    <row r="55" spans="1:41" hidden="1">
      <c r="A55">
        <v>53</v>
      </c>
      <c r="B55">
        <v>1185.73</v>
      </c>
      <c r="C55">
        <v>1.1586399999999999</v>
      </c>
      <c r="D55">
        <v>1.31847</v>
      </c>
      <c r="E55">
        <v>1.35422</v>
      </c>
      <c r="F55">
        <v>1.29098</v>
      </c>
      <c r="I55">
        <v>1176.1099999999999</v>
      </c>
      <c r="J55">
        <v>1.1916100000000001</v>
      </c>
      <c r="K55">
        <v>1.1673199999999999</v>
      </c>
      <c r="L55">
        <v>1.19326</v>
      </c>
      <c r="M55">
        <v>1.1664000000000001</v>
      </c>
      <c r="P55">
        <v>1186.0999999999999</v>
      </c>
      <c r="Q55">
        <v>1.1560600000000001</v>
      </c>
      <c r="R55">
        <v>1.18842</v>
      </c>
      <c r="S55">
        <v>1.1655899999999999</v>
      </c>
      <c r="T55">
        <v>1.19096</v>
      </c>
      <c r="W55">
        <v>664.995</v>
      </c>
      <c r="X55">
        <v>665.18299999999999</v>
      </c>
      <c r="Y55">
        <v>1453.23</v>
      </c>
      <c r="Z55">
        <v>1586.29</v>
      </c>
      <c r="AA55">
        <v>1571.61</v>
      </c>
      <c r="AD55">
        <v>745.56899999999996</v>
      </c>
      <c r="AE55">
        <v>806.29499999999996</v>
      </c>
      <c r="AF55">
        <v>1669.72</v>
      </c>
      <c r="AG55">
        <v>2434.65</v>
      </c>
      <c r="AH55">
        <v>1611</v>
      </c>
      <c r="AK55">
        <v>690.22699999999998</v>
      </c>
      <c r="AL55">
        <v>670.39</v>
      </c>
      <c r="AM55">
        <v>1490.1</v>
      </c>
      <c r="AN55">
        <v>1622.81</v>
      </c>
      <c r="AO55">
        <v>1610.05</v>
      </c>
    </row>
    <row r="56" spans="1:41" hidden="1">
      <c r="A56">
        <v>54</v>
      </c>
      <c r="B56">
        <v>1220.6199999999999</v>
      </c>
      <c r="C56">
        <v>1.2577700000000001</v>
      </c>
      <c r="D56">
        <v>1.1686000000000001</v>
      </c>
      <c r="E56">
        <v>1.19133</v>
      </c>
      <c r="F56">
        <v>1.1528400000000001</v>
      </c>
      <c r="I56">
        <v>1164.83</v>
      </c>
      <c r="J56">
        <v>1.1811499999999999</v>
      </c>
      <c r="K56">
        <v>1.16967</v>
      </c>
      <c r="L56">
        <v>1.1932700000000001</v>
      </c>
      <c r="M56">
        <v>1.16683</v>
      </c>
      <c r="P56">
        <v>1162.01</v>
      </c>
      <c r="Q56">
        <v>1.1808000000000001</v>
      </c>
      <c r="R56">
        <v>1.16883</v>
      </c>
      <c r="S56">
        <v>1.19234</v>
      </c>
      <c r="T56">
        <v>1.15777</v>
      </c>
      <c r="W56">
        <v>737.58199999999999</v>
      </c>
      <c r="X56">
        <v>854.17499999999995</v>
      </c>
      <c r="Y56">
        <v>1558.28</v>
      </c>
      <c r="Z56">
        <v>1524.8</v>
      </c>
      <c r="AA56">
        <v>1395.8</v>
      </c>
      <c r="AD56">
        <v>813.23</v>
      </c>
      <c r="AE56">
        <v>734.32899999999995</v>
      </c>
      <c r="AF56">
        <v>1612.05</v>
      </c>
      <c r="AG56">
        <v>2140.5300000000002</v>
      </c>
      <c r="AH56">
        <v>1664.65</v>
      </c>
      <c r="AK56">
        <v>778.56899999999996</v>
      </c>
      <c r="AL56">
        <v>779.96100000000001</v>
      </c>
      <c r="AM56">
        <v>1655.85</v>
      </c>
      <c r="AN56">
        <v>1693.73</v>
      </c>
      <c r="AO56">
        <v>1642.64</v>
      </c>
    </row>
    <row r="57" spans="1:41" hidden="1">
      <c r="A57">
        <v>55</v>
      </c>
      <c r="B57">
        <v>1179.52</v>
      </c>
      <c r="C57">
        <v>1.1616</v>
      </c>
      <c r="D57">
        <v>1.1820200000000001</v>
      </c>
      <c r="E57">
        <v>1.26939</v>
      </c>
      <c r="F57">
        <v>1.1732899999999999</v>
      </c>
      <c r="I57">
        <v>1190.79</v>
      </c>
      <c r="J57">
        <v>1.16412</v>
      </c>
      <c r="K57">
        <v>1.1849000000000001</v>
      </c>
      <c r="L57">
        <v>1.1666300000000001</v>
      </c>
      <c r="M57">
        <v>1.1917500000000001</v>
      </c>
      <c r="P57">
        <v>1161.83</v>
      </c>
      <c r="Q57">
        <v>1.1842699999999999</v>
      </c>
      <c r="R57">
        <v>1.1710400000000001</v>
      </c>
      <c r="S57">
        <v>1.19217</v>
      </c>
      <c r="T57">
        <v>1.1599299999999999</v>
      </c>
      <c r="W57">
        <v>624.44299999999998</v>
      </c>
      <c r="X57">
        <v>655.75199999999995</v>
      </c>
      <c r="Y57">
        <v>1367.69</v>
      </c>
      <c r="Z57">
        <v>1492.93</v>
      </c>
      <c r="AA57">
        <v>1392.65</v>
      </c>
      <c r="AD57">
        <v>731.85199999999998</v>
      </c>
      <c r="AE57">
        <v>735.62300000000005</v>
      </c>
      <c r="AF57">
        <v>1535.34</v>
      </c>
      <c r="AG57">
        <v>1943.3</v>
      </c>
      <c r="AH57">
        <v>1402.67</v>
      </c>
      <c r="AK57">
        <v>867.16099999999994</v>
      </c>
      <c r="AL57">
        <v>759.29399999999998</v>
      </c>
      <c r="AM57">
        <v>1735.86</v>
      </c>
      <c r="AN57">
        <v>1896.46</v>
      </c>
      <c r="AO57">
        <v>1710.25</v>
      </c>
    </row>
    <row r="58" spans="1:41" hidden="1">
      <c r="A58">
        <v>56</v>
      </c>
      <c r="B58">
        <v>1149.2</v>
      </c>
      <c r="C58">
        <v>1.1890000000000001</v>
      </c>
      <c r="D58">
        <v>1.1632400000000001</v>
      </c>
      <c r="E58">
        <v>1.1876500000000001</v>
      </c>
      <c r="F58">
        <v>1.1620900000000001</v>
      </c>
      <c r="I58">
        <v>1200.31</v>
      </c>
      <c r="J58">
        <v>1.19601</v>
      </c>
      <c r="K58">
        <v>1.1671899999999999</v>
      </c>
      <c r="L58">
        <v>1.1895100000000001</v>
      </c>
      <c r="M58">
        <v>1.1671400000000001</v>
      </c>
      <c r="P58">
        <v>1186.57</v>
      </c>
      <c r="Q58">
        <v>1.2561100000000001</v>
      </c>
      <c r="R58">
        <v>1.1876500000000001</v>
      </c>
      <c r="S58">
        <v>1.16252</v>
      </c>
      <c r="T58">
        <v>1.1856800000000001</v>
      </c>
      <c r="W58">
        <v>712.64300000000003</v>
      </c>
      <c r="X58">
        <v>667.90300000000002</v>
      </c>
      <c r="Y58">
        <v>1493.87</v>
      </c>
      <c r="Z58">
        <v>1538.3</v>
      </c>
      <c r="AA58">
        <v>1463.79</v>
      </c>
      <c r="AD58">
        <v>665.226</v>
      </c>
      <c r="AE58">
        <v>648.9</v>
      </c>
      <c r="AF58">
        <v>1393.81</v>
      </c>
      <c r="AG58">
        <v>1956.51</v>
      </c>
      <c r="AH58">
        <v>1723.09</v>
      </c>
      <c r="AK58">
        <v>813.23800000000006</v>
      </c>
      <c r="AL58">
        <v>697.16800000000001</v>
      </c>
      <c r="AM58">
        <v>1488.91</v>
      </c>
      <c r="AN58">
        <v>1543.6</v>
      </c>
      <c r="AO58">
        <v>1509.38</v>
      </c>
    </row>
    <row r="59" spans="1:41" hidden="1">
      <c r="A59">
        <v>57</v>
      </c>
      <c r="B59">
        <v>1155.51</v>
      </c>
      <c r="C59">
        <v>1.2834000000000001</v>
      </c>
      <c r="D59">
        <v>1.17323</v>
      </c>
      <c r="E59">
        <v>1.18343</v>
      </c>
      <c r="F59">
        <v>1.1511800000000001</v>
      </c>
      <c r="I59">
        <v>1168.81</v>
      </c>
      <c r="J59">
        <v>1.18729</v>
      </c>
      <c r="K59">
        <v>1.2809900000000001</v>
      </c>
      <c r="L59">
        <v>1.17831</v>
      </c>
      <c r="M59">
        <v>1.2057500000000001</v>
      </c>
      <c r="P59">
        <v>1162.01</v>
      </c>
      <c r="Q59">
        <v>1.19217</v>
      </c>
      <c r="R59">
        <v>1.1955899999999999</v>
      </c>
      <c r="S59">
        <v>1.2000999999999999</v>
      </c>
      <c r="T59">
        <v>1.1595299999999999</v>
      </c>
      <c r="W59">
        <v>678.07</v>
      </c>
      <c r="X59">
        <v>767.06600000000003</v>
      </c>
      <c r="Y59">
        <v>1705.7</v>
      </c>
      <c r="Z59">
        <v>1639.18</v>
      </c>
      <c r="AA59">
        <v>1483.18</v>
      </c>
      <c r="AD59">
        <v>750.28</v>
      </c>
      <c r="AE59">
        <v>737.44500000000005</v>
      </c>
      <c r="AF59">
        <v>1616.99</v>
      </c>
      <c r="AG59">
        <v>2147.5700000000002</v>
      </c>
      <c r="AH59">
        <v>1667.33</v>
      </c>
      <c r="AK59">
        <v>698.23900000000003</v>
      </c>
      <c r="AL59">
        <v>734.60799999999995</v>
      </c>
      <c r="AM59">
        <v>1659.02</v>
      </c>
      <c r="AN59">
        <v>1646.52</v>
      </c>
      <c r="AO59">
        <v>1643.19</v>
      </c>
    </row>
    <row r="60" spans="1:41" hidden="1">
      <c r="A60">
        <v>58</v>
      </c>
      <c r="B60">
        <v>1170.25</v>
      </c>
      <c r="C60">
        <v>1.1562600000000001</v>
      </c>
      <c r="D60">
        <v>1.1862699999999999</v>
      </c>
      <c r="E60">
        <v>1.16238</v>
      </c>
      <c r="F60">
        <v>1.1822299999999999</v>
      </c>
      <c r="I60">
        <v>1202.1199999999999</v>
      </c>
      <c r="J60">
        <v>1.17883</v>
      </c>
      <c r="K60">
        <v>1.1841299999999999</v>
      </c>
      <c r="L60">
        <v>1.1671199999999999</v>
      </c>
      <c r="M60">
        <v>1.18557</v>
      </c>
      <c r="P60">
        <v>1184.1600000000001</v>
      </c>
      <c r="Q60">
        <v>1.1598900000000001</v>
      </c>
      <c r="R60">
        <v>1.1952199999999999</v>
      </c>
      <c r="S60">
        <v>1.17066</v>
      </c>
      <c r="T60">
        <v>1.1847799999999999</v>
      </c>
      <c r="W60">
        <v>701.65899999999999</v>
      </c>
      <c r="X60">
        <v>628.44899999999996</v>
      </c>
      <c r="Y60">
        <v>1467.19</v>
      </c>
      <c r="Z60">
        <v>1505.78</v>
      </c>
      <c r="AA60">
        <v>1412.19</v>
      </c>
      <c r="AD60">
        <v>874.65099999999995</v>
      </c>
      <c r="AE60">
        <v>824.45600000000002</v>
      </c>
      <c r="AF60">
        <v>1441.01</v>
      </c>
      <c r="AG60">
        <v>1942.59</v>
      </c>
      <c r="AH60">
        <v>1416.35</v>
      </c>
      <c r="AK60">
        <v>789.322</v>
      </c>
      <c r="AL60">
        <v>772.03499999999997</v>
      </c>
      <c r="AM60">
        <v>1602.06</v>
      </c>
      <c r="AN60">
        <v>1781.95</v>
      </c>
      <c r="AO60">
        <v>1480.77</v>
      </c>
    </row>
    <row r="61" spans="1:41" hidden="1">
      <c r="A61">
        <v>59</v>
      </c>
      <c r="B61">
        <v>1154.8</v>
      </c>
      <c r="C61">
        <v>1.1887799999999999</v>
      </c>
      <c r="D61">
        <v>1.68292</v>
      </c>
      <c r="E61">
        <v>2.1463399999999999</v>
      </c>
      <c r="F61">
        <v>1.1944300000000001</v>
      </c>
      <c r="I61">
        <v>1166.25</v>
      </c>
      <c r="J61">
        <v>1.1900900000000001</v>
      </c>
      <c r="K61">
        <v>1.1668400000000001</v>
      </c>
      <c r="L61">
        <v>1.1916100000000001</v>
      </c>
      <c r="M61">
        <v>1.1651199999999999</v>
      </c>
      <c r="P61">
        <v>1162.08</v>
      </c>
      <c r="Q61">
        <v>1.15848</v>
      </c>
      <c r="R61">
        <v>1.1964600000000001</v>
      </c>
      <c r="S61">
        <v>1.1646000000000001</v>
      </c>
      <c r="T61">
        <v>1.20384</v>
      </c>
      <c r="W61">
        <v>624.15099999999995</v>
      </c>
      <c r="X61">
        <v>656.97699999999998</v>
      </c>
      <c r="Y61">
        <v>1376.78</v>
      </c>
      <c r="Z61">
        <v>1516.95</v>
      </c>
      <c r="AA61">
        <v>1702.5</v>
      </c>
      <c r="AD61">
        <v>748.86199999999997</v>
      </c>
      <c r="AE61">
        <v>706.11599999999999</v>
      </c>
      <c r="AF61">
        <v>1627.49</v>
      </c>
      <c r="AG61">
        <v>2226.84</v>
      </c>
      <c r="AH61">
        <v>1589.82</v>
      </c>
      <c r="AK61">
        <v>739.928</v>
      </c>
      <c r="AL61">
        <v>703.60500000000002</v>
      </c>
      <c r="AM61">
        <v>1441.38</v>
      </c>
      <c r="AN61">
        <v>1621.36</v>
      </c>
      <c r="AO61">
        <v>1643.64</v>
      </c>
    </row>
    <row r="62" spans="1:41" hidden="1">
      <c r="A62">
        <v>60</v>
      </c>
      <c r="B62">
        <v>1173.92</v>
      </c>
      <c r="C62">
        <v>1.2250000000000001</v>
      </c>
      <c r="D62">
        <v>1.18204</v>
      </c>
      <c r="E62">
        <v>1.5661700000000001</v>
      </c>
      <c r="F62">
        <v>1.17167</v>
      </c>
      <c r="I62">
        <v>1187.6500000000001</v>
      </c>
      <c r="J62">
        <v>1.1629499999999999</v>
      </c>
      <c r="K62">
        <v>1.1964600000000001</v>
      </c>
      <c r="L62">
        <v>1.1636899999999999</v>
      </c>
      <c r="M62">
        <v>1.1885699999999999</v>
      </c>
      <c r="P62">
        <v>1242.6600000000001</v>
      </c>
      <c r="Q62">
        <v>1.1894800000000001</v>
      </c>
      <c r="R62">
        <v>1.16957</v>
      </c>
      <c r="S62">
        <v>1.19099</v>
      </c>
      <c r="T62">
        <v>1.17073</v>
      </c>
      <c r="W62">
        <v>904.78099999999995</v>
      </c>
      <c r="X62">
        <v>784.65</v>
      </c>
      <c r="Y62">
        <v>1778.51</v>
      </c>
      <c r="Z62">
        <v>1872.27</v>
      </c>
      <c r="AA62">
        <v>1617.51</v>
      </c>
      <c r="AD62">
        <v>747.17700000000002</v>
      </c>
      <c r="AE62">
        <v>748.16800000000001</v>
      </c>
      <c r="AF62">
        <v>1650.23</v>
      </c>
      <c r="AG62">
        <v>2203.44</v>
      </c>
      <c r="AH62">
        <v>1458.87</v>
      </c>
      <c r="AK62">
        <v>798.15099999999995</v>
      </c>
      <c r="AL62">
        <v>700.00300000000004</v>
      </c>
      <c r="AM62">
        <v>1627.09</v>
      </c>
      <c r="AN62">
        <v>1788.69</v>
      </c>
      <c r="AO62">
        <v>1618.95</v>
      </c>
    </row>
    <row r="63" spans="1:41" hidden="1">
      <c r="A63">
        <v>61</v>
      </c>
      <c r="B63">
        <v>1218.31</v>
      </c>
      <c r="C63">
        <v>1.64988</v>
      </c>
      <c r="D63">
        <v>3.12236</v>
      </c>
      <c r="E63">
        <v>1.2085900000000001</v>
      </c>
      <c r="F63">
        <v>1.18825</v>
      </c>
      <c r="I63">
        <v>1230.56</v>
      </c>
      <c r="J63">
        <v>1.1913899999999999</v>
      </c>
      <c r="K63">
        <v>1.1686000000000001</v>
      </c>
      <c r="L63">
        <v>1.1671100000000001</v>
      </c>
      <c r="M63">
        <v>1.21776</v>
      </c>
      <c r="P63">
        <v>1180.68</v>
      </c>
      <c r="Q63">
        <v>1.2506600000000001</v>
      </c>
      <c r="R63">
        <v>1.19543</v>
      </c>
      <c r="S63">
        <v>1.16753</v>
      </c>
      <c r="T63">
        <v>1.17971</v>
      </c>
      <c r="W63">
        <v>689.66300000000001</v>
      </c>
      <c r="X63">
        <v>656.76300000000003</v>
      </c>
      <c r="Y63">
        <v>1450.22</v>
      </c>
      <c r="Z63">
        <v>1546.86</v>
      </c>
      <c r="AA63">
        <v>1544.56</v>
      </c>
      <c r="AD63">
        <v>672.93899999999996</v>
      </c>
      <c r="AE63">
        <v>684.79</v>
      </c>
      <c r="AF63">
        <v>1378.61</v>
      </c>
      <c r="AG63">
        <v>1911.97</v>
      </c>
      <c r="AH63">
        <v>1466.98</v>
      </c>
      <c r="AK63">
        <v>830.50599999999997</v>
      </c>
      <c r="AL63">
        <v>759.298</v>
      </c>
      <c r="AM63">
        <v>1634.66</v>
      </c>
      <c r="AN63">
        <v>1684.11</v>
      </c>
      <c r="AO63">
        <v>1641.54</v>
      </c>
    </row>
    <row r="64" spans="1:41" hidden="1">
      <c r="A64">
        <v>62</v>
      </c>
      <c r="B64">
        <v>1203.5</v>
      </c>
      <c r="C64">
        <v>1.2054800000000001</v>
      </c>
      <c r="D64">
        <v>1.19316</v>
      </c>
      <c r="E64">
        <v>1.1760600000000001</v>
      </c>
      <c r="F64">
        <v>1.19933</v>
      </c>
      <c r="I64">
        <v>1165.58</v>
      </c>
      <c r="J64">
        <v>1.1926099999999999</v>
      </c>
      <c r="K64">
        <v>1.1700900000000001</v>
      </c>
      <c r="L64">
        <v>1.1961900000000001</v>
      </c>
      <c r="M64">
        <v>1.16744</v>
      </c>
      <c r="P64">
        <v>1169.25</v>
      </c>
      <c r="Q64">
        <v>1.1588099999999999</v>
      </c>
      <c r="R64">
        <v>1.1983999999999999</v>
      </c>
      <c r="S64">
        <v>1.1648400000000001</v>
      </c>
      <c r="T64">
        <v>1.1853800000000001</v>
      </c>
      <c r="W64">
        <v>761.08799999999997</v>
      </c>
      <c r="X64">
        <v>713.13400000000001</v>
      </c>
      <c r="Y64">
        <v>1638.26</v>
      </c>
      <c r="Z64">
        <v>1719.66</v>
      </c>
      <c r="AA64">
        <v>1499.2</v>
      </c>
      <c r="AD64">
        <v>696.00699999999995</v>
      </c>
      <c r="AE64">
        <v>774.053</v>
      </c>
      <c r="AF64">
        <v>1594.59</v>
      </c>
      <c r="AG64">
        <v>2209.88</v>
      </c>
      <c r="AH64">
        <v>1491.35</v>
      </c>
      <c r="AK64">
        <v>801.01700000000005</v>
      </c>
      <c r="AL64">
        <v>745.35799999999995</v>
      </c>
      <c r="AM64">
        <v>1500.7</v>
      </c>
      <c r="AN64">
        <v>1617.04</v>
      </c>
      <c r="AO64">
        <v>1494</v>
      </c>
    </row>
    <row r="65" spans="1:41" hidden="1">
      <c r="A65">
        <v>63</v>
      </c>
      <c r="B65">
        <v>1186.97</v>
      </c>
      <c r="C65">
        <v>1.20112</v>
      </c>
      <c r="D65">
        <v>1.19573</v>
      </c>
      <c r="E65">
        <v>1.24627</v>
      </c>
      <c r="F65">
        <v>1.194</v>
      </c>
      <c r="I65">
        <v>1192.21</v>
      </c>
      <c r="J65">
        <v>1.1683300000000001</v>
      </c>
      <c r="K65">
        <v>1.1906000000000001</v>
      </c>
      <c r="L65">
        <v>1.1664099999999999</v>
      </c>
      <c r="M65">
        <v>1.1907300000000001</v>
      </c>
      <c r="P65">
        <v>1161.01</v>
      </c>
      <c r="Q65">
        <v>1.1792199999999999</v>
      </c>
      <c r="R65">
        <v>1.16994</v>
      </c>
      <c r="S65">
        <v>1.2033400000000001</v>
      </c>
      <c r="T65">
        <v>1.15863</v>
      </c>
      <c r="W65">
        <v>661.11900000000003</v>
      </c>
      <c r="X65">
        <v>667.74599999999998</v>
      </c>
      <c r="Y65">
        <v>1443.63</v>
      </c>
      <c r="Z65">
        <v>1504.62</v>
      </c>
      <c r="AA65">
        <v>1695.17</v>
      </c>
      <c r="AD65">
        <v>687.74400000000003</v>
      </c>
      <c r="AE65">
        <v>673.745</v>
      </c>
      <c r="AF65">
        <v>1417.32</v>
      </c>
      <c r="AG65">
        <v>1981.85</v>
      </c>
      <c r="AH65">
        <v>1648.87</v>
      </c>
      <c r="AK65">
        <v>685.79499999999996</v>
      </c>
      <c r="AL65">
        <v>786.697</v>
      </c>
      <c r="AM65">
        <v>1569.15</v>
      </c>
      <c r="AN65">
        <v>1735.73</v>
      </c>
      <c r="AO65">
        <v>1652.12</v>
      </c>
    </row>
    <row r="66" spans="1:41" hidden="1">
      <c r="A66">
        <v>64</v>
      </c>
      <c r="B66">
        <v>1216.95</v>
      </c>
      <c r="C66">
        <v>1.21794</v>
      </c>
      <c r="D66">
        <v>1.19499</v>
      </c>
      <c r="E66">
        <v>1.1938800000000001</v>
      </c>
      <c r="F66">
        <v>1.20109</v>
      </c>
      <c r="I66">
        <v>1165.25</v>
      </c>
      <c r="J66">
        <v>1.1813499999999999</v>
      </c>
      <c r="K66">
        <v>1.1680299999999999</v>
      </c>
      <c r="L66">
        <v>1.1842999999999999</v>
      </c>
      <c r="M66">
        <v>1.1685399999999999</v>
      </c>
      <c r="P66">
        <v>1186.8499999999999</v>
      </c>
      <c r="Q66">
        <v>1.16052</v>
      </c>
      <c r="R66">
        <v>1.1888799999999999</v>
      </c>
      <c r="S66">
        <v>1.1776500000000001</v>
      </c>
      <c r="T66">
        <v>1.1799500000000001</v>
      </c>
      <c r="W66">
        <v>771.94200000000001</v>
      </c>
      <c r="X66">
        <v>759.63</v>
      </c>
      <c r="Y66">
        <v>1629.22</v>
      </c>
      <c r="Z66">
        <v>1728.31</v>
      </c>
      <c r="AA66">
        <v>1673.78</v>
      </c>
      <c r="AD66">
        <v>712.39499999999998</v>
      </c>
      <c r="AE66">
        <v>757.85699999999997</v>
      </c>
      <c r="AF66">
        <v>1456.82</v>
      </c>
      <c r="AG66">
        <v>2029.52</v>
      </c>
      <c r="AH66">
        <v>1468.36</v>
      </c>
      <c r="AK66">
        <v>747.57500000000005</v>
      </c>
      <c r="AL66">
        <v>757.01400000000001</v>
      </c>
      <c r="AM66">
        <v>1656.45</v>
      </c>
      <c r="AN66">
        <v>1752.33</v>
      </c>
      <c r="AO66">
        <v>1637.06</v>
      </c>
    </row>
    <row r="67" spans="1:41" hidden="1">
      <c r="A67">
        <v>65</v>
      </c>
      <c r="B67">
        <v>1171.2</v>
      </c>
      <c r="C67">
        <v>1.48387</v>
      </c>
      <c r="D67">
        <v>1.38951</v>
      </c>
      <c r="E67">
        <v>1.1952199999999999</v>
      </c>
      <c r="F67">
        <v>1.208</v>
      </c>
      <c r="I67">
        <v>1192.71</v>
      </c>
      <c r="J67">
        <v>1.24621</v>
      </c>
      <c r="K67">
        <v>1.1688000000000001</v>
      </c>
      <c r="L67">
        <v>1.1913499999999999</v>
      </c>
      <c r="M67">
        <v>1.1669799999999999</v>
      </c>
      <c r="P67">
        <v>1163.69</v>
      </c>
      <c r="Q67">
        <v>1.1770499999999999</v>
      </c>
      <c r="R67">
        <v>1.16839</v>
      </c>
      <c r="S67">
        <v>1.1814899999999999</v>
      </c>
      <c r="T67">
        <v>1.1644699999999999</v>
      </c>
      <c r="W67">
        <v>734.89099999999996</v>
      </c>
      <c r="X67">
        <v>760.54700000000003</v>
      </c>
      <c r="Y67">
        <v>1529.71</v>
      </c>
      <c r="Z67">
        <v>1497.44</v>
      </c>
      <c r="AA67">
        <v>1457.6</v>
      </c>
      <c r="AD67">
        <v>700.45</v>
      </c>
      <c r="AE67">
        <v>704.68200000000002</v>
      </c>
      <c r="AF67">
        <v>1473.54</v>
      </c>
      <c r="AG67">
        <v>2015.53</v>
      </c>
      <c r="AH67">
        <v>1627.5</v>
      </c>
      <c r="AK67">
        <v>705.33100000000002</v>
      </c>
      <c r="AL67">
        <v>702.29</v>
      </c>
      <c r="AM67">
        <v>1451.88</v>
      </c>
      <c r="AN67">
        <v>1575.23</v>
      </c>
      <c r="AO67">
        <v>1521.56</v>
      </c>
    </row>
    <row r="68" spans="1:41" hidden="1">
      <c r="A68">
        <v>66</v>
      </c>
      <c r="B68">
        <v>1203.5899999999999</v>
      </c>
      <c r="C68">
        <v>1.1864600000000001</v>
      </c>
      <c r="D68">
        <v>1.20764</v>
      </c>
      <c r="E68">
        <v>1.2037100000000001</v>
      </c>
      <c r="F68">
        <v>1.20001</v>
      </c>
      <c r="I68">
        <v>1188.77</v>
      </c>
      <c r="J68">
        <v>1.2382599999999999</v>
      </c>
      <c r="K68">
        <v>1.2111499999999999</v>
      </c>
      <c r="L68">
        <v>1.1678299999999999</v>
      </c>
      <c r="M68">
        <v>1.19143</v>
      </c>
      <c r="P68">
        <v>1165.0999999999999</v>
      </c>
      <c r="Q68">
        <v>1.17862</v>
      </c>
      <c r="R68">
        <v>1.1825000000000001</v>
      </c>
      <c r="S68">
        <v>1.38445</v>
      </c>
      <c r="T68">
        <v>1.1685300000000001</v>
      </c>
      <c r="W68">
        <v>744.22900000000004</v>
      </c>
      <c r="X68">
        <v>656.92899999999997</v>
      </c>
      <c r="Y68">
        <v>1472.51</v>
      </c>
      <c r="Z68">
        <v>1638.07</v>
      </c>
      <c r="AA68">
        <v>1643.54</v>
      </c>
      <c r="AD68">
        <v>822.92499999999995</v>
      </c>
      <c r="AE68">
        <v>721.51099999999997</v>
      </c>
      <c r="AF68">
        <v>1501.8</v>
      </c>
      <c r="AG68">
        <v>2118.83</v>
      </c>
      <c r="AH68">
        <v>1665.61</v>
      </c>
      <c r="AK68">
        <v>813.39</v>
      </c>
      <c r="AL68">
        <v>760.26700000000005</v>
      </c>
      <c r="AM68">
        <v>1610.8</v>
      </c>
      <c r="AN68">
        <v>1702.74</v>
      </c>
      <c r="AO68">
        <v>1589.77</v>
      </c>
    </row>
    <row r="69" spans="1:41" hidden="1">
      <c r="A69">
        <v>67</v>
      </c>
      <c r="B69">
        <v>1171.74</v>
      </c>
      <c r="C69">
        <v>1.17889</v>
      </c>
      <c r="D69">
        <v>1.21461</v>
      </c>
      <c r="E69">
        <v>1.1902600000000001</v>
      </c>
      <c r="F69">
        <v>1.19249</v>
      </c>
      <c r="I69">
        <v>1163.26</v>
      </c>
      <c r="J69">
        <v>1.19445</v>
      </c>
      <c r="K69">
        <v>1.16835</v>
      </c>
      <c r="L69">
        <v>1.1972499999999999</v>
      </c>
      <c r="M69">
        <v>1.1660900000000001</v>
      </c>
      <c r="P69">
        <v>1189.1199999999999</v>
      </c>
      <c r="Q69">
        <v>1.16052</v>
      </c>
      <c r="R69">
        <v>1.20004</v>
      </c>
      <c r="S69">
        <v>1.18293</v>
      </c>
      <c r="T69">
        <v>1.2546900000000001</v>
      </c>
      <c r="W69">
        <v>741.45299999999997</v>
      </c>
      <c r="X69">
        <v>761.74099999999999</v>
      </c>
      <c r="Y69">
        <v>1568.53</v>
      </c>
      <c r="Z69">
        <v>1737.97</v>
      </c>
      <c r="AA69">
        <v>1624.24</v>
      </c>
      <c r="AD69">
        <v>842.60400000000004</v>
      </c>
      <c r="AE69">
        <v>838.37599999999998</v>
      </c>
      <c r="AF69">
        <v>1688.46</v>
      </c>
      <c r="AG69">
        <v>2172.34</v>
      </c>
      <c r="AH69">
        <v>1464.34</v>
      </c>
      <c r="AK69">
        <v>780.79300000000001</v>
      </c>
      <c r="AL69">
        <v>726.16600000000005</v>
      </c>
      <c r="AM69">
        <v>1428.73</v>
      </c>
      <c r="AN69">
        <v>1486.14</v>
      </c>
      <c r="AO69">
        <v>1503.06</v>
      </c>
    </row>
    <row r="70" spans="1:41" hidden="1">
      <c r="A70">
        <v>68</v>
      </c>
      <c r="B70">
        <v>1170.1600000000001</v>
      </c>
      <c r="C70">
        <v>1.19431</v>
      </c>
      <c r="D70">
        <v>1.17201</v>
      </c>
      <c r="E70">
        <v>1.1995800000000001</v>
      </c>
      <c r="F70">
        <v>1.1861299999999999</v>
      </c>
      <c r="I70">
        <v>1182.98</v>
      </c>
      <c r="J70">
        <v>1.169</v>
      </c>
      <c r="K70">
        <v>1.19587</v>
      </c>
      <c r="L70">
        <v>1.1692899999999999</v>
      </c>
      <c r="M70">
        <v>1.16625</v>
      </c>
      <c r="P70">
        <v>1155.6500000000001</v>
      </c>
      <c r="Q70">
        <v>1.1836500000000001</v>
      </c>
      <c r="R70">
        <v>1.17058</v>
      </c>
      <c r="S70">
        <v>1.18998</v>
      </c>
      <c r="T70">
        <v>1.1599200000000001</v>
      </c>
      <c r="W70">
        <v>769.70899999999995</v>
      </c>
      <c r="X70">
        <v>661.06200000000001</v>
      </c>
      <c r="Y70">
        <v>1469.66</v>
      </c>
      <c r="Z70">
        <v>1578.55</v>
      </c>
      <c r="AA70">
        <v>1466.56</v>
      </c>
      <c r="AD70">
        <v>673.02</v>
      </c>
      <c r="AE70">
        <v>710.38599999999997</v>
      </c>
      <c r="AF70">
        <v>1423.19</v>
      </c>
      <c r="AG70">
        <v>2181.0100000000002</v>
      </c>
      <c r="AH70">
        <v>1635.11</v>
      </c>
      <c r="AK70">
        <v>661.36</v>
      </c>
      <c r="AL70">
        <v>648.07299999999998</v>
      </c>
      <c r="AM70">
        <v>1425.58</v>
      </c>
      <c r="AN70">
        <v>1591.95</v>
      </c>
      <c r="AO70">
        <v>1417.57</v>
      </c>
    </row>
    <row r="71" spans="1:41" hidden="1">
      <c r="A71">
        <v>69</v>
      </c>
      <c r="B71">
        <v>1195.81</v>
      </c>
      <c r="C71">
        <v>1.1709700000000001</v>
      </c>
      <c r="D71">
        <v>1.1862600000000001</v>
      </c>
      <c r="E71">
        <v>1.2068099999999999</v>
      </c>
      <c r="F71">
        <v>1.16971</v>
      </c>
      <c r="I71">
        <v>1209.6099999999999</v>
      </c>
      <c r="J71">
        <v>1.16554</v>
      </c>
      <c r="K71">
        <v>1.1851799999999999</v>
      </c>
      <c r="L71">
        <v>1.1646399999999999</v>
      </c>
      <c r="M71">
        <v>1.1839500000000001</v>
      </c>
      <c r="P71">
        <v>1214.6500000000001</v>
      </c>
      <c r="Q71">
        <v>1.1586700000000001</v>
      </c>
      <c r="R71">
        <v>1.1958800000000001</v>
      </c>
      <c r="S71">
        <v>1.1697900000000001</v>
      </c>
      <c r="T71">
        <v>1.19428</v>
      </c>
      <c r="W71">
        <v>704.76499999999999</v>
      </c>
      <c r="X71">
        <v>754.90800000000002</v>
      </c>
      <c r="Y71">
        <v>1527.26</v>
      </c>
      <c r="Z71">
        <v>1700.65</v>
      </c>
      <c r="AA71">
        <v>1582.84</v>
      </c>
      <c r="AD71">
        <v>737.25800000000004</v>
      </c>
      <c r="AE71">
        <v>794.96799999999996</v>
      </c>
      <c r="AF71">
        <v>1582.83</v>
      </c>
      <c r="AG71">
        <v>2143.83</v>
      </c>
      <c r="AH71">
        <v>1432.22</v>
      </c>
      <c r="AK71">
        <v>696.86</v>
      </c>
      <c r="AL71">
        <v>719.18499999999995</v>
      </c>
      <c r="AM71">
        <v>1455.11</v>
      </c>
      <c r="AN71">
        <v>1571.86</v>
      </c>
      <c r="AO71">
        <v>1526.43</v>
      </c>
    </row>
    <row r="72" spans="1:41" hidden="1">
      <c r="A72">
        <v>70</v>
      </c>
      <c r="B72">
        <v>1187.17</v>
      </c>
      <c r="C72">
        <v>1.2098</v>
      </c>
      <c r="D72">
        <v>1.19926</v>
      </c>
      <c r="E72">
        <v>1.30403</v>
      </c>
      <c r="F72">
        <v>1.2001599999999999</v>
      </c>
      <c r="I72">
        <v>1165.77</v>
      </c>
      <c r="J72">
        <v>1.18523</v>
      </c>
      <c r="K72">
        <v>1.16849</v>
      </c>
      <c r="L72">
        <v>1.1937599999999999</v>
      </c>
      <c r="M72">
        <v>1.1662999999999999</v>
      </c>
      <c r="P72">
        <v>1155.08</v>
      </c>
      <c r="Q72">
        <v>1.1594899999999999</v>
      </c>
      <c r="R72">
        <v>1.1990700000000001</v>
      </c>
      <c r="S72">
        <v>1.1679299999999999</v>
      </c>
      <c r="T72">
        <v>1.1856100000000001</v>
      </c>
      <c r="W72">
        <v>844.90099999999995</v>
      </c>
      <c r="X72">
        <v>762.86199999999997</v>
      </c>
      <c r="Y72">
        <v>1694.75</v>
      </c>
      <c r="Z72">
        <v>1566.86</v>
      </c>
      <c r="AA72">
        <v>1502.19</v>
      </c>
      <c r="AD72">
        <v>689.83900000000006</v>
      </c>
      <c r="AE72">
        <v>706.63599999999997</v>
      </c>
      <c r="AF72">
        <v>1432.67</v>
      </c>
      <c r="AG72">
        <v>1977.32</v>
      </c>
      <c r="AH72">
        <v>1614.27</v>
      </c>
      <c r="AK72">
        <v>730.50199999999995</v>
      </c>
      <c r="AL72">
        <v>755.41899999999998</v>
      </c>
      <c r="AM72">
        <v>1592.69</v>
      </c>
      <c r="AN72">
        <v>1703.89</v>
      </c>
      <c r="AO72">
        <v>1431.96</v>
      </c>
    </row>
    <row r="73" spans="1:41" hidden="1">
      <c r="A73">
        <v>71</v>
      </c>
      <c r="B73">
        <v>1174.8399999999999</v>
      </c>
      <c r="C73">
        <v>1.21149</v>
      </c>
      <c r="D73">
        <v>1.18302</v>
      </c>
      <c r="E73">
        <v>1.1999200000000001</v>
      </c>
      <c r="F73">
        <v>1.1704300000000001</v>
      </c>
      <c r="I73">
        <v>1190.76</v>
      </c>
      <c r="J73">
        <v>1.1676800000000001</v>
      </c>
      <c r="K73">
        <v>1.2992699999999999</v>
      </c>
      <c r="L73">
        <v>1.1903900000000001</v>
      </c>
      <c r="M73">
        <v>1.19191</v>
      </c>
      <c r="P73">
        <v>1161.3599999999999</v>
      </c>
      <c r="Q73">
        <v>1.1856100000000001</v>
      </c>
      <c r="R73">
        <v>1.17422</v>
      </c>
      <c r="S73">
        <v>1.2688299999999999</v>
      </c>
      <c r="T73">
        <v>1.16605</v>
      </c>
      <c r="W73">
        <v>660.52700000000004</v>
      </c>
      <c r="X73">
        <v>666.27200000000005</v>
      </c>
      <c r="Y73">
        <v>1476.26</v>
      </c>
      <c r="Z73">
        <v>1755</v>
      </c>
      <c r="AA73">
        <v>1562.26</v>
      </c>
      <c r="AD73">
        <v>731.41200000000003</v>
      </c>
      <c r="AE73">
        <v>782.43100000000004</v>
      </c>
      <c r="AF73">
        <v>1540.56</v>
      </c>
      <c r="AG73">
        <v>1952.49</v>
      </c>
      <c r="AH73">
        <v>1555.57</v>
      </c>
      <c r="AK73">
        <v>659.72299999999996</v>
      </c>
      <c r="AL73">
        <v>649.75800000000004</v>
      </c>
      <c r="AM73">
        <v>1425.02</v>
      </c>
      <c r="AN73">
        <v>1487.91</v>
      </c>
      <c r="AO73">
        <v>1434.1</v>
      </c>
    </row>
    <row r="74" spans="1:41" hidden="1">
      <c r="A74">
        <v>72</v>
      </c>
      <c r="B74">
        <v>1179.43</v>
      </c>
      <c r="C74">
        <v>1.2169000000000001</v>
      </c>
      <c r="D74">
        <v>1.1864699999999999</v>
      </c>
      <c r="E74">
        <v>1.23552</v>
      </c>
      <c r="F74">
        <v>1.17326</v>
      </c>
      <c r="I74">
        <v>1164.44</v>
      </c>
      <c r="J74">
        <v>1.1990700000000001</v>
      </c>
      <c r="K74">
        <v>1.17333</v>
      </c>
      <c r="L74">
        <v>1.20095</v>
      </c>
      <c r="M74">
        <v>1.1666300000000001</v>
      </c>
      <c r="P74">
        <v>1176.51</v>
      </c>
      <c r="Q74">
        <v>1.1603600000000001</v>
      </c>
      <c r="R74">
        <v>1.1954899999999999</v>
      </c>
      <c r="S74">
        <v>1.1719200000000001</v>
      </c>
      <c r="T74">
        <v>1.1633899999999999</v>
      </c>
      <c r="W74">
        <v>894.17399999999998</v>
      </c>
      <c r="X74">
        <v>747.64099999999996</v>
      </c>
      <c r="Y74">
        <v>1805.74</v>
      </c>
      <c r="Z74">
        <v>1662.91</v>
      </c>
      <c r="AA74">
        <v>1571.29</v>
      </c>
      <c r="AD74">
        <v>684.60400000000004</v>
      </c>
      <c r="AE74">
        <v>881.06899999999996</v>
      </c>
      <c r="AF74">
        <v>1578.04</v>
      </c>
      <c r="AG74">
        <v>2140.38</v>
      </c>
      <c r="AH74">
        <v>1594.21</v>
      </c>
      <c r="AK74">
        <v>699.947</v>
      </c>
      <c r="AL74">
        <v>678.63</v>
      </c>
      <c r="AM74">
        <v>1473.61</v>
      </c>
      <c r="AN74">
        <v>1564.83</v>
      </c>
      <c r="AO74">
        <v>1496.67</v>
      </c>
    </row>
    <row r="75" spans="1:41" hidden="1">
      <c r="A75">
        <v>73</v>
      </c>
      <c r="B75">
        <v>1192.47</v>
      </c>
      <c r="C75">
        <v>1.1672800000000001</v>
      </c>
      <c r="D75">
        <v>1.25257</v>
      </c>
      <c r="E75">
        <v>1.18607</v>
      </c>
      <c r="F75">
        <v>1.2154499999999999</v>
      </c>
      <c r="I75">
        <v>1165.19</v>
      </c>
      <c r="J75">
        <v>1.1930499999999999</v>
      </c>
      <c r="K75">
        <v>1.1685099999999999</v>
      </c>
      <c r="L75">
        <v>1.2043600000000001</v>
      </c>
      <c r="M75">
        <v>1.17204</v>
      </c>
      <c r="P75">
        <v>1184.19</v>
      </c>
      <c r="Q75">
        <v>1.16246</v>
      </c>
      <c r="R75">
        <v>1.1956500000000001</v>
      </c>
      <c r="S75">
        <v>1.16726</v>
      </c>
      <c r="T75">
        <v>1.1890700000000001</v>
      </c>
      <c r="W75">
        <v>761.49</v>
      </c>
      <c r="X75">
        <v>745.16600000000005</v>
      </c>
      <c r="Y75">
        <v>1422.4</v>
      </c>
      <c r="Z75">
        <v>1545.32</v>
      </c>
      <c r="AA75">
        <v>1441.82</v>
      </c>
      <c r="AD75">
        <v>684.077</v>
      </c>
      <c r="AE75">
        <v>647.20500000000004</v>
      </c>
      <c r="AF75">
        <v>1405.44</v>
      </c>
      <c r="AG75">
        <v>1884.25</v>
      </c>
      <c r="AH75">
        <v>1431.36</v>
      </c>
      <c r="AK75">
        <v>779.48400000000004</v>
      </c>
      <c r="AL75">
        <v>757.63099999999997</v>
      </c>
      <c r="AM75">
        <v>1575.61</v>
      </c>
      <c r="AN75">
        <v>1802.03</v>
      </c>
      <c r="AO75">
        <v>1459.4</v>
      </c>
    </row>
    <row r="76" spans="1:41" hidden="1">
      <c r="A76">
        <v>74</v>
      </c>
      <c r="B76">
        <v>1177.1300000000001</v>
      </c>
      <c r="C76">
        <v>1.1959599999999999</v>
      </c>
      <c r="D76">
        <v>1.2248000000000001</v>
      </c>
      <c r="E76">
        <v>1.2035199999999999</v>
      </c>
      <c r="F76">
        <v>1.1641699999999999</v>
      </c>
      <c r="I76">
        <v>1189.8499999999999</v>
      </c>
      <c r="J76">
        <v>1.17184</v>
      </c>
      <c r="K76">
        <v>1.21739</v>
      </c>
      <c r="L76">
        <v>1.18251</v>
      </c>
      <c r="M76">
        <v>1.19686</v>
      </c>
      <c r="P76">
        <v>1153.6600000000001</v>
      </c>
      <c r="Q76">
        <v>1.18607</v>
      </c>
      <c r="R76">
        <v>1.17194</v>
      </c>
      <c r="S76">
        <v>1.1842600000000001</v>
      </c>
      <c r="T76">
        <v>1.16337</v>
      </c>
      <c r="W76">
        <v>717.31600000000003</v>
      </c>
      <c r="X76">
        <v>762.23099999999999</v>
      </c>
      <c r="Y76">
        <v>1776.78</v>
      </c>
      <c r="Z76">
        <v>1774.72</v>
      </c>
      <c r="AA76">
        <v>1610.94</v>
      </c>
      <c r="AD76">
        <v>646.10799999999995</v>
      </c>
      <c r="AE76">
        <v>645.38900000000001</v>
      </c>
      <c r="AF76">
        <v>1390.14</v>
      </c>
      <c r="AG76">
        <v>1895.62</v>
      </c>
      <c r="AH76">
        <v>1433.26</v>
      </c>
      <c r="AK76">
        <v>713.59900000000005</v>
      </c>
      <c r="AL76">
        <v>675.57899999999995</v>
      </c>
      <c r="AM76">
        <v>1452.78</v>
      </c>
      <c r="AN76">
        <v>1711.3</v>
      </c>
      <c r="AO76">
        <v>1559.82</v>
      </c>
    </row>
    <row r="77" spans="1:41" hidden="1">
      <c r="A77">
        <v>75</v>
      </c>
      <c r="B77">
        <v>1225.03</v>
      </c>
      <c r="C77">
        <v>1.16625</v>
      </c>
      <c r="D77">
        <v>1.1929000000000001</v>
      </c>
      <c r="E77">
        <v>1.2119500000000001</v>
      </c>
      <c r="F77">
        <v>1.2336100000000001</v>
      </c>
      <c r="I77">
        <v>1168.8800000000001</v>
      </c>
      <c r="J77">
        <v>1.1917199999999999</v>
      </c>
      <c r="K77">
        <v>1.1747399999999999</v>
      </c>
      <c r="L77">
        <v>1.2009000000000001</v>
      </c>
      <c r="M77">
        <v>1.1690100000000001</v>
      </c>
      <c r="P77">
        <v>1161.3699999999999</v>
      </c>
      <c r="Q77">
        <v>1.1811799999999999</v>
      </c>
      <c r="R77">
        <v>1.1714</v>
      </c>
      <c r="S77">
        <v>1.18713</v>
      </c>
      <c r="T77">
        <v>1.1617299999999999</v>
      </c>
      <c r="W77">
        <v>921.03200000000004</v>
      </c>
      <c r="X77">
        <v>759.12400000000002</v>
      </c>
      <c r="Y77">
        <v>1566.56</v>
      </c>
      <c r="Z77">
        <v>1555.3</v>
      </c>
      <c r="AA77">
        <v>1435.51</v>
      </c>
      <c r="AD77">
        <v>692.71799999999996</v>
      </c>
      <c r="AE77">
        <v>666.17200000000003</v>
      </c>
      <c r="AF77">
        <v>1424.7</v>
      </c>
      <c r="AG77">
        <v>2025.88</v>
      </c>
      <c r="AH77">
        <v>1511.96</v>
      </c>
      <c r="AK77">
        <v>730.64400000000001</v>
      </c>
      <c r="AL77">
        <v>675.67600000000004</v>
      </c>
      <c r="AM77">
        <v>1426.91</v>
      </c>
      <c r="AN77">
        <v>1490.34</v>
      </c>
      <c r="AO77">
        <v>1461.48</v>
      </c>
    </row>
    <row r="78" spans="1:41" hidden="1">
      <c r="A78">
        <v>76</v>
      </c>
      <c r="B78">
        <v>1207.8699999999999</v>
      </c>
      <c r="C78">
        <v>1.20729</v>
      </c>
      <c r="D78">
        <v>1.21207</v>
      </c>
      <c r="E78">
        <v>1.1905600000000001</v>
      </c>
      <c r="F78">
        <v>1.2061299999999999</v>
      </c>
      <c r="I78">
        <v>1184.3699999999999</v>
      </c>
      <c r="J78">
        <v>1.1663300000000001</v>
      </c>
      <c r="K78">
        <v>1.2800499999999999</v>
      </c>
      <c r="L78">
        <v>1.17334</v>
      </c>
      <c r="M78">
        <v>1.20059</v>
      </c>
      <c r="P78">
        <v>1185.53</v>
      </c>
      <c r="Q78">
        <v>1.1590199999999999</v>
      </c>
      <c r="R78">
        <v>1.1919500000000001</v>
      </c>
      <c r="S78">
        <v>1.16706</v>
      </c>
      <c r="T78">
        <v>1.27444</v>
      </c>
      <c r="W78">
        <v>697.93600000000004</v>
      </c>
      <c r="X78">
        <v>644.20799999999997</v>
      </c>
      <c r="Y78">
        <v>1480.19</v>
      </c>
      <c r="Z78">
        <v>1471.29</v>
      </c>
      <c r="AA78">
        <v>1420.34</v>
      </c>
      <c r="AD78">
        <v>679.66800000000001</v>
      </c>
      <c r="AE78">
        <v>666.71299999999997</v>
      </c>
      <c r="AF78">
        <v>1414.98</v>
      </c>
      <c r="AG78">
        <v>1992.52</v>
      </c>
      <c r="AH78">
        <v>1397.67</v>
      </c>
      <c r="AK78">
        <v>661.08399999999995</v>
      </c>
      <c r="AL78">
        <v>650.45799999999997</v>
      </c>
      <c r="AM78">
        <v>1421.62</v>
      </c>
      <c r="AN78">
        <v>1488.54</v>
      </c>
      <c r="AO78">
        <v>1445.61</v>
      </c>
    </row>
    <row r="79" spans="1:41" hidden="1">
      <c r="A79">
        <v>77</v>
      </c>
      <c r="B79">
        <v>1182.68</v>
      </c>
      <c r="C79">
        <v>1.18275</v>
      </c>
      <c r="D79">
        <v>1.1652400000000001</v>
      </c>
      <c r="E79">
        <v>1.1807700000000001</v>
      </c>
      <c r="F79">
        <v>1.15981</v>
      </c>
      <c r="I79">
        <v>1289.9100000000001</v>
      </c>
      <c r="J79">
        <v>1.1675500000000001</v>
      </c>
      <c r="K79">
        <v>1.1937800000000001</v>
      </c>
      <c r="L79">
        <v>1.16944</v>
      </c>
      <c r="M79">
        <v>1.2017</v>
      </c>
      <c r="P79">
        <v>1163.0899999999999</v>
      </c>
      <c r="Q79">
        <v>1.18529</v>
      </c>
      <c r="R79">
        <v>1.17384</v>
      </c>
      <c r="S79">
        <v>1.18981</v>
      </c>
      <c r="T79">
        <v>1.1632899999999999</v>
      </c>
      <c r="W79">
        <v>624.29999999999995</v>
      </c>
      <c r="X79">
        <v>629.30899999999997</v>
      </c>
      <c r="Y79">
        <v>1394.01</v>
      </c>
      <c r="Z79">
        <v>1554.32</v>
      </c>
      <c r="AA79">
        <v>1444.48</v>
      </c>
      <c r="AD79">
        <v>648.01900000000001</v>
      </c>
      <c r="AE79">
        <v>669.80899999999997</v>
      </c>
      <c r="AF79">
        <v>1397.27</v>
      </c>
      <c r="AG79">
        <v>1922.57</v>
      </c>
      <c r="AH79">
        <v>1436.74</v>
      </c>
      <c r="AK79">
        <v>664.89800000000002</v>
      </c>
      <c r="AL79">
        <v>679.226</v>
      </c>
      <c r="AM79">
        <v>1493.91</v>
      </c>
      <c r="AN79">
        <v>1577.75</v>
      </c>
      <c r="AO79">
        <v>1566.67</v>
      </c>
    </row>
    <row r="80" spans="1:41" hidden="1">
      <c r="A80">
        <v>78</v>
      </c>
      <c r="B80">
        <v>1175.94</v>
      </c>
      <c r="C80">
        <v>1.15913</v>
      </c>
      <c r="D80">
        <v>1.1935800000000001</v>
      </c>
      <c r="E80">
        <v>1.16726</v>
      </c>
      <c r="F80">
        <v>1.1817200000000001</v>
      </c>
      <c r="I80">
        <v>1164.0999999999999</v>
      </c>
      <c r="J80">
        <v>1.18076</v>
      </c>
      <c r="K80">
        <v>1.1655199999999999</v>
      </c>
      <c r="L80">
        <v>1.19207</v>
      </c>
      <c r="M80">
        <v>1.1649400000000001</v>
      </c>
      <c r="P80">
        <v>1169.22</v>
      </c>
      <c r="Q80">
        <v>1.1636899999999999</v>
      </c>
      <c r="R80">
        <v>1.1973100000000001</v>
      </c>
      <c r="S80">
        <v>1.1686399999999999</v>
      </c>
      <c r="T80">
        <v>1.1884399999999999</v>
      </c>
      <c r="W80">
        <v>760.94899999999996</v>
      </c>
      <c r="X80">
        <v>661.56600000000003</v>
      </c>
      <c r="Y80">
        <v>1433.48</v>
      </c>
      <c r="Z80">
        <v>1527.59</v>
      </c>
      <c r="AA80">
        <v>1432.13</v>
      </c>
      <c r="AD80">
        <v>794.63699999999994</v>
      </c>
      <c r="AE80">
        <v>714.88499999999999</v>
      </c>
      <c r="AF80">
        <v>1589.09</v>
      </c>
      <c r="AG80">
        <v>2052.94</v>
      </c>
      <c r="AH80">
        <v>1576.91</v>
      </c>
      <c r="AK80">
        <v>803.38499999999999</v>
      </c>
      <c r="AL80">
        <v>782.33900000000006</v>
      </c>
      <c r="AM80">
        <v>1497.12</v>
      </c>
      <c r="AN80">
        <v>1565.53</v>
      </c>
      <c r="AO80">
        <v>1489.44</v>
      </c>
    </row>
    <row r="81" spans="1:41" hidden="1">
      <c r="A81">
        <v>79</v>
      </c>
      <c r="B81">
        <v>1152.01</v>
      </c>
      <c r="C81">
        <v>1.17597</v>
      </c>
      <c r="D81">
        <v>1.1854899999999999</v>
      </c>
      <c r="E81">
        <v>1.16557</v>
      </c>
      <c r="F81">
        <v>1.19448</v>
      </c>
      <c r="I81">
        <v>1193.24</v>
      </c>
      <c r="J81">
        <v>1.1677200000000001</v>
      </c>
      <c r="K81">
        <v>1.19045</v>
      </c>
      <c r="L81">
        <v>1.1686000000000001</v>
      </c>
      <c r="M81">
        <v>1.18693</v>
      </c>
      <c r="P81">
        <v>1161.51</v>
      </c>
      <c r="Q81">
        <v>1.18381</v>
      </c>
      <c r="R81">
        <v>1.1692</v>
      </c>
      <c r="S81">
        <v>1.19414</v>
      </c>
      <c r="T81">
        <v>1.15865</v>
      </c>
      <c r="W81">
        <v>628.69899999999996</v>
      </c>
      <c r="X81">
        <v>628.84299999999996</v>
      </c>
      <c r="Y81">
        <v>1385.4</v>
      </c>
      <c r="Z81">
        <v>1465.59</v>
      </c>
      <c r="AA81">
        <v>1440.34</v>
      </c>
      <c r="AD81">
        <v>693.31500000000005</v>
      </c>
      <c r="AE81">
        <v>676.32600000000002</v>
      </c>
      <c r="AF81">
        <v>1455.34</v>
      </c>
      <c r="AG81">
        <v>2035.06</v>
      </c>
      <c r="AH81">
        <v>1632.26</v>
      </c>
      <c r="AK81">
        <v>664.06600000000003</v>
      </c>
      <c r="AL81">
        <v>648.08100000000002</v>
      </c>
      <c r="AM81">
        <v>1437.26</v>
      </c>
      <c r="AN81">
        <v>1495.1</v>
      </c>
      <c r="AO81">
        <v>1447.11</v>
      </c>
    </row>
    <row r="82" spans="1:41" hidden="1">
      <c r="A82">
        <v>80</v>
      </c>
      <c r="B82">
        <v>1153.8499999999999</v>
      </c>
      <c r="C82">
        <v>1.17608</v>
      </c>
      <c r="D82">
        <v>1.1661900000000001</v>
      </c>
      <c r="E82">
        <v>1.19251</v>
      </c>
      <c r="F82">
        <v>1.24492</v>
      </c>
      <c r="I82">
        <v>1164.96</v>
      </c>
      <c r="J82">
        <v>1.1671899999999999</v>
      </c>
      <c r="K82">
        <v>1.1988399999999999</v>
      </c>
      <c r="L82">
        <v>1.1727300000000001</v>
      </c>
      <c r="M82">
        <v>1.1926300000000001</v>
      </c>
      <c r="P82">
        <v>1175.83</v>
      </c>
      <c r="Q82">
        <v>1.1610499999999999</v>
      </c>
      <c r="R82">
        <v>1.1988399999999999</v>
      </c>
      <c r="S82">
        <v>1.16913</v>
      </c>
      <c r="T82">
        <v>1.1937599999999999</v>
      </c>
      <c r="W82">
        <v>793.95600000000002</v>
      </c>
      <c r="X82">
        <v>766.596</v>
      </c>
      <c r="Y82">
        <v>1741.38</v>
      </c>
      <c r="Z82">
        <v>1852.08</v>
      </c>
      <c r="AA82">
        <v>1599.58</v>
      </c>
      <c r="AD82">
        <v>758.36199999999997</v>
      </c>
      <c r="AE82">
        <v>787.89700000000005</v>
      </c>
      <c r="AF82">
        <v>1602.46</v>
      </c>
      <c r="AG82">
        <v>2146.09</v>
      </c>
      <c r="AH82">
        <v>1644.7</v>
      </c>
      <c r="AK82">
        <v>660.47400000000005</v>
      </c>
      <c r="AL82">
        <v>649.48299999999995</v>
      </c>
      <c r="AM82">
        <v>1426.79</v>
      </c>
      <c r="AN82">
        <v>1493.57</v>
      </c>
      <c r="AO82">
        <v>1446.48</v>
      </c>
    </row>
    <row r="83" spans="1:41" hidden="1">
      <c r="A83">
        <v>81</v>
      </c>
      <c r="B83">
        <v>1175.3499999999999</v>
      </c>
      <c r="C83">
        <v>1.1758599999999999</v>
      </c>
      <c r="D83">
        <v>1.1821699999999999</v>
      </c>
      <c r="E83">
        <v>1.1633199999999999</v>
      </c>
      <c r="F83">
        <v>1.1771499999999999</v>
      </c>
      <c r="I83">
        <v>1163.8699999999999</v>
      </c>
      <c r="J83">
        <v>1.19469</v>
      </c>
      <c r="K83">
        <v>1.1689700000000001</v>
      </c>
      <c r="L83">
        <v>1.2789200000000001</v>
      </c>
      <c r="M83">
        <v>1.16456</v>
      </c>
      <c r="P83">
        <v>1164</v>
      </c>
      <c r="Q83">
        <v>1.1798299999999999</v>
      </c>
      <c r="R83">
        <v>1.1755500000000001</v>
      </c>
      <c r="S83">
        <v>1.1865600000000001</v>
      </c>
      <c r="T83">
        <v>1.1657900000000001</v>
      </c>
      <c r="W83">
        <v>737.82600000000002</v>
      </c>
      <c r="X83">
        <v>727.18499999999995</v>
      </c>
      <c r="Y83">
        <v>1479.07</v>
      </c>
      <c r="Z83">
        <v>1500.49</v>
      </c>
      <c r="AA83">
        <v>1453.24</v>
      </c>
      <c r="AD83">
        <v>685.43700000000001</v>
      </c>
      <c r="AE83">
        <v>684.10199999999998</v>
      </c>
      <c r="AF83">
        <v>1432.83</v>
      </c>
      <c r="AG83">
        <v>1919.56</v>
      </c>
      <c r="AH83">
        <v>1446.12</v>
      </c>
      <c r="AK83">
        <v>659.82600000000002</v>
      </c>
      <c r="AL83">
        <v>665.38900000000001</v>
      </c>
      <c r="AM83">
        <v>1403.84</v>
      </c>
      <c r="AN83">
        <v>1526.04</v>
      </c>
      <c r="AO83">
        <v>1432.47</v>
      </c>
    </row>
    <row r="84" spans="1:41" hidden="1">
      <c r="A84">
        <v>82</v>
      </c>
      <c r="B84">
        <v>1151.79</v>
      </c>
      <c r="C84">
        <v>1.18214</v>
      </c>
      <c r="D84">
        <v>1.1638599999999999</v>
      </c>
      <c r="E84">
        <v>1.18902</v>
      </c>
      <c r="F84">
        <v>1.1559999999999999</v>
      </c>
      <c r="I84">
        <v>1191.28</v>
      </c>
      <c r="J84">
        <v>1.167</v>
      </c>
      <c r="K84">
        <v>1.19384</v>
      </c>
      <c r="L84">
        <v>1.1664399999999999</v>
      </c>
      <c r="M84">
        <v>1.1812</v>
      </c>
      <c r="P84">
        <v>1274.3599999999999</v>
      </c>
      <c r="Q84">
        <v>1.16191</v>
      </c>
      <c r="R84">
        <v>1.1706399999999999</v>
      </c>
      <c r="S84">
        <v>1.18791</v>
      </c>
      <c r="T84">
        <v>1.161</v>
      </c>
      <c r="W84">
        <v>741.71799999999996</v>
      </c>
      <c r="X84">
        <v>665.12699999999995</v>
      </c>
      <c r="Y84">
        <v>1540.15</v>
      </c>
      <c r="Z84">
        <v>1721.73</v>
      </c>
      <c r="AA84">
        <v>1619.32</v>
      </c>
      <c r="AD84">
        <v>679.68899999999996</v>
      </c>
      <c r="AE84">
        <v>708.68200000000002</v>
      </c>
      <c r="AF84">
        <v>1443.98</v>
      </c>
      <c r="AG84">
        <v>2187.91</v>
      </c>
      <c r="AH84">
        <v>1643.08</v>
      </c>
      <c r="AK84">
        <v>682.38</v>
      </c>
      <c r="AL84">
        <v>651.00199999999995</v>
      </c>
      <c r="AM84">
        <v>1425.69</v>
      </c>
      <c r="AN84">
        <v>1535.12</v>
      </c>
      <c r="AO84">
        <v>1437.46</v>
      </c>
    </row>
    <row r="85" spans="1:41" hidden="1">
      <c r="A85">
        <v>83</v>
      </c>
      <c r="B85">
        <v>1179.8699999999999</v>
      </c>
      <c r="C85">
        <v>1.17231</v>
      </c>
      <c r="D85">
        <v>1.1640299999999999</v>
      </c>
      <c r="E85">
        <v>1.1860999999999999</v>
      </c>
      <c r="F85">
        <v>1.15459</v>
      </c>
      <c r="I85">
        <v>1161.8800000000001</v>
      </c>
      <c r="J85">
        <v>1.19421</v>
      </c>
      <c r="K85">
        <v>1.16909</v>
      </c>
      <c r="L85">
        <v>1.1919299999999999</v>
      </c>
      <c r="M85">
        <v>1.2218100000000001</v>
      </c>
      <c r="P85">
        <v>1174.33</v>
      </c>
      <c r="Q85">
        <v>1.18737</v>
      </c>
      <c r="R85">
        <v>1.17489</v>
      </c>
      <c r="S85">
        <v>1.1851100000000001</v>
      </c>
      <c r="T85">
        <v>1.1616299999999999</v>
      </c>
      <c r="W85">
        <v>722.29200000000003</v>
      </c>
      <c r="X85">
        <v>725.97699999999998</v>
      </c>
      <c r="Y85">
        <v>1488.18</v>
      </c>
      <c r="Z85">
        <v>1515.74</v>
      </c>
      <c r="AA85">
        <v>1480.86</v>
      </c>
      <c r="AD85">
        <v>733.87300000000005</v>
      </c>
      <c r="AE85">
        <v>723.17499999999995</v>
      </c>
      <c r="AF85">
        <v>1617.69</v>
      </c>
      <c r="AG85">
        <v>2203.4499999999998</v>
      </c>
      <c r="AH85">
        <v>1425.12</v>
      </c>
      <c r="AK85">
        <v>658.14</v>
      </c>
      <c r="AL85">
        <v>651.51199999999994</v>
      </c>
      <c r="AM85">
        <v>1411.36</v>
      </c>
      <c r="AN85">
        <v>1497.37</v>
      </c>
      <c r="AO85">
        <v>1449.94</v>
      </c>
    </row>
    <row r="86" spans="1:41" hidden="1">
      <c r="A86">
        <v>84</v>
      </c>
      <c r="B86">
        <v>1285.19</v>
      </c>
      <c r="C86">
        <v>1.23533</v>
      </c>
      <c r="D86">
        <v>1.8908499999999999</v>
      </c>
      <c r="E86">
        <v>1.36328</v>
      </c>
      <c r="F86">
        <v>1.3801600000000001</v>
      </c>
      <c r="I86">
        <v>1182.99</v>
      </c>
      <c r="J86">
        <v>1.22068</v>
      </c>
      <c r="K86">
        <v>1.27369</v>
      </c>
      <c r="L86">
        <v>1.2114</v>
      </c>
      <c r="M86">
        <v>1.1797899999999999</v>
      </c>
      <c r="P86">
        <v>1182.48</v>
      </c>
      <c r="Q86">
        <v>1.1587400000000001</v>
      </c>
      <c r="R86">
        <v>1.1887399999999999</v>
      </c>
      <c r="S86">
        <v>1.1670499999999999</v>
      </c>
      <c r="T86">
        <v>1.1828700000000001</v>
      </c>
      <c r="W86">
        <v>731.28700000000003</v>
      </c>
      <c r="X86">
        <v>667.76400000000001</v>
      </c>
      <c r="Y86">
        <v>1533.3</v>
      </c>
      <c r="Z86">
        <v>1543.66</v>
      </c>
      <c r="AA86">
        <v>1623.73</v>
      </c>
      <c r="AD86">
        <v>677.42100000000005</v>
      </c>
      <c r="AE86">
        <v>708.58100000000002</v>
      </c>
      <c r="AF86">
        <v>1437</v>
      </c>
      <c r="AG86">
        <v>1944.15</v>
      </c>
      <c r="AH86">
        <v>1543.36</v>
      </c>
      <c r="AK86">
        <v>659.24300000000005</v>
      </c>
      <c r="AL86">
        <v>720.81700000000001</v>
      </c>
      <c r="AM86">
        <v>1436.31</v>
      </c>
      <c r="AN86">
        <v>1524.36</v>
      </c>
      <c r="AO86">
        <v>1480.73</v>
      </c>
    </row>
    <row r="87" spans="1:41" hidden="1">
      <c r="A87">
        <v>85</v>
      </c>
      <c r="B87">
        <v>1678.15</v>
      </c>
      <c r="C87">
        <v>1.23509</v>
      </c>
      <c r="D87">
        <v>1.23847</v>
      </c>
      <c r="E87">
        <v>1.17123</v>
      </c>
      <c r="F87">
        <v>1.2846200000000001</v>
      </c>
      <c r="I87">
        <v>1210.02</v>
      </c>
      <c r="J87">
        <v>1.1795100000000001</v>
      </c>
      <c r="K87">
        <v>1.2112700000000001</v>
      </c>
      <c r="L87">
        <v>1.1959299999999999</v>
      </c>
      <c r="M87">
        <v>1.2214400000000001</v>
      </c>
      <c r="P87">
        <v>1178.3800000000001</v>
      </c>
      <c r="Q87">
        <v>1.18055</v>
      </c>
      <c r="R87">
        <v>1.17062</v>
      </c>
      <c r="S87">
        <v>1.1916899999999999</v>
      </c>
      <c r="T87">
        <v>1.16246</v>
      </c>
      <c r="W87">
        <v>739.32500000000005</v>
      </c>
      <c r="X87">
        <v>816.11500000000001</v>
      </c>
      <c r="Y87">
        <v>1545.53</v>
      </c>
      <c r="Z87">
        <v>1560.77</v>
      </c>
      <c r="AA87">
        <v>1461.12</v>
      </c>
      <c r="AD87">
        <v>812.23900000000003</v>
      </c>
      <c r="AE87">
        <v>752.274</v>
      </c>
      <c r="AF87">
        <v>1585.48</v>
      </c>
      <c r="AG87">
        <v>2095.31</v>
      </c>
      <c r="AH87">
        <v>1710.1</v>
      </c>
      <c r="AK87">
        <v>693.90099999999995</v>
      </c>
      <c r="AL87">
        <v>672.87099999999998</v>
      </c>
      <c r="AM87">
        <v>1401.49</v>
      </c>
      <c r="AN87">
        <v>1525.58</v>
      </c>
      <c r="AO87">
        <v>1515.42</v>
      </c>
    </row>
    <row r="88" spans="1:41" hidden="1">
      <c r="A88">
        <v>86</v>
      </c>
      <c r="B88">
        <v>1154.0999999999999</v>
      </c>
      <c r="C88">
        <v>1.1813100000000001</v>
      </c>
      <c r="D88">
        <v>1.1629400000000001</v>
      </c>
      <c r="E88">
        <v>1.16333</v>
      </c>
      <c r="F88">
        <v>1.18387</v>
      </c>
      <c r="I88">
        <v>1197.28</v>
      </c>
      <c r="J88">
        <v>1.1980599999999999</v>
      </c>
      <c r="K88">
        <v>1.1919599999999999</v>
      </c>
      <c r="L88">
        <v>1.1879</v>
      </c>
      <c r="M88">
        <v>1.27671</v>
      </c>
      <c r="P88">
        <v>1184.1199999999999</v>
      </c>
      <c r="Q88">
        <v>1.15899</v>
      </c>
      <c r="R88">
        <v>1.19696</v>
      </c>
      <c r="S88">
        <v>1.1670100000000001</v>
      </c>
      <c r="T88">
        <v>1.1859999999999999</v>
      </c>
      <c r="W88">
        <v>716.75699999999995</v>
      </c>
      <c r="X88">
        <v>675.779</v>
      </c>
      <c r="Y88">
        <v>1578.68</v>
      </c>
      <c r="Z88">
        <v>1772.74</v>
      </c>
      <c r="AA88">
        <v>1620.17</v>
      </c>
      <c r="AD88">
        <v>646.54100000000005</v>
      </c>
      <c r="AE88">
        <v>671.20399999999995</v>
      </c>
      <c r="AF88">
        <v>1413.7</v>
      </c>
      <c r="AG88">
        <v>1951.18</v>
      </c>
      <c r="AH88">
        <v>1438.15</v>
      </c>
      <c r="AK88">
        <v>729.87800000000004</v>
      </c>
      <c r="AL88">
        <v>734.41600000000005</v>
      </c>
      <c r="AM88">
        <v>1481.56</v>
      </c>
      <c r="AN88">
        <v>1503.89</v>
      </c>
      <c r="AO88">
        <v>1446.71</v>
      </c>
    </row>
    <row r="89" spans="1:41" hidden="1">
      <c r="A89">
        <v>87</v>
      </c>
      <c r="B89">
        <v>1154.74</v>
      </c>
      <c r="C89">
        <v>1.18895</v>
      </c>
      <c r="D89">
        <v>1.16551</v>
      </c>
      <c r="E89">
        <v>1.19119</v>
      </c>
      <c r="F89">
        <v>1.15744</v>
      </c>
      <c r="I89">
        <v>1205.46</v>
      </c>
      <c r="J89">
        <v>1.18374</v>
      </c>
      <c r="K89">
        <v>1.218</v>
      </c>
      <c r="L89">
        <v>1.1778599999999999</v>
      </c>
      <c r="M89">
        <v>1.20235</v>
      </c>
      <c r="P89">
        <v>1161.8499999999999</v>
      </c>
      <c r="Q89">
        <v>1.2697799999999999</v>
      </c>
      <c r="R89">
        <v>1.17099</v>
      </c>
      <c r="S89">
        <v>1.18659</v>
      </c>
      <c r="T89">
        <v>1.1632100000000001</v>
      </c>
      <c r="W89">
        <v>709.12699999999995</v>
      </c>
      <c r="X89">
        <v>676.41399999999999</v>
      </c>
      <c r="Y89">
        <v>1390.66</v>
      </c>
      <c r="Z89">
        <v>1579.74</v>
      </c>
      <c r="AA89">
        <v>1566.35</v>
      </c>
      <c r="AD89">
        <v>699.71100000000001</v>
      </c>
      <c r="AE89">
        <v>672.08299999999997</v>
      </c>
      <c r="AF89">
        <v>1629.84</v>
      </c>
      <c r="AG89">
        <v>2134.7600000000002</v>
      </c>
      <c r="AH89">
        <v>1604.91</v>
      </c>
      <c r="AK89">
        <v>659.59699999999998</v>
      </c>
      <c r="AL89">
        <v>649.99099999999999</v>
      </c>
      <c r="AM89">
        <v>1429.04</v>
      </c>
      <c r="AN89">
        <v>1488.12</v>
      </c>
      <c r="AO89">
        <v>1456.85</v>
      </c>
    </row>
    <row r="90" spans="1:41" hidden="1">
      <c r="A90">
        <v>88</v>
      </c>
      <c r="B90">
        <v>1178.3599999999999</v>
      </c>
      <c r="C90">
        <v>1.15568</v>
      </c>
      <c r="D90">
        <v>1.18468</v>
      </c>
      <c r="E90">
        <v>1.1632800000000001</v>
      </c>
      <c r="F90">
        <v>1.17936</v>
      </c>
      <c r="I90">
        <v>1187.67</v>
      </c>
      <c r="J90">
        <v>1.2312799999999999</v>
      </c>
      <c r="K90">
        <v>1.18468</v>
      </c>
      <c r="L90">
        <v>1.18631</v>
      </c>
      <c r="M90">
        <v>1.22567</v>
      </c>
      <c r="P90">
        <v>1156.45</v>
      </c>
      <c r="Q90">
        <v>1.1784600000000001</v>
      </c>
      <c r="R90">
        <v>1.17093</v>
      </c>
      <c r="S90">
        <v>1.1835800000000001</v>
      </c>
      <c r="T90">
        <v>1.16418</v>
      </c>
      <c r="W90">
        <v>832.27300000000002</v>
      </c>
      <c r="X90">
        <v>789.322</v>
      </c>
      <c r="Y90">
        <v>1513.62</v>
      </c>
      <c r="Z90">
        <v>1548.38</v>
      </c>
      <c r="AA90">
        <v>1502.21</v>
      </c>
      <c r="AD90">
        <v>750.89300000000003</v>
      </c>
      <c r="AE90">
        <v>772.49</v>
      </c>
      <c r="AF90">
        <v>1583.73</v>
      </c>
      <c r="AG90">
        <v>2045.71</v>
      </c>
      <c r="AH90">
        <v>1496.42</v>
      </c>
      <c r="AK90">
        <v>661.02499999999998</v>
      </c>
      <c r="AL90">
        <v>675.52200000000005</v>
      </c>
      <c r="AM90">
        <v>1399.71</v>
      </c>
      <c r="AN90">
        <v>1514.54</v>
      </c>
      <c r="AO90">
        <v>1406</v>
      </c>
    </row>
    <row r="91" spans="1:41" hidden="1">
      <c r="A91">
        <v>89</v>
      </c>
      <c r="B91">
        <v>1153.95</v>
      </c>
      <c r="C91">
        <v>1.1823600000000001</v>
      </c>
      <c r="D91">
        <v>1.1754599999999999</v>
      </c>
      <c r="E91">
        <v>1.18374</v>
      </c>
      <c r="F91">
        <v>1.1528400000000001</v>
      </c>
      <c r="I91">
        <v>1190.78</v>
      </c>
      <c r="J91">
        <v>1.21201</v>
      </c>
      <c r="K91">
        <v>1.1765000000000001</v>
      </c>
      <c r="L91">
        <v>1.20902</v>
      </c>
      <c r="M91">
        <v>1.18241</v>
      </c>
      <c r="P91">
        <v>1187.8599999999999</v>
      </c>
      <c r="Q91">
        <v>1.16073</v>
      </c>
      <c r="R91">
        <v>1.1931499999999999</v>
      </c>
      <c r="S91">
        <v>1.1657</v>
      </c>
      <c r="T91">
        <v>1.18224</v>
      </c>
      <c r="W91">
        <v>682.67899999999997</v>
      </c>
      <c r="X91">
        <v>709.97699999999998</v>
      </c>
      <c r="Y91">
        <v>1627</v>
      </c>
      <c r="Z91">
        <v>1545.28</v>
      </c>
      <c r="AA91">
        <v>1545.14</v>
      </c>
      <c r="AD91">
        <v>707.37800000000004</v>
      </c>
      <c r="AE91">
        <v>688.20600000000002</v>
      </c>
      <c r="AF91">
        <v>1462.61</v>
      </c>
      <c r="AG91">
        <v>2022.25</v>
      </c>
      <c r="AH91">
        <v>1632.58</v>
      </c>
      <c r="AK91">
        <v>686.43499999999995</v>
      </c>
      <c r="AL91">
        <v>650.79899999999998</v>
      </c>
      <c r="AM91">
        <v>1529.12</v>
      </c>
      <c r="AN91">
        <v>1510.76</v>
      </c>
      <c r="AO91">
        <v>1429.45</v>
      </c>
    </row>
    <row r="92" spans="1:41" hidden="1">
      <c r="A92">
        <v>90</v>
      </c>
      <c r="B92">
        <v>1152.46</v>
      </c>
      <c r="C92">
        <v>1.1768000000000001</v>
      </c>
      <c r="D92">
        <v>1.16364</v>
      </c>
      <c r="E92">
        <v>1.2137500000000001</v>
      </c>
      <c r="F92">
        <v>1.15439</v>
      </c>
      <c r="I92">
        <v>1205.07</v>
      </c>
      <c r="J92">
        <v>1.1794100000000001</v>
      </c>
      <c r="K92">
        <v>1.2267600000000001</v>
      </c>
      <c r="L92">
        <v>1.1833499999999999</v>
      </c>
      <c r="M92">
        <v>1.2190000000000001</v>
      </c>
      <c r="P92">
        <v>1156.3</v>
      </c>
      <c r="Q92">
        <v>1.1951000000000001</v>
      </c>
      <c r="R92">
        <v>1.17075</v>
      </c>
      <c r="S92">
        <v>1.20224</v>
      </c>
      <c r="T92">
        <v>1.16062</v>
      </c>
      <c r="W92">
        <v>869.63699999999994</v>
      </c>
      <c r="X92">
        <v>701.34799999999996</v>
      </c>
      <c r="Y92">
        <v>1508.1</v>
      </c>
      <c r="Z92">
        <v>1579.9</v>
      </c>
      <c r="AA92">
        <v>1480.77</v>
      </c>
      <c r="AD92">
        <v>797.61800000000005</v>
      </c>
      <c r="AE92">
        <v>756.178</v>
      </c>
      <c r="AF92">
        <v>1577.84</v>
      </c>
      <c r="AG92">
        <v>2184.61</v>
      </c>
      <c r="AH92">
        <v>1607.29</v>
      </c>
      <c r="AK92">
        <v>658.71199999999999</v>
      </c>
      <c r="AL92">
        <v>648.93499999999995</v>
      </c>
      <c r="AM92">
        <v>1417.8</v>
      </c>
      <c r="AN92">
        <v>1494.21</v>
      </c>
      <c r="AO92">
        <v>1432.59</v>
      </c>
    </row>
    <row r="93" spans="1:41" hidden="1">
      <c r="A93">
        <v>91</v>
      </c>
      <c r="B93">
        <v>1269.3399999999999</v>
      </c>
      <c r="C93">
        <v>1.1599999999999999</v>
      </c>
      <c r="D93">
        <v>1.19</v>
      </c>
      <c r="E93">
        <v>1.16211</v>
      </c>
      <c r="F93">
        <v>1.1823399999999999</v>
      </c>
      <c r="I93">
        <v>1189.7</v>
      </c>
      <c r="J93">
        <v>1.20468</v>
      </c>
      <c r="K93">
        <v>1.18137</v>
      </c>
      <c r="L93">
        <v>1.20034</v>
      </c>
      <c r="M93">
        <v>1.2705</v>
      </c>
      <c r="P93">
        <v>1185.46</v>
      </c>
      <c r="Q93">
        <v>1.1593599999999999</v>
      </c>
      <c r="R93">
        <v>1.1923600000000001</v>
      </c>
      <c r="S93">
        <v>1.16787</v>
      </c>
      <c r="T93">
        <v>1.1590100000000001</v>
      </c>
      <c r="W93">
        <v>727.42700000000002</v>
      </c>
      <c r="X93">
        <v>772.68899999999996</v>
      </c>
      <c r="Y93">
        <v>1628.73</v>
      </c>
      <c r="Z93">
        <v>1688.56</v>
      </c>
      <c r="AA93">
        <v>1619.74</v>
      </c>
      <c r="AD93">
        <v>824.91</v>
      </c>
      <c r="AE93">
        <v>715.01499999999999</v>
      </c>
      <c r="AF93">
        <v>1496.01</v>
      </c>
      <c r="AG93">
        <v>1933.59</v>
      </c>
      <c r="AH93">
        <v>1492.81</v>
      </c>
      <c r="AK93">
        <v>660.27099999999996</v>
      </c>
      <c r="AL93">
        <v>649.54499999999996</v>
      </c>
      <c r="AM93">
        <v>1427.31</v>
      </c>
      <c r="AN93">
        <v>1517.83</v>
      </c>
      <c r="AO93">
        <v>1406.49</v>
      </c>
    </row>
    <row r="94" spans="1:41" hidden="1">
      <c r="A94">
        <v>92</v>
      </c>
      <c r="B94">
        <v>1154.67</v>
      </c>
      <c r="C94">
        <v>1.1780900000000001</v>
      </c>
      <c r="D94">
        <v>1.16797</v>
      </c>
      <c r="E94">
        <v>1.18713</v>
      </c>
      <c r="F94">
        <v>1.15794</v>
      </c>
      <c r="I94">
        <v>1192.99</v>
      </c>
      <c r="J94">
        <v>1.1837800000000001</v>
      </c>
      <c r="K94">
        <v>1.1798999999999999</v>
      </c>
      <c r="L94">
        <v>1.2190099999999999</v>
      </c>
      <c r="M94">
        <v>1.1843699999999999</v>
      </c>
      <c r="P94">
        <v>1183.3599999999999</v>
      </c>
      <c r="Q94">
        <v>1.1630499999999999</v>
      </c>
      <c r="R94">
        <v>1.2773699999999999</v>
      </c>
      <c r="S94">
        <v>1.16703</v>
      </c>
      <c r="T94">
        <v>1.1893199999999999</v>
      </c>
      <c r="W94">
        <v>812.78499999999997</v>
      </c>
      <c r="X94">
        <v>692.97799999999995</v>
      </c>
      <c r="Y94">
        <v>1501.94</v>
      </c>
      <c r="Z94">
        <v>1524.55</v>
      </c>
      <c r="AA94">
        <v>1494.9</v>
      </c>
      <c r="AD94">
        <v>672.85900000000004</v>
      </c>
      <c r="AE94">
        <v>671.80100000000004</v>
      </c>
      <c r="AF94">
        <v>1592.07</v>
      </c>
      <c r="AG94">
        <v>2157.46</v>
      </c>
      <c r="AH94">
        <v>1633.44</v>
      </c>
      <c r="AK94">
        <v>670.52599999999995</v>
      </c>
      <c r="AL94">
        <v>681.68</v>
      </c>
      <c r="AM94">
        <v>1407.06</v>
      </c>
      <c r="AN94">
        <v>1521.56</v>
      </c>
      <c r="AO94">
        <v>1405.86</v>
      </c>
    </row>
    <row r="95" spans="1:41" hidden="1">
      <c r="A95">
        <v>93</v>
      </c>
      <c r="B95">
        <v>1181.6600000000001</v>
      </c>
      <c r="C95">
        <v>1.2060200000000001</v>
      </c>
      <c r="D95">
        <v>1.1761200000000001</v>
      </c>
      <c r="E95">
        <v>1.1832100000000001</v>
      </c>
      <c r="F95">
        <v>1.17232</v>
      </c>
      <c r="I95">
        <v>1203.17</v>
      </c>
      <c r="J95">
        <v>1.1771400000000001</v>
      </c>
      <c r="K95">
        <v>1.1931</v>
      </c>
      <c r="L95">
        <v>1.1803399999999999</v>
      </c>
      <c r="M95">
        <v>1.2186600000000001</v>
      </c>
      <c r="P95">
        <v>1161.82</v>
      </c>
      <c r="Q95">
        <v>1.18543</v>
      </c>
      <c r="R95">
        <v>1.1716299999999999</v>
      </c>
      <c r="S95">
        <v>1.1944699999999999</v>
      </c>
      <c r="T95">
        <v>1.1628499999999999</v>
      </c>
      <c r="W95">
        <v>662.93600000000004</v>
      </c>
      <c r="X95">
        <v>692.77099999999996</v>
      </c>
      <c r="Y95">
        <v>1500.51</v>
      </c>
      <c r="Z95">
        <v>1595.27</v>
      </c>
      <c r="AA95">
        <v>1582.6</v>
      </c>
      <c r="AD95">
        <v>744.54300000000001</v>
      </c>
      <c r="AE95">
        <v>778.11699999999996</v>
      </c>
      <c r="AF95">
        <v>1559.9</v>
      </c>
      <c r="AG95">
        <v>2275.0300000000002</v>
      </c>
      <c r="AH95">
        <v>1535.39</v>
      </c>
      <c r="AK95">
        <v>680.35</v>
      </c>
      <c r="AL95">
        <v>649.91700000000003</v>
      </c>
      <c r="AM95">
        <v>1427.4</v>
      </c>
      <c r="AN95">
        <v>1492.51</v>
      </c>
      <c r="AO95">
        <v>1433.82</v>
      </c>
    </row>
    <row r="96" spans="1:41" hidden="1">
      <c r="A96">
        <v>94</v>
      </c>
      <c r="B96">
        <v>1177.73</v>
      </c>
      <c r="C96">
        <v>1.1634899999999999</v>
      </c>
      <c r="D96">
        <v>1.1643399999999999</v>
      </c>
      <c r="E96">
        <v>1.19187</v>
      </c>
      <c r="F96">
        <v>1.1564000000000001</v>
      </c>
      <c r="I96">
        <v>1187.7</v>
      </c>
      <c r="J96">
        <v>1.1994899999999999</v>
      </c>
      <c r="K96">
        <v>1.1914199999999999</v>
      </c>
      <c r="L96">
        <v>1.1989300000000001</v>
      </c>
      <c r="M96">
        <v>1.1871499999999999</v>
      </c>
      <c r="P96">
        <v>1180.4100000000001</v>
      </c>
      <c r="Q96">
        <v>1.15924</v>
      </c>
      <c r="R96">
        <v>1.19598</v>
      </c>
      <c r="S96">
        <v>1.1674800000000001</v>
      </c>
      <c r="T96">
        <v>1.18215</v>
      </c>
      <c r="W96">
        <v>835.60900000000004</v>
      </c>
      <c r="X96">
        <v>795.05700000000002</v>
      </c>
      <c r="Y96">
        <v>1649.23</v>
      </c>
      <c r="Z96">
        <v>1589.57</v>
      </c>
      <c r="AA96">
        <v>1663.87</v>
      </c>
      <c r="AD96">
        <v>647.22</v>
      </c>
      <c r="AE96">
        <v>646.24</v>
      </c>
      <c r="AF96">
        <v>1417.55</v>
      </c>
      <c r="AG96">
        <v>1939.77</v>
      </c>
      <c r="AH96">
        <v>1460.88</v>
      </c>
      <c r="AK96">
        <v>659.56100000000004</v>
      </c>
      <c r="AL96">
        <v>648.90700000000004</v>
      </c>
      <c r="AM96">
        <v>1427.2</v>
      </c>
      <c r="AN96">
        <v>1591.33</v>
      </c>
      <c r="AO96">
        <v>1431.34</v>
      </c>
    </row>
    <row r="97" spans="1:41">
      <c r="A97">
        <v>95</v>
      </c>
      <c r="B97">
        <v>1173.9000000000001</v>
      </c>
      <c r="C97">
        <v>1.16445</v>
      </c>
      <c r="D97">
        <v>1.1894100000000001</v>
      </c>
      <c r="E97">
        <v>1.1662300000000001</v>
      </c>
      <c r="F97">
        <v>1.1795899999999999</v>
      </c>
      <c r="I97">
        <v>1208.1099999999999</v>
      </c>
      <c r="J97">
        <v>1.1906099999999999</v>
      </c>
      <c r="K97">
        <v>1.21394</v>
      </c>
      <c r="L97">
        <v>1.1770099999999999</v>
      </c>
      <c r="M97">
        <v>1.1874499999999999</v>
      </c>
      <c r="P97">
        <v>1159.02</v>
      </c>
      <c r="Q97">
        <v>1.1839999999999999</v>
      </c>
      <c r="R97">
        <v>1.1694800000000001</v>
      </c>
      <c r="S97">
        <v>1.1627799999999999</v>
      </c>
      <c r="T97">
        <v>1.1830499999999999</v>
      </c>
      <c r="W97">
        <v>746.88099999999997</v>
      </c>
      <c r="X97">
        <v>718.36400000000003</v>
      </c>
      <c r="Y97">
        <v>1560.29</v>
      </c>
      <c r="Z97">
        <v>1692.62</v>
      </c>
      <c r="AA97">
        <v>1448.33</v>
      </c>
      <c r="AD97">
        <v>793.63800000000003</v>
      </c>
      <c r="AE97">
        <v>717.34500000000003</v>
      </c>
      <c r="AF97">
        <v>1569.18</v>
      </c>
      <c r="AG97">
        <v>2132.58</v>
      </c>
      <c r="AH97">
        <v>1628.41</v>
      </c>
      <c r="AK97">
        <v>660.16399999999999</v>
      </c>
      <c r="AL97">
        <v>677.04899999999998</v>
      </c>
      <c r="AM97">
        <v>1400.33</v>
      </c>
      <c r="AN97">
        <v>1510.69</v>
      </c>
      <c r="AO97">
        <v>1406.58</v>
      </c>
    </row>
    <row r="98" spans="1:41">
      <c r="A98">
        <v>96</v>
      </c>
      <c r="B98">
        <v>1153.1099999999999</v>
      </c>
      <c r="C98">
        <v>1.2762899999999999</v>
      </c>
      <c r="D98">
        <v>1.1619299999999999</v>
      </c>
      <c r="E98">
        <v>1.18994</v>
      </c>
      <c r="F98">
        <v>1.155</v>
      </c>
      <c r="I98">
        <v>1203.78</v>
      </c>
      <c r="J98">
        <v>1.1800900000000001</v>
      </c>
      <c r="K98">
        <v>1.2050099999999999</v>
      </c>
      <c r="L98">
        <v>1.19845</v>
      </c>
      <c r="M98">
        <v>1.1970000000000001</v>
      </c>
      <c r="P98">
        <v>1153.4000000000001</v>
      </c>
      <c r="Q98">
        <v>1.1829099999999999</v>
      </c>
      <c r="R98">
        <v>1.17089</v>
      </c>
      <c r="S98">
        <v>1.1883699999999999</v>
      </c>
      <c r="T98">
        <v>1.15649</v>
      </c>
      <c r="W98">
        <v>751.298</v>
      </c>
      <c r="X98">
        <v>657.94399999999996</v>
      </c>
      <c r="Y98">
        <v>1519.87</v>
      </c>
      <c r="Z98">
        <v>1547</v>
      </c>
      <c r="AA98">
        <v>1570.25</v>
      </c>
      <c r="AD98">
        <v>731.38199999999995</v>
      </c>
      <c r="AE98">
        <v>760.27300000000002</v>
      </c>
      <c r="AF98">
        <v>1463</v>
      </c>
      <c r="AG98">
        <v>1873.78</v>
      </c>
      <c r="AH98">
        <v>1423.57</v>
      </c>
      <c r="AK98">
        <v>687.73199999999997</v>
      </c>
      <c r="AL98">
        <v>649.404</v>
      </c>
      <c r="AM98">
        <v>1395.82</v>
      </c>
      <c r="AN98">
        <v>1520.21</v>
      </c>
      <c r="AO98">
        <v>1440.12</v>
      </c>
    </row>
    <row r="99" spans="1:41">
      <c r="A99">
        <v>97</v>
      </c>
      <c r="B99">
        <v>1179.92</v>
      </c>
      <c r="C99">
        <v>1.1579900000000001</v>
      </c>
      <c r="D99">
        <v>1.1892499999999999</v>
      </c>
      <c r="E99">
        <v>1.16249</v>
      </c>
      <c r="F99">
        <v>1.17865</v>
      </c>
      <c r="I99">
        <v>1240.77</v>
      </c>
      <c r="J99">
        <v>1.1812400000000001</v>
      </c>
      <c r="K99">
        <v>1.16886</v>
      </c>
      <c r="L99">
        <v>1.1946699999999999</v>
      </c>
      <c r="M99">
        <v>1.16778</v>
      </c>
      <c r="P99">
        <v>1187.8599999999999</v>
      </c>
      <c r="Q99">
        <v>1.1611100000000001</v>
      </c>
      <c r="R99">
        <v>1.2040200000000001</v>
      </c>
      <c r="S99">
        <v>1.2447900000000001</v>
      </c>
      <c r="T99">
        <v>1.1961999999999999</v>
      </c>
      <c r="W99">
        <v>727.74199999999996</v>
      </c>
      <c r="X99">
        <v>708.78200000000004</v>
      </c>
      <c r="Y99">
        <v>1643.83</v>
      </c>
      <c r="Z99">
        <v>1714.11</v>
      </c>
      <c r="AA99">
        <v>1671.26</v>
      </c>
      <c r="AD99">
        <v>656.48199999999997</v>
      </c>
      <c r="AE99">
        <v>644.62900000000002</v>
      </c>
      <c r="AF99">
        <v>1405.82</v>
      </c>
      <c r="AG99">
        <v>1911.07</v>
      </c>
      <c r="AH99">
        <v>1426.88</v>
      </c>
      <c r="AK99">
        <v>659.17399999999998</v>
      </c>
      <c r="AL99">
        <v>649.63</v>
      </c>
      <c r="AM99">
        <v>1429.26</v>
      </c>
      <c r="AN99">
        <v>1488.84</v>
      </c>
      <c r="AO99">
        <v>1434.98</v>
      </c>
    </row>
    <row r="100" spans="1:41">
      <c r="A100">
        <v>98</v>
      </c>
      <c r="B100">
        <v>1155.1099999999999</v>
      </c>
      <c r="C100">
        <v>1.18381</v>
      </c>
      <c r="D100">
        <v>1.1635</v>
      </c>
      <c r="E100">
        <v>1.1615800000000001</v>
      </c>
      <c r="F100">
        <v>1.1819299999999999</v>
      </c>
      <c r="I100">
        <v>1183.8399999999999</v>
      </c>
      <c r="J100">
        <v>1.1639999999999999</v>
      </c>
      <c r="K100">
        <v>1.1914499999999999</v>
      </c>
      <c r="L100">
        <v>1.1666799999999999</v>
      </c>
      <c r="M100">
        <v>1.1973100000000001</v>
      </c>
      <c r="P100">
        <v>1165.67</v>
      </c>
      <c r="Q100">
        <v>1.18957</v>
      </c>
      <c r="R100">
        <v>1.17306</v>
      </c>
      <c r="S100">
        <v>1.1879500000000001</v>
      </c>
      <c r="T100">
        <v>1.1637200000000001</v>
      </c>
      <c r="W100">
        <v>793.96299999999997</v>
      </c>
      <c r="X100">
        <v>784.62199999999996</v>
      </c>
      <c r="Y100">
        <v>1610.37</v>
      </c>
      <c r="Z100">
        <v>1574.26</v>
      </c>
      <c r="AA100">
        <v>1419.71</v>
      </c>
      <c r="AD100">
        <v>705.95699999999999</v>
      </c>
      <c r="AE100">
        <v>682.81200000000001</v>
      </c>
      <c r="AF100">
        <v>1439.86</v>
      </c>
      <c r="AG100">
        <v>2238.2600000000002</v>
      </c>
      <c r="AH100">
        <v>1608.88</v>
      </c>
      <c r="AK100">
        <v>661.44299999999998</v>
      </c>
      <c r="AL100">
        <v>648.44500000000005</v>
      </c>
      <c r="AM100">
        <v>1415.02</v>
      </c>
      <c r="AN100">
        <v>1516.52</v>
      </c>
      <c r="AO100">
        <v>1406.14</v>
      </c>
    </row>
    <row r="101" spans="1:41">
      <c r="A101">
        <v>99</v>
      </c>
      <c r="B101">
        <v>1154.7</v>
      </c>
      <c r="C101">
        <v>1.1793899999999999</v>
      </c>
      <c r="D101">
        <v>1.1644099999999999</v>
      </c>
      <c r="E101">
        <v>1.18279</v>
      </c>
      <c r="F101">
        <v>1.1530499999999999</v>
      </c>
      <c r="I101">
        <v>1197.3399999999999</v>
      </c>
      <c r="J101">
        <v>1.30643</v>
      </c>
      <c r="K101">
        <v>1.1872799999999999</v>
      </c>
      <c r="L101">
        <v>1.1908799999999999</v>
      </c>
      <c r="M101">
        <v>1.2059500000000001</v>
      </c>
      <c r="P101">
        <v>1164.57</v>
      </c>
      <c r="Q101">
        <v>1.2383900000000001</v>
      </c>
      <c r="R101">
        <v>1.2124699999999999</v>
      </c>
      <c r="S101">
        <v>1.20397</v>
      </c>
      <c r="T101">
        <v>1.18031</v>
      </c>
      <c r="W101">
        <v>653.31100000000004</v>
      </c>
      <c r="X101">
        <v>631.68399999999997</v>
      </c>
      <c r="Y101">
        <v>1386.29</v>
      </c>
      <c r="Z101">
        <v>1528.63</v>
      </c>
      <c r="AA101">
        <v>1553.6</v>
      </c>
      <c r="AD101">
        <v>764.38099999999997</v>
      </c>
      <c r="AE101">
        <v>678.59100000000001</v>
      </c>
      <c r="AF101">
        <v>1478.32</v>
      </c>
      <c r="AG101">
        <v>1908.63</v>
      </c>
      <c r="AH101">
        <v>1459.09</v>
      </c>
      <c r="AK101">
        <v>659.65499999999997</v>
      </c>
      <c r="AL101">
        <v>674.17499999999995</v>
      </c>
      <c r="AM101">
        <v>1395.64</v>
      </c>
      <c r="AN101">
        <v>1514.16</v>
      </c>
      <c r="AO101">
        <v>1432.44</v>
      </c>
    </row>
    <row r="102" spans="1:41">
      <c r="A102">
        <v>100</v>
      </c>
      <c r="B102" s="17">
        <v>1176.18</v>
      </c>
      <c r="C102" s="17">
        <v>1.157</v>
      </c>
      <c r="D102" s="17">
        <v>1.18607</v>
      </c>
      <c r="E102" s="17">
        <v>1.16296</v>
      </c>
      <c r="F102" s="17">
        <v>1.1781699999999999</v>
      </c>
      <c r="I102" s="17">
        <v>1179.19</v>
      </c>
      <c r="J102" s="17">
        <v>1.21957</v>
      </c>
      <c r="K102" s="17">
        <v>1.18048</v>
      </c>
      <c r="L102" s="17">
        <v>1.22417</v>
      </c>
      <c r="M102" s="17">
        <v>1.16876</v>
      </c>
      <c r="P102" s="17">
        <v>1310.43</v>
      </c>
      <c r="Q102" s="17">
        <v>1.206</v>
      </c>
      <c r="R102" s="17">
        <v>1.2858799999999999</v>
      </c>
      <c r="S102" s="17">
        <v>1.2034100000000001</v>
      </c>
      <c r="T102" s="17">
        <v>1.2073</v>
      </c>
      <c r="W102" s="17">
        <v>712.13</v>
      </c>
      <c r="X102" s="17">
        <v>677.41099999999994</v>
      </c>
      <c r="Y102" s="17">
        <v>1662.34</v>
      </c>
      <c r="Z102" s="17">
        <v>1723.55</v>
      </c>
      <c r="AA102" s="17">
        <v>1611.4</v>
      </c>
      <c r="AD102" s="17">
        <v>657.74199999999996</v>
      </c>
      <c r="AE102" s="17">
        <v>645.16499999999996</v>
      </c>
      <c r="AF102" s="17">
        <v>1428.5</v>
      </c>
      <c r="AG102" s="17">
        <v>1891.35</v>
      </c>
      <c r="AH102" s="17">
        <v>1442.46</v>
      </c>
      <c r="AI102" s="17"/>
      <c r="AK102" s="17">
        <v>660.24900000000002</v>
      </c>
      <c r="AL102" s="17">
        <v>656.69399999999996</v>
      </c>
      <c r="AM102" s="17">
        <v>1423.59</v>
      </c>
      <c r="AN102" s="17">
        <v>1483</v>
      </c>
      <c r="AO102" s="17">
        <v>1449.98</v>
      </c>
    </row>
    <row r="105" spans="1:41" ht="16" thickBot="1"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t="s">
        <v>8</v>
      </c>
      <c r="B106">
        <f>AVERAGE(Enc16x10[ECB])</f>
        <v>1182.0320999999997</v>
      </c>
      <c r="C106">
        <f>AVERAGE(Enc16x10[CBC])</f>
        <v>1.1903999999999997</v>
      </c>
      <c r="D106">
        <f>AVERAGE(Enc16x10[OFB])</f>
        <v>1.2204304999999998</v>
      </c>
      <c r="E106">
        <f>AVERAGE(Enc16x10[CFB])</f>
        <v>1.2027246999999999</v>
      </c>
      <c r="F106">
        <f>AVERAGE(Enc16x10[CTR])</f>
        <v>1.1794971999999999</v>
      </c>
      <c r="I106">
        <f>AVERAGE(Enc24x10[ECB])</f>
        <v>1193.1301000000003</v>
      </c>
      <c r="J106">
        <f>AVERAGE(Enc24x10[CBC])</f>
        <v>1.1914591000000003</v>
      </c>
      <c r="K106">
        <f>AVERAGE(Enc24x10[OFB])</f>
        <v>1.1904866999999999</v>
      </c>
      <c r="L106">
        <f>AVERAGE(Enc24x10[CFB])</f>
        <v>1.1871027999999995</v>
      </c>
      <c r="M106">
        <f>AVERAGE(Enc24x10[CTR])</f>
        <v>1.1878140999999998</v>
      </c>
      <c r="P106">
        <f>AVERAGE(Enc32x10[ECB])</f>
        <v>1185.3488</v>
      </c>
      <c r="Q106">
        <f>AVERAGE(Enc32x10[CBC])</f>
        <v>1.1829124</v>
      </c>
      <c r="R106">
        <f>AVERAGE(Enc32x10[OFB])</f>
        <v>1.1894183000000009</v>
      </c>
      <c r="S106">
        <f>AVERAGE(Enc32x10[CFB])</f>
        <v>1.1848855999999999</v>
      </c>
      <c r="T106">
        <f>AVERAGE(Enc32x10[CTR])</f>
        <v>1.1828337000000002</v>
      </c>
      <c r="W106">
        <f>AVERAGE(Dec16x10[ECB])</f>
        <v>732.25806000000011</v>
      </c>
      <c r="X106">
        <f>AVERAGE(Dec16x10[CBC])</f>
        <v>713.52113999999972</v>
      </c>
      <c r="Y106">
        <f>AVERAGE(Dec16x10[OFB])</f>
        <v>1549.4658999999997</v>
      </c>
      <c r="Z106">
        <f>AVERAGE(Dec16x10[CFB])</f>
        <v>1618.3941999999993</v>
      </c>
      <c r="AA106">
        <f>AVERAGE(Dec16x10[CTR])</f>
        <v>1540.9600999999993</v>
      </c>
      <c r="AD106">
        <f>AVERAGE(DEc24x10[ECB])</f>
        <v>716.42056000000002</v>
      </c>
      <c r="AE106">
        <f>AVERAGE(DEc24x10[CBC])</f>
        <v>713.37619000000007</v>
      </c>
      <c r="AF106">
        <f>AVERAGE(DEc24x10[OFB])</f>
        <v>1502.4117999999996</v>
      </c>
      <c r="AG106">
        <f>AVERAGE(DEc24x10[CFB])</f>
        <v>2043.0439999999996</v>
      </c>
      <c r="AH106">
        <f>AVERAGE(DEc24x10[CTR])</f>
        <v>1538.1930000000007</v>
      </c>
      <c r="AK106">
        <f>AVERAGE(Dec32x10[ECB])</f>
        <v>741.82153999999991</v>
      </c>
      <c r="AL106">
        <f>AVERAGE(Dec32x10[CBC])</f>
        <v>722.88204000000007</v>
      </c>
      <c r="AM106">
        <f>AVERAGE(Dec32x10[OFB])</f>
        <v>1544.6084000000001</v>
      </c>
      <c r="AN106">
        <f>AVERAGE(Dec32x10[CFB])</f>
        <v>1647.4158999999997</v>
      </c>
      <c r="AO106">
        <f>AVERAGE(Dec32x10[CTR])</f>
        <v>1561.4413000000004</v>
      </c>
    </row>
    <row r="107" spans="1:41">
      <c r="A107" t="s">
        <v>10</v>
      </c>
      <c r="B107">
        <f>MIN(Enc16x10[ECB])</f>
        <v>1149.2</v>
      </c>
      <c r="C107">
        <f>MIN(Enc16x10[CBC])</f>
        <v>1.1532800000000001</v>
      </c>
      <c r="D107">
        <f>MIN(Enc16x10[OFB])</f>
        <v>1.1619299999999999</v>
      </c>
      <c r="E107">
        <f>MIN(Enc16x10[CFB])</f>
        <v>1.1598299999999999</v>
      </c>
      <c r="F107">
        <f>MIN(Enc16x10[CTR])</f>
        <v>1.1511800000000001</v>
      </c>
      <c r="I107">
        <f>MIN(Enc24x10[ECB])</f>
        <v>1161.1199999999999</v>
      </c>
      <c r="J107">
        <f>MIN(Enc24x10[CBC])</f>
        <v>1.1619999999999999</v>
      </c>
      <c r="K107">
        <f>MIN(Enc24x10[OFB])</f>
        <v>1.1652899999999999</v>
      </c>
      <c r="L107">
        <f>MIN(Enc24x10[CFB])</f>
        <v>1.1625099999999999</v>
      </c>
      <c r="M107">
        <f>MIN(Enc24x10[CTR])</f>
        <v>1.1628799999999999</v>
      </c>
      <c r="P107">
        <f>MIN(Enc32x10[ECB])</f>
        <v>1153.4000000000001</v>
      </c>
      <c r="Q107">
        <f>MIN(Enc32x10[CBC])</f>
        <v>1.1560600000000001</v>
      </c>
      <c r="R107">
        <f>MIN(Enc32x10[OFB])</f>
        <v>1.1676299999999999</v>
      </c>
      <c r="S107">
        <f>MIN(Enc32x10[CFB])</f>
        <v>1.16086</v>
      </c>
      <c r="T107">
        <f>MIN(Enc32x10[CTR])</f>
        <v>1.1549100000000001</v>
      </c>
      <c r="W107">
        <f>MIN(Dec16x10[ECB])</f>
        <v>623.67899999999997</v>
      </c>
      <c r="X107">
        <f>MIN(Dec16x10[CBC])</f>
        <v>626.50599999999997</v>
      </c>
      <c r="Y107">
        <f>MIN(Dec16x10[OFB])</f>
        <v>1363.03</v>
      </c>
      <c r="Z107">
        <f>MIN(Dec16x10[CFB])</f>
        <v>1453.66</v>
      </c>
      <c r="AA107">
        <f>MIN(Dec16x10[CTR])</f>
        <v>1389.71</v>
      </c>
      <c r="AD107">
        <f>MIN(DEc24x10[ECB])</f>
        <v>641.78</v>
      </c>
      <c r="AE107">
        <f>MIN(DEc24x10[CBC])</f>
        <v>642.07000000000005</v>
      </c>
      <c r="AF107">
        <f>MIN(DEc24x10[OFB])</f>
        <v>1376.31</v>
      </c>
      <c r="AG107">
        <f>MIN(DEc24x10[CFB])</f>
        <v>1873.78</v>
      </c>
      <c r="AH107">
        <f>MIN(DEc24x10[CTR])</f>
        <v>1396.6</v>
      </c>
      <c r="AK107">
        <f>MIN(Dec32x10[ECB])</f>
        <v>658.14</v>
      </c>
      <c r="AL107">
        <f>MIN(Dec32x10[CBC])</f>
        <v>648.07299999999998</v>
      </c>
      <c r="AM107">
        <f>MIN(Dec32x10[OFB])</f>
        <v>1395.64</v>
      </c>
      <c r="AN107">
        <f>MIN(Dec32x10[CFB])</f>
        <v>1483</v>
      </c>
      <c r="AO107">
        <f>MIN(Dec32x10[CTR])</f>
        <v>1405.86</v>
      </c>
    </row>
    <row r="108" spans="1:41">
      <c r="A108" t="s">
        <v>11</v>
      </c>
      <c r="B108">
        <f>MAX(Enc16x10[ECB])</f>
        <v>1678.15</v>
      </c>
      <c r="C108">
        <f>MAX(Enc16x10[CBC])</f>
        <v>1.64988</v>
      </c>
      <c r="D108">
        <f>MAX(Enc16x10[OFB])</f>
        <v>3.12236</v>
      </c>
      <c r="E108">
        <f>MAX(Enc16x10[CFB])</f>
        <v>2.1463399999999999</v>
      </c>
      <c r="F108">
        <f>MAX(Enc16x10[CTR])</f>
        <v>1.3801600000000001</v>
      </c>
      <c r="I108">
        <f>MAX(Enc24x10[ECB])</f>
        <v>1454.54</v>
      </c>
      <c r="J108">
        <f>MAX(Enc24x10[CBC])</f>
        <v>1.35043</v>
      </c>
      <c r="K108">
        <f>MAX(Enc24x10[OFB])</f>
        <v>1.4149099999999999</v>
      </c>
      <c r="L108">
        <f>MAX(Enc24x10[CFB])</f>
        <v>1.34371</v>
      </c>
      <c r="M108">
        <f>MAX(Enc24x10[CTR])</f>
        <v>1.3167500000000001</v>
      </c>
      <c r="P108">
        <f>MAX(Enc32x10[ECB])</f>
        <v>1385.54</v>
      </c>
      <c r="Q108">
        <f>MAX(Enc32x10[CBC])</f>
        <v>1.40618</v>
      </c>
      <c r="R108">
        <f>MAX(Enc32x10[OFB])</f>
        <v>1.2996399999999999</v>
      </c>
      <c r="S108">
        <f>MAX(Enc32x10[CFB])</f>
        <v>1.38445</v>
      </c>
      <c r="T108">
        <f>MAX(Enc32x10[CTR])</f>
        <v>1.29677</v>
      </c>
      <c r="W108">
        <f>MAX(Dec16x10[ECB])</f>
        <v>921.03200000000004</v>
      </c>
      <c r="X108">
        <f>MAX(Dec16x10[CBC])</f>
        <v>961.84100000000001</v>
      </c>
      <c r="Y108">
        <f>MAX(Dec16x10[OFB])</f>
        <v>1814.28</v>
      </c>
      <c r="Z108">
        <f>MAX(Dec16x10[CFB])</f>
        <v>1872.27</v>
      </c>
      <c r="AA108">
        <f>MAX(Dec16x10[CTR])</f>
        <v>1834.94</v>
      </c>
      <c r="AD108">
        <f>MAX(DEc24x10[ECB])</f>
        <v>874.65099999999995</v>
      </c>
      <c r="AE108">
        <f>MAX(DEc24x10[CBC])</f>
        <v>910.12099999999998</v>
      </c>
      <c r="AF108">
        <f>MAX(DEc24x10[OFB])</f>
        <v>1733.52</v>
      </c>
      <c r="AG108">
        <f>MAX(DEc24x10[CFB])</f>
        <v>2434.65</v>
      </c>
      <c r="AH108">
        <f>MAX(DEc24x10[CTR])</f>
        <v>1809.69</v>
      </c>
      <c r="AK108">
        <f>MAX(Dec32x10[ECB])</f>
        <v>973.351</v>
      </c>
      <c r="AL108">
        <f>MAX(Dec32x10[CBC])</f>
        <v>1083.3399999999999</v>
      </c>
      <c r="AM108">
        <f>MAX(Dec32x10[OFB])</f>
        <v>2014.8</v>
      </c>
      <c r="AN108">
        <f>MAX(Dec32x10[CFB])</f>
        <v>2125.83</v>
      </c>
      <c r="AO108">
        <f>MAX(Dec32x10[CTR])</f>
        <v>2162.38</v>
      </c>
    </row>
    <row r="109" spans="1:41">
      <c r="A109" t="s">
        <v>9</v>
      </c>
      <c r="B109">
        <f>MEDIAN(Enc16x10[ECB])</f>
        <v>1174.585</v>
      </c>
      <c r="C109">
        <f>MEDIAN(Enc16x10[CBC])</f>
        <v>1.1769350000000001</v>
      </c>
      <c r="D109">
        <f>MEDIAN(Enc16x10[OFB])</f>
        <v>1.184145</v>
      </c>
      <c r="E109">
        <f>MEDIAN(Enc16x10[CFB])</f>
        <v>1.18519</v>
      </c>
      <c r="F109">
        <f>MEDIAN(Enc16x10[CTR])</f>
        <v>1.1743649999999999</v>
      </c>
      <c r="I109">
        <f>MEDIAN(Enc24x10[ECB])</f>
        <v>1186.9949999999999</v>
      </c>
      <c r="J109">
        <f>MEDIAN(Enc24x10[CBC])</f>
        <v>1.1863000000000001</v>
      </c>
      <c r="K109">
        <f>MEDIAN(Enc24x10[OFB])</f>
        <v>1.18479</v>
      </c>
      <c r="L109">
        <f>MEDIAN(Enc24x10[CFB])</f>
        <v>1.18682</v>
      </c>
      <c r="M109">
        <f>MEDIAN(Enc24x10[CTR])</f>
        <v>1.1839500000000001</v>
      </c>
      <c r="P109">
        <f>MEDIAN(Enc32x10[ECB])</f>
        <v>1179.395</v>
      </c>
      <c r="Q109">
        <f>MEDIAN(Enc32x10[CBC])</f>
        <v>1.1788699999999999</v>
      </c>
      <c r="R109">
        <f>MEDIAN(Enc32x10[OFB])</f>
        <v>1.1862949999999999</v>
      </c>
      <c r="S109">
        <f>MEDIAN(Enc32x10[CFB])</f>
        <v>1.1838950000000001</v>
      </c>
      <c r="T109">
        <f>MEDIAN(Enc32x10[CTR])</f>
        <v>1.1789149999999999</v>
      </c>
      <c r="W109">
        <f>MEDIAN(Dec16x10[ECB])</f>
        <v>729.69399999999996</v>
      </c>
      <c r="X109">
        <f>MEDIAN(Dec16x10[CBC])</f>
        <v>711.55549999999994</v>
      </c>
      <c r="Y109">
        <f>MEDIAN(Dec16x10[OFB])</f>
        <v>1533.3600000000001</v>
      </c>
      <c r="Z109">
        <f>MEDIAN(Dec16x10[CFB])</f>
        <v>1592.42</v>
      </c>
      <c r="AA109">
        <f>MEDIAN(Dec16x10[CTR])</f>
        <v>1537.71</v>
      </c>
      <c r="AD109">
        <f>MEDIAN(DEc24x10[ECB])</f>
        <v>702.2405</v>
      </c>
      <c r="AE109">
        <f>MEDIAN(DEc24x10[CBC])</f>
        <v>705.43949999999995</v>
      </c>
      <c r="AF109">
        <f>MEDIAN(DEc24x10[OFB])</f>
        <v>1473.9099999999999</v>
      </c>
      <c r="AG109">
        <f>MEDIAN(DEc24x10[CFB])</f>
        <v>2020.48</v>
      </c>
      <c r="AH109">
        <f>MEDIAN(DEc24x10[CTR])</f>
        <v>1520.94</v>
      </c>
      <c r="AK109">
        <f>MEDIAN(Dec32x10[ECB])</f>
        <v>739.97149999999999</v>
      </c>
      <c r="AL109">
        <f>MEDIAN(Dec32x10[CBC])</f>
        <v>715.07349999999997</v>
      </c>
      <c r="AM109">
        <f>MEDIAN(Dec32x10[OFB])</f>
        <v>1510.635</v>
      </c>
      <c r="AN109">
        <f>MEDIAN(Dec32x10[CFB])</f>
        <v>1622.085</v>
      </c>
      <c r="AO109">
        <f>MEDIAN(Dec32x10[CTR])</f>
        <v>1525.19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tabSelected="1" topLeftCell="AE1" workbookViewId="0">
      <selection activeCell="AK12" sqref="AK12"/>
    </sheetView>
  </sheetViews>
  <sheetFormatPr baseColWidth="10" defaultRowHeight="15" x14ac:dyDescent="0"/>
  <sheetData>
    <row r="1" spans="2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2:44">
      <c r="B3" t="s">
        <v>93</v>
      </c>
      <c r="C3">
        <v>37.259599999999999</v>
      </c>
      <c r="D3">
        <v>36.408200000000001</v>
      </c>
      <c r="E3">
        <v>40.6218</v>
      </c>
      <c r="F3">
        <v>37.829799999999999</v>
      </c>
      <c r="I3">
        <v>32635.200000000001</v>
      </c>
      <c r="J3">
        <v>33.597000000000001</v>
      </c>
      <c r="K3">
        <v>33.253900000000002</v>
      </c>
      <c r="L3">
        <v>31.670400000000001</v>
      </c>
      <c r="M3">
        <v>31.0916</v>
      </c>
      <c r="P3">
        <v>31876.7</v>
      </c>
      <c r="Q3">
        <v>33.063499999999998</v>
      </c>
      <c r="R3">
        <v>32.392699999999998</v>
      </c>
      <c r="S3">
        <v>31.459199999999999</v>
      </c>
      <c r="T3">
        <v>31.523800000000001</v>
      </c>
      <c r="W3">
        <v>18906</v>
      </c>
      <c r="X3">
        <v>22005.200000000001</v>
      </c>
      <c r="Y3">
        <v>38265.300000000003</v>
      </c>
      <c r="Z3">
        <v>39995.9</v>
      </c>
      <c r="AA3">
        <v>39724.199999999997</v>
      </c>
      <c r="AD3">
        <v>21305.7</v>
      </c>
      <c r="AE3">
        <v>19402.900000000001</v>
      </c>
      <c r="AF3">
        <v>40333.199999999997</v>
      </c>
      <c r="AG3">
        <v>46152.6</v>
      </c>
      <c r="AH3">
        <v>40389.800000000003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 t="s">
        <v>94</v>
      </c>
      <c r="C4">
        <v>37.276400000000002</v>
      </c>
      <c r="D4">
        <v>37.4863</v>
      </c>
      <c r="E4">
        <v>39.701000000000001</v>
      </c>
      <c r="F4">
        <v>35.6479</v>
      </c>
      <c r="I4">
        <v>31687.4</v>
      </c>
      <c r="J4">
        <v>30.614799999999999</v>
      </c>
      <c r="K4">
        <v>32.960999999999999</v>
      </c>
      <c r="L4">
        <v>34.239600000000003</v>
      </c>
      <c r="M4">
        <v>30.859000000000002</v>
      </c>
      <c r="P4">
        <v>30934.2</v>
      </c>
      <c r="Q4">
        <v>31.301400000000001</v>
      </c>
      <c r="R4">
        <v>31.352900000000002</v>
      </c>
      <c r="S4">
        <v>32.474800000000002</v>
      </c>
      <c r="T4">
        <v>32.815899999999999</v>
      </c>
      <c r="W4">
        <v>18973.8</v>
      </c>
      <c r="X4">
        <v>18748.5</v>
      </c>
      <c r="Y4">
        <v>37475.699999999997</v>
      </c>
      <c r="Z4">
        <v>40590.9</v>
      </c>
      <c r="AA4">
        <v>37724.9</v>
      </c>
      <c r="AD4">
        <v>20084.8</v>
      </c>
      <c r="AE4">
        <v>19655</v>
      </c>
      <c r="AF4">
        <v>57111.5</v>
      </c>
      <c r="AG4">
        <v>44228.4</v>
      </c>
      <c r="AH4">
        <v>39644.199999999997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 t="s">
        <v>95</v>
      </c>
      <c r="C5">
        <v>41.776200000000003</v>
      </c>
      <c r="D5">
        <v>35.431699999999999</v>
      </c>
      <c r="E5">
        <v>34.503300000000003</v>
      </c>
      <c r="F5">
        <v>35.242699999999999</v>
      </c>
      <c r="I5">
        <v>31281.9</v>
      </c>
      <c r="J5">
        <v>29.899100000000001</v>
      </c>
      <c r="K5">
        <v>30.9528</v>
      </c>
      <c r="L5">
        <v>30.6112</v>
      </c>
      <c r="M5">
        <v>31.465199999999999</v>
      </c>
      <c r="P5">
        <v>31396.799999999999</v>
      </c>
      <c r="Q5">
        <v>30.945599999999999</v>
      </c>
      <c r="R5">
        <v>31.710899999999999</v>
      </c>
      <c r="S5">
        <v>32.107100000000003</v>
      </c>
      <c r="T5">
        <v>32.173699999999997</v>
      </c>
      <c r="W5">
        <v>17906.099999999999</v>
      </c>
      <c r="X5">
        <v>17832.400000000001</v>
      </c>
      <c r="Y5">
        <v>37977.5</v>
      </c>
      <c r="Z5">
        <v>39816.699999999997</v>
      </c>
      <c r="AA5">
        <v>38181.9</v>
      </c>
      <c r="AD5">
        <v>19669.5</v>
      </c>
      <c r="AE5">
        <v>18891.900000000001</v>
      </c>
      <c r="AF5">
        <v>39655.5</v>
      </c>
      <c r="AG5">
        <v>42340.1</v>
      </c>
      <c r="AH5">
        <v>42072.3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 t="s">
        <v>96</v>
      </c>
      <c r="C6">
        <v>34.3264</v>
      </c>
      <c r="D6">
        <v>35.994</v>
      </c>
      <c r="E6">
        <v>39.735300000000002</v>
      </c>
      <c r="F6">
        <v>37.459499999999998</v>
      </c>
      <c r="I6">
        <v>30400.799999999999</v>
      </c>
      <c r="J6">
        <v>30.879899999999999</v>
      </c>
      <c r="K6">
        <v>30.096299999999999</v>
      </c>
      <c r="L6">
        <v>30.892900000000001</v>
      </c>
      <c r="M6">
        <v>30.5365</v>
      </c>
      <c r="P6">
        <v>31139.3</v>
      </c>
      <c r="Q6">
        <v>31.619900000000001</v>
      </c>
      <c r="R6">
        <v>36.804400000000001</v>
      </c>
      <c r="S6">
        <v>31.770499999999998</v>
      </c>
      <c r="T6">
        <v>31.995000000000001</v>
      </c>
      <c r="W6">
        <v>18398.599999999999</v>
      </c>
      <c r="X6">
        <v>18355.400000000001</v>
      </c>
      <c r="Y6">
        <v>38083.1</v>
      </c>
      <c r="Z6">
        <v>39240.400000000001</v>
      </c>
      <c r="AA6">
        <v>38234.400000000001</v>
      </c>
      <c r="AD6">
        <v>19300</v>
      </c>
      <c r="AE6">
        <v>18975</v>
      </c>
      <c r="AF6">
        <v>40957.9</v>
      </c>
      <c r="AG6">
        <v>42418</v>
      </c>
      <c r="AH6">
        <v>40521.4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 t="s">
        <v>97</v>
      </c>
      <c r="C7">
        <v>33.158999999999999</v>
      </c>
      <c r="D7">
        <v>32.4285</v>
      </c>
      <c r="E7">
        <v>33.603099999999998</v>
      </c>
      <c r="F7">
        <v>34.460900000000002</v>
      </c>
      <c r="I7">
        <v>30627.4</v>
      </c>
      <c r="J7">
        <v>30.2439</v>
      </c>
      <c r="K7">
        <v>31.112400000000001</v>
      </c>
      <c r="L7">
        <v>30.0885</v>
      </c>
      <c r="M7">
        <v>31.0444</v>
      </c>
      <c r="P7">
        <v>31455.7</v>
      </c>
      <c r="Q7">
        <v>32.307000000000002</v>
      </c>
      <c r="R7">
        <v>32.727400000000003</v>
      </c>
      <c r="S7">
        <v>33.099200000000003</v>
      </c>
      <c r="T7">
        <v>31.528500000000001</v>
      </c>
      <c r="W7">
        <v>19183.099999999999</v>
      </c>
      <c r="X7">
        <v>17954.900000000001</v>
      </c>
      <c r="Y7">
        <v>38115.599999999999</v>
      </c>
      <c r="Z7">
        <v>40066.400000000001</v>
      </c>
      <c r="AA7">
        <v>37942.5</v>
      </c>
      <c r="AD7">
        <v>19144.3</v>
      </c>
      <c r="AE7">
        <v>19223.900000000001</v>
      </c>
      <c r="AF7">
        <v>39495.9</v>
      </c>
      <c r="AG7">
        <v>43584.5</v>
      </c>
      <c r="AH7">
        <v>40391.199999999997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 t="s">
        <v>98</v>
      </c>
      <c r="C8">
        <v>39.505699999999997</v>
      </c>
      <c r="D8">
        <v>35.394599999999997</v>
      </c>
      <c r="E8">
        <v>37.375799999999998</v>
      </c>
      <c r="F8">
        <v>35.664700000000003</v>
      </c>
      <c r="I8">
        <v>30608</v>
      </c>
      <c r="J8">
        <v>30.293500000000002</v>
      </c>
      <c r="K8">
        <v>31.1173</v>
      </c>
      <c r="L8">
        <v>36.089399999999998</v>
      </c>
      <c r="M8">
        <v>30.378399999999999</v>
      </c>
      <c r="P8">
        <v>31926.6</v>
      </c>
      <c r="Q8">
        <v>31.950399999999998</v>
      </c>
      <c r="R8">
        <v>32.000399999999999</v>
      </c>
      <c r="S8">
        <v>31.602900000000002</v>
      </c>
      <c r="T8">
        <v>31.9252</v>
      </c>
      <c r="W8">
        <v>19469</v>
      </c>
      <c r="X8">
        <v>19125.7</v>
      </c>
      <c r="Y8">
        <v>37678.699999999997</v>
      </c>
      <c r="Z8">
        <v>41286.699999999997</v>
      </c>
      <c r="AA8">
        <v>38147</v>
      </c>
      <c r="AD8">
        <v>19298</v>
      </c>
      <c r="AE8">
        <v>18721.599999999999</v>
      </c>
      <c r="AF8">
        <v>40497.599999999999</v>
      </c>
      <c r="AG8">
        <v>43097.4</v>
      </c>
      <c r="AH8">
        <v>50454.400000000001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 t="s">
        <v>99</v>
      </c>
      <c r="C9">
        <v>39.801000000000002</v>
      </c>
      <c r="D9">
        <v>36.059899999999999</v>
      </c>
      <c r="E9">
        <v>39.606999999999999</v>
      </c>
      <c r="F9">
        <v>42.012300000000003</v>
      </c>
      <c r="I9">
        <v>31007.9</v>
      </c>
      <c r="J9">
        <v>30.732900000000001</v>
      </c>
      <c r="K9">
        <v>30.940200000000001</v>
      </c>
      <c r="L9">
        <v>30.547599999999999</v>
      </c>
      <c r="M9">
        <v>30.4862</v>
      </c>
      <c r="P9">
        <v>30881.9</v>
      </c>
      <c r="Q9">
        <v>31.912600000000001</v>
      </c>
      <c r="R9">
        <v>32.181199999999997</v>
      </c>
      <c r="S9">
        <v>31.561199999999999</v>
      </c>
      <c r="T9">
        <v>31.586099999999998</v>
      </c>
      <c r="W9">
        <v>18999.400000000001</v>
      </c>
      <c r="X9">
        <v>18764.5</v>
      </c>
      <c r="Y9">
        <v>38488</v>
      </c>
      <c r="Z9">
        <v>40991.4</v>
      </c>
      <c r="AA9">
        <v>39048.199999999997</v>
      </c>
      <c r="AD9">
        <v>19223</v>
      </c>
      <c r="AE9">
        <v>19822.900000000001</v>
      </c>
      <c r="AF9">
        <v>40265.1</v>
      </c>
      <c r="AG9">
        <v>46078.6</v>
      </c>
      <c r="AH9">
        <v>40624.800000000003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 t="s">
        <v>100</v>
      </c>
      <c r="C10">
        <v>33.776299999999999</v>
      </c>
      <c r="D10">
        <v>36.3065</v>
      </c>
      <c r="E10">
        <v>38.613799999999998</v>
      </c>
      <c r="F10">
        <v>36.764200000000002</v>
      </c>
      <c r="I10">
        <v>30262.6</v>
      </c>
      <c r="J10">
        <v>30.931899999999999</v>
      </c>
      <c r="K10">
        <v>32.008400000000002</v>
      </c>
      <c r="L10">
        <v>30.9514</v>
      </c>
      <c r="M10">
        <v>31.8812</v>
      </c>
      <c r="P10">
        <v>31117.599999999999</v>
      </c>
      <c r="Q10">
        <v>32.7209</v>
      </c>
      <c r="R10">
        <v>31.710699999999999</v>
      </c>
      <c r="S10">
        <v>33.200699999999998</v>
      </c>
      <c r="T10">
        <v>31.1279</v>
      </c>
      <c r="W10">
        <v>19558.8</v>
      </c>
      <c r="X10">
        <v>18391.400000000001</v>
      </c>
      <c r="Y10">
        <v>39199.1</v>
      </c>
      <c r="Z10">
        <v>39372.800000000003</v>
      </c>
      <c r="AA10">
        <v>38534.800000000003</v>
      </c>
      <c r="AD10">
        <v>19965.900000000001</v>
      </c>
      <c r="AE10">
        <v>43876.5</v>
      </c>
      <c r="AF10">
        <v>43286.3</v>
      </c>
      <c r="AG10">
        <v>43460.1</v>
      </c>
      <c r="AH10">
        <v>42010.8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>
      <c r="B11" t="s">
        <v>101</v>
      </c>
      <c r="C11">
        <v>40.036700000000003</v>
      </c>
      <c r="D11">
        <v>37.515999999999998</v>
      </c>
      <c r="E11">
        <v>38.631599999999999</v>
      </c>
      <c r="F11">
        <v>36.582000000000001</v>
      </c>
      <c r="I11">
        <v>30631.4</v>
      </c>
      <c r="J11">
        <v>30.855599999999999</v>
      </c>
      <c r="K11">
        <v>31.463200000000001</v>
      </c>
      <c r="L11">
        <v>30.798300000000001</v>
      </c>
      <c r="M11">
        <v>32.405900000000003</v>
      </c>
      <c r="P11">
        <v>31819.3</v>
      </c>
      <c r="Q11">
        <v>31.107099999999999</v>
      </c>
      <c r="R11">
        <v>31.843900000000001</v>
      </c>
      <c r="S11">
        <v>31.2273</v>
      </c>
      <c r="T11">
        <v>31.191500000000001</v>
      </c>
      <c r="W11">
        <v>18935.7</v>
      </c>
      <c r="X11">
        <v>18434</v>
      </c>
      <c r="Y11">
        <v>38918.800000000003</v>
      </c>
      <c r="Z11">
        <v>40161.4</v>
      </c>
      <c r="AA11">
        <v>38774.1</v>
      </c>
      <c r="AD11">
        <v>21301</v>
      </c>
      <c r="AE11">
        <v>19786</v>
      </c>
      <c r="AF11">
        <v>43404.3</v>
      </c>
      <c r="AG11">
        <v>44237.7</v>
      </c>
      <c r="AH11">
        <v>48460.4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>
      <c r="B12" t="s">
        <v>102</v>
      </c>
      <c r="C12">
        <v>38.028500000000001</v>
      </c>
      <c r="D12">
        <v>35.051400000000001</v>
      </c>
      <c r="E12">
        <v>39.5625</v>
      </c>
      <c r="F12">
        <v>36.272799999999997</v>
      </c>
      <c r="I12">
        <v>44340.4</v>
      </c>
      <c r="J12">
        <v>32.381700000000002</v>
      </c>
      <c r="K12">
        <v>31.021799999999999</v>
      </c>
      <c r="L12">
        <v>30.9849</v>
      </c>
      <c r="M12">
        <v>30.009399999999999</v>
      </c>
      <c r="P12">
        <v>31503.3</v>
      </c>
      <c r="Q12">
        <v>32.186999999999998</v>
      </c>
      <c r="R12">
        <v>31.634</v>
      </c>
      <c r="S12">
        <v>32.6111</v>
      </c>
      <c r="T12">
        <v>31.604399999999998</v>
      </c>
      <c r="W12">
        <v>19807.900000000001</v>
      </c>
      <c r="X12">
        <v>19427.2</v>
      </c>
      <c r="Y12">
        <v>38951.9</v>
      </c>
      <c r="Z12">
        <v>39638.199999999997</v>
      </c>
      <c r="AA12">
        <v>38337</v>
      </c>
      <c r="AD12">
        <v>21444.6</v>
      </c>
      <c r="AE12">
        <v>20501.5</v>
      </c>
      <c r="AF12">
        <v>40463.300000000003</v>
      </c>
      <c r="AG12">
        <v>44489.2</v>
      </c>
      <c r="AH12">
        <v>46402.400000000001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3" spans="2:44">
      <c r="B13">
        <v>30315.9</v>
      </c>
      <c r="C13">
        <v>30.3841</v>
      </c>
      <c r="D13">
        <v>30.390699999999999</v>
      </c>
      <c r="E13">
        <v>30.398700000000002</v>
      </c>
      <c r="F13">
        <v>30.327200000000001</v>
      </c>
      <c r="I13">
        <v>31420.799999999999</v>
      </c>
      <c r="J13">
        <v>30.704000000000001</v>
      </c>
      <c r="K13">
        <v>32.607799999999997</v>
      </c>
      <c r="L13">
        <v>32.070500000000003</v>
      </c>
      <c r="M13">
        <v>30.032299999999999</v>
      </c>
      <c r="P13">
        <v>35844</v>
      </c>
      <c r="Q13">
        <v>54.762</v>
      </c>
      <c r="R13">
        <v>36.2361</v>
      </c>
      <c r="S13">
        <v>52.028199999999998</v>
      </c>
      <c r="T13">
        <v>34.548999999999999</v>
      </c>
      <c r="W13">
        <v>18506.900000000001</v>
      </c>
      <c r="X13">
        <v>19755</v>
      </c>
      <c r="Y13">
        <v>37692.199999999997</v>
      </c>
      <c r="Z13">
        <v>39743.199999999997</v>
      </c>
      <c r="AA13">
        <v>38279.9</v>
      </c>
      <c r="AD13">
        <v>27129.9</v>
      </c>
      <c r="AE13">
        <v>20318</v>
      </c>
      <c r="AF13">
        <v>40305.599999999999</v>
      </c>
      <c r="AG13">
        <v>50630.2</v>
      </c>
      <c r="AH13">
        <v>44875.8</v>
      </c>
    </row>
    <row r="14" spans="2:44">
      <c r="B14">
        <v>30151.4</v>
      </c>
      <c r="C14">
        <v>30.299900000000001</v>
      </c>
      <c r="D14">
        <v>30.7746</v>
      </c>
      <c r="E14">
        <v>30.446000000000002</v>
      </c>
      <c r="F14">
        <v>30.134599999999999</v>
      </c>
      <c r="I14">
        <v>29876.9</v>
      </c>
      <c r="J14">
        <v>30.454999999999998</v>
      </c>
      <c r="K14">
        <v>31.543800000000001</v>
      </c>
      <c r="L14">
        <v>30.570699999999999</v>
      </c>
      <c r="M14">
        <v>31.8338</v>
      </c>
      <c r="P14">
        <v>46364.800000000003</v>
      </c>
      <c r="Q14">
        <v>42.352800000000002</v>
      </c>
      <c r="R14">
        <v>35.247500000000002</v>
      </c>
      <c r="S14">
        <v>34.790999999999997</v>
      </c>
      <c r="T14">
        <v>43.437800000000003</v>
      </c>
      <c r="W14">
        <v>19011.400000000001</v>
      </c>
      <c r="X14">
        <v>19283.7</v>
      </c>
      <c r="Y14">
        <v>38396.199999999997</v>
      </c>
      <c r="Z14">
        <v>39537.599999999999</v>
      </c>
      <c r="AA14">
        <v>38696.5</v>
      </c>
      <c r="AD14">
        <v>20641.5</v>
      </c>
      <c r="AE14">
        <v>20783.5</v>
      </c>
      <c r="AF14">
        <v>41439</v>
      </c>
      <c r="AG14">
        <v>43737.7</v>
      </c>
      <c r="AH14">
        <v>41051.4</v>
      </c>
    </row>
    <row r="15" spans="2:44">
      <c r="B15">
        <v>30733</v>
      </c>
      <c r="C15">
        <v>30.460999999999999</v>
      </c>
      <c r="D15">
        <v>30.526800000000001</v>
      </c>
      <c r="E15">
        <v>30.160399999999999</v>
      </c>
      <c r="F15">
        <v>30.386399999999998</v>
      </c>
      <c r="I15">
        <v>32457.3</v>
      </c>
      <c r="J15">
        <v>30.435700000000001</v>
      </c>
      <c r="K15">
        <v>31.228100000000001</v>
      </c>
      <c r="L15">
        <v>30.0639</v>
      </c>
      <c r="M15">
        <v>37.064799999999998</v>
      </c>
      <c r="P15">
        <v>32016.7</v>
      </c>
      <c r="Q15">
        <v>35.492199999999997</v>
      </c>
      <c r="R15">
        <v>34.017400000000002</v>
      </c>
      <c r="S15">
        <v>34.908299999999997</v>
      </c>
      <c r="T15">
        <v>32.328000000000003</v>
      </c>
      <c r="W15">
        <v>19099</v>
      </c>
      <c r="X15">
        <v>19407.7</v>
      </c>
      <c r="Y15">
        <v>39037.599999999999</v>
      </c>
      <c r="Z15">
        <v>40443.4</v>
      </c>
      <c r="AA15">
        <v>38100.1</v>
      </c>
      <c r="AD15">
        <v>19836.099999999999</v>
      </c>
      <c r="AE15">
        <v>21099.1</v>
      </c>
      <c r="AF15">
        <v>41761.5</v>
      </c>
      <c r="AG15">
        <v>43537.8</v>
      </c>
      <c r="AH15">
        <v>41321.1</v>
      </c>
    </row>
    <row r="16" spans="2:44">
      <c r="B16">
        <v>30451.1</v>
      </c>
      <c r="C16">
        <v>30.667300000000001</v>
      </c>
      <c r="D16">
        <v>30.24</v>
      </c>
      <c r="E16">
        <v>31.2103</v>
      </c>
      <c r="F16">
        <v>30.488600000000002</v>
      </c>
      <c r="I16">
        <v>30227.9</v>
      </c>
      <c r="J16">
        <v>30.5078</v>
      </c>
      <c r="K16">
        <v>31.205300000000001</v>
      </c>
      <c r="L16">
        <v>32.8996</v>
      </c>
      <c r="M16">
        <v>31.7973</v>
      </c>
      <c r="P16">
        <v>35066.1</v>
      </c>
      <c r="Q16">
        <v>33.016300000000001</v>
      </c>
      <c r="R16">
        <v>34.506700000000002</v>
      </c>
      <c r="S16">
        <v>33.415799999999997</v>
      </c>
      <c r="T16">
        <v>36.919199999999996</v>
      </c>
      <c r="W16">
        <v>19303.5</v>
      </c>
      <c r="X16">
        <v>20473.5</v>
      </c>
      <c r="Y16">
        <v>38367.800000000003</v>
      </c>
      <c r="Z16">
        <v>46148.3</v>
      </c>
      <c r="AA16">
        <v>40197.9</v>
      </c>
      <c r="AD16">
        <v>20894.900000000001</v>
      </c>
      <c r="AE16">
        <v>20632.8</v>
      </c>
      <c r="AF16">
        <v>40245.9</v>
      </c>
      <c r="AG16">
        <v>44215.6</v>
      </c>
      <c r="AH16">
        <v>41441.599999999999</v>
      </c>
    </row>
    <row r="17" spans="2:34">
      <c r="B17">
        <v>30311.599999999999</v>
      </c>
      <c r="C17">
        <v>30.7226</v>
      </c>
      <c r="D17">
        <v>30.116099999999999</v>
      </c>
      <c r="E17">
        <v>30.358000000000001</v>
      </c>
      <c r="F17">
        <v>30.4832</v>
      </c>
      <c r="I17">
        <v>30519.5</v>
      </c>
      <c r="J17">
        <v>30.893999999999998</v>
      </c>
      <c r="K17">
        <v>34.699599999999997</v>
      </c>
      <c r="L17">
        <v>30.955200000000001</v>
      </c>
      <c r="M17">
        <v>51.603299999999997</v>
      </c>
      <c r="P17">
        <v>34984.1</v>
      </c>
      <c r="Q17">
        <v>33.9178</v>
      </c>
      <c r="R17">
        <v>33.104399999999998</v>
      </c>
      <c r="S17">
        <v>32.944699999999997</v>
      </c>
      <c r="T17">
        <v>33.688400000000001</v>
      </c>
      <c r="W17">
        <v>20556.3</v>
      </c>
      <c r="X17">
        <v>19124.2</v>
      </c>
      <c r="Y17">
        <v>38510</v>
      </c>
      <c r="Z17">
        <v>40145</v>
      </c>
      <c r="AA17">
        <v>40030.6</v>
      </c>
      <c r="AD17">
        <v>20109.900000000001</v>
      </c>
      <c r="AE17">
        <v>20643.3</v>
      </c>
      <c r="AF17">
        <v>41687.5</v>
      </c>
      <c r="AG17">
        <v>44256.5</v>
      </c>
      <c r="AH17">
        <v>42981.3</v>
      </c>
    </row>
    <row r="18" spans="2:34">
      <c r="B18">
        <v>30243.3</v>
      </c>
      <c r="C18">
        <v>30.149799999999999</v>
      </c>
      <c r="D18">
        <v>30.683199999999999</v>
      </c>
      <c r="E18">
        <v>30.099499999999999</v>
      </c>
      <c r="F18">
        <v>30.255800000000001</v>
      </c>
      <c r="I18">
        <v>34667.4</v>
      </c>
      <c r="J18">
        <v>31.9116</v>
      </c>
      <c r="K18">
        <v>31.069900000000001</v>
      </c>
      <c r="L18">
        <v>30.611699999999999</v>
      </c>
      <c r="M18">
        <v>32.104999999999997</v>
      </c>
      <c r="P18">
        <v>32266.9</v>
      </c>
      <c r="Q18">
        <v>34.322099999999999</v>
      </c>
      <c r="R18">
        <v>36.986499999999999</v>
      </c>
      <c r="S18">
        <v>32.674799999999998</v>
      </c>
      <c r="T18">
        <v>35.6173</v>
      </c>
      <c r="W18">
        <v>19697.599999999999</v>
      </c>
      <c r="X18">
        <v>20793</v>
      </c>
      <c r="Y18">
        <v>38295.300000000003</v>
      </c>
      <c r="Z18">
        <v>40096.5</v>
      </c>
      <c r="AA18">
        <v>38617.9</v>
      </c>
      <c r="AD18">
        <v>19599.099999999999</v>
      </c>
      <c r="AE18">
        <v>20606.8</v>
      </c>
      <c r="AF18">
        <v>41964.9</v>
      </c>
      <c r="AG18">
        <v>45495.4</v>
      </c>
      <c r="AH18">
        <v>42500.7</v>
      </c>
    </row>
    <row r="19" spans="2:34">
      <c r="B19">
        <v>30633.4</v>
      </c>
      <c r="C19">
        <v>30.595800000000001</v>
      </c>
      <c r="D19">
        <v>30.718900000000001</v>
      </c>
      <c r="E19">
        <v>30.523</v>
      </c>
      <c r="F19">
        <v>30.108499999999999</v>
      </c>
      <c r="I19">
        <v>34520.5</v>
      </c>
      <c r="J19">
        <v>33.831600000000002</v>
      </c>
      <c r="K19">
        <v>31.065100000000001</v>
      </c>
      <c r="L19">
        <v>30.128399999999999</v>
      </c>
      <c r="M19">
        <v>31.583400000000001</v>
      </c>
      <c r="P19">
        <v>33014.9</v>
      </c>
      <c r="Q19">
        <v>34.242800000000003</v>
      </c>
      <c r="R19">
        <v>35.889899999999997</v>
      </c>
      <c r="S19">
        <v>32.802999999999997</v>
      </c>
      <c r="T19">
        <v>32.407499999999999</v>
      </c>
      <c r="W19">
        <v>20994.1</v>
      </c>
      <c r="X19">
        <v>19134.599999999999</v>
      </c>
      <c r="Y19">
        <v>38026</v>
      </c>
      <c r="Z19">
        <v>40512.400000000001</v>
      </c>
      <c r="AA19">
        <v>39008.699999999997</v>
      </c>
      <c r="AD19">
        <v>20145</v>
      </c>
      <c r="AE19">
        <v>21635.8</v>
      </c>
      <c r="AF19">
        <v>44148.800000000003</v>
      </c>
      <c r="AG19">
        <v>43832.5</v>
      </c>
      <c r="AH19">
        <v>42068.1</v>
      </c>
    </row>
    <row r="20" spans="2:34">
      <c r="B20">
        <v>30623</v>
      </c>
      <c r="C20">
        <v>30.936599999999999</v>
      </c>
      <c r="D20">
        <v>30.629799999999999</v>
      </c>
      <c r="E20">
        <v>30.253299999999999</v>
      </c>
      <c r="F20">
        <v>30.291699999999999</v>
      </c>
      <c r="I20">
        <v>31869.1</v>
      </c>
      <c r="J20">
        <v>31.3718</v>
      </c>
      <c r="K20">
        <v>31.101299999999998</v>
      </c>
      <c r="L20">
        <v>31.779299999999999</v>
      </c>
      <c r="M20">
        <v>30.824200000000001</v>
      </c>
      <c r="P20">
        <v>32499.7</v>
      </c>
      <c r="Q20">
        <v>32.635399999999997</v>
      </c>
      <c r="R20">
        <v>33.753900000000002</v>
      </c>
      <c r="S20">
        <v>37.575299999999999</v>
      </c>
      <c r="T20">
        <v>32.048000000000002</v>
      </c>
      <c r="W20">
        <v>19858.400000000001</v>
      </c>
      <c r="X20">
        <v>18764.5</v>
      </c>
      <c r="Y20">
        <v>38177.699999999997</v>
      </c>
      <c r="Z20">
        <v>39214.400000000001</v>
      </c>
      <c r="AA20">
        <v>38296.199999999997</v>
      </c>
      <c r="AD20">
        <v>23203.5</v>
      </c>
      <c r="AE20">
        <v>20691.599999999999</v>
      </c>
      <c r="AF20">
        <v>43605.9</v>
      </c>
      <c r="AG20">
        <v>45102.3</v>
      </c>
      <c r="AH20">
        <v>46781.599999999999</v>
      </c>
    </row>
    <row r="21" spans="2:34">
      <c r="B21">
        <v>30288.3</v>
      </c>
      <c r="C21">
        <v>30.514399999999998</v>
      </c>
      <c r="D21">
        <v>31.725000000000001</v>
      </c>
      <c r="E21">
        <v>30.671600000000002</v>
      </c>
      <c r="F21">
        <v>30.432400000000001</v>
      </c>
      <c r="I21">
        <v>33207.800000000003</v>
      </c>
      <c r="J21">
        <v>30.496099999999998</v>
      </c>
      <c r="K21">
        <v>31.230899999999998</v>
      </c>
      <c r="L21">
        <v>31.014199999999999</v>
      </c>
      <c r="M21">
        <v>32.381700000000002</v>
      </c>
      <c r="P21">
        <v>33348.9</v>
      </c>
      <c r="Q21">
        <v>46.280999999999999</v>
      </c>
      <c r="R21">
        <v>39.164700000000003</v>
      </c>
      <c r="S21">
        <v>35.000100000000003</v>
      </c>
      <c r="T21">
        <v>32.700200000000002</v>
      </c>
      <c r="W21">
        <v>18528.8</v>
      </c>
      <c r="X21">
        <v>19441</v>
      </c>
      <c r="Y21">
        <v>37579.599999999999</v>
      </c>
      <c r="Z21">
        <v>40113.4</v>
      </c>
      <c r="AA21">
        <v>38428.9</v>
      </c>
      <c r="AD21">
        <v>21415.4</v>
      </c>
      <c r="AE21">
        <v>20484.900000000001</v>
      </c>
      <c r="AF21">
        <v>42075.6</v>
      </c>
      <c r="AG21">
        <v>45918.8</v>
      </c>
      <c r="AH21">
        <v>43533.8</v>
      </c>
    </row>
    <row r="22" spans="2:34">
      <c r="B22">
        <v>30598.799999999999</v>
      </c>
      <c r="C22">
        <v>30.158899999999999</v>
      </c>
      <c r="D22">
        <v>30.9222</v>
      </c>
      <c r="E22">
        <v>31.066600000000001</v>
      </c>
      <c r="F22">
        <v>31.2117</v>
      </c>
      <c r="I22">
        <v>33513.199999999997</v>
      </c>
      <c r="J22">
        <v>32.909399999999998</v>
      </c>
      <c r="K22">
        <v>31.995999999999999</v>
      </c>
      <c r="L22">
        <v>36.260899999999999</v>
      </c>
      <c r="M22">
        <v>42.631999999999998</v>
      </c>
      <c r="P22">
        <v>35098.699999999997</v>
      </c>
      <c r="Q22">
        <v>35.865099999999998</v>
      </c>
      <c r="R22">
        <v>37.6999</v>
      </c>
      <c r="S22">
        <v>37.760199999999998</v>
      </c>
      <c r="T22">
        <v>32.906100000000002</v>
      </c>
      <c r="W22">
        <v>19175.7</v>
      </c>
      <c r="X22">
        <v>19414.900000000001</v>
      </c>
      <c r="Y22">
        <v>37500.199999999997</v>
      </c>
      <c r="Z22">
        <v>39297.800000000003</v>
      </c>
      <c r="AA22">
        <v>38463.599999999999</v>
      </c>
      <c r="AD22">
        <v>24712.400000000001</v>
      </c>
      <c r="AE22">
        <v>20368.2</v>
      </c>
      <c r="AF22">
        <v>42191.4</v>
      </c>
      <c r="AG22">
        <v>44351.5</v>
      </c>
      <c r="AH22">
        <v>41837</v>
      </c>
    </row>
    <row r="23" spans="2:34">
      <c r="B23">
        <v>31308.6</v>
      </c>
      <c r="C23">
        <v>30.8888</v>
      </c>
      <c r="D23">
        <v>31.395900000000001</v>
      </c>
      <c r="E23">
        <v>36.343400000000003</v>
      </c>
      <c r="F23">
        <v>31.081499999999998</v>
      </c>
      <c r="I23">
        <v>45098.2</v>
      </c>
      <c r="J23">
        <v>35.460999999999999</v>
      </c>
      <c r="K23">
        <v>36.136699999999998</v>
      </c>
      <c r="L23">
        <v>34.204900000000002</v>
      </c>
      <c r="M23">
        <v>33.151699999999998</v>
      </c>
      <c r="P23">
        <v>46422.2</v>
      </c>
      <c r="Q23">
        <v>33.539099999999998</v>
      </c>
      <c r="R23">
        <v>33.537300000000002</v>
      </c>
      <c r="S23">
        <v>34.357199999999999</v>
      </c>
      <c r="T23">
        <v>33.615000000000002</v>
      </c>
      <c r="W23">
        <v>20582.2</v>
      </c>
      <c r="X23">
        <v>19592.2</v>
      </c>
      <c r="Y23">
        <v>37928</v>
      </c>
      <c r="Z23">
        <v>39914.300000000003</v>
      </c>
      <c r="AA23">
        <v>39268.199999999997</v>
      </c>
      <c r="AD23">
        <v>20676</v>
      </c>
      <c r="AE23">
        <v>20870.400000000001</v>
      </c>
      <c r="AF23">
        <v>45207.4</v>
      </c>
      <c r="AG23">
        <v>96371.199999999997</v>
      </c>
      <c r="AH23">
        <v>67691.7</v>
      </c>
    </row>
    <row r="24" spans="2:34">
      <c r="B24">
        <v>31103.7</v>
      </c>
      <c r="C24">
        <v>30.927600000000002</v>
      </c>
      <c r="D24">
        <v>30.7668</v>
      </c>
      <c r="E24">
        <v>31.121600000000001</v>
      </c>
      <c r="F24">
        <v>31.665800000000001</v>
      </c>
      <c r="I24">
        <v>37903.9</v>
      </c>
      <c r="J24">
        <v>32.845799999999997</v>
      </c>
      <c r="K24">
        <v>37.2986</v>
      </c>
      <c r="L24">
        <v>36.615299999999998</v>
      </c>
      <c r="M24">
        <v>33.450800000000001</v>
      </c>
      <c r="P24">
        <v>34405.9</v>
      </c>
      <c r="Q24">
        <v>31.972100000000001</v>
      </c>
      <c r="R24">
        <v>32.013100000000001</v>
      </c>
      <c r="S24">
        <v>32.343200000000003</v>
      </c>
      <c r="T24">
        <v>31.87</v>
      </c>
      <c r="W24">
        <v>20046.5</v>
      </c>
      <c r="X24">
        <v>19370.900000000001</v>
      </c>
      <c r="Y24">
        <v>38422.300000000003</v>
      </c>
      <c r="Z24">
        <v>40213.800000000003</v>
      </c>
      <c r="AA24">
        <v>39336.199999999997</v>
      </c>
      <c r="AD24">
        <v>21210.9</v>
      </c>
      <c r="AE24">
        <v>28299.9</v>
      </c>
      <c r="AF24">
        <v>42325.4</v>
      </c>
      <c r="AG24">
        <v>49832.1</v>
      </c>
      <c r="AH24">
        <v>43357.3</v>
      </c>
    </row>
    <row r="25" spans="2:34">
      <c r="B25">
        <v>31709.4</v>
      </c>
      <c r="C25">
        <v>31.015499999999999</v>
      </c>
      <c r="D25">
        <v>31.4541</v>
      </c>
      <c r="E25">
        <v>30.639199999999999</v>
      </c>
      <c r="F25">
        <v>30.8461</v>
      </c>
      <c r="I25">
        <v>33838.800000000003</v>
      </c>
      <c r="J25">
        <v>39.858899999999998</v>
      </c>
      <c r="K25">
        <v>36.2971</v>
      </c>
      <c r="L25">
        <v>36.521999999999998</v>
      </c>
      <c r="M25">
        <v>33.710799999999999</v>
      </c>
      <c r="P25">
        <v>53686.2</v>
      </c>
      <c r="Q25">
        <v>46.328299999999999</v>
      </c>
      <c r="R25">
        <v>39.295099999999998</v>
      </c>
      <c r="S25">
        <v>37.730800000000002</v>
      </c>
      <c r="T25">
        <v>32.962600000000002</v>
      </c>
      <c r="W25">
        <v>20043.599999999999</v>
      </c>
      <c r="X25">
        <v>20098.099999999999</v>
      </c>
      <c r="Y25">
        <v>38240.400000000001</v>
      </c>
      <c r="Z25">
        <v>40899.199999999997</v>
      </c>
      <c r="AA25">
        <v>38702</v>
      </c>
      <c r="AD25">
        <v>20570.900000000001</v>
      </c>
      <c r="AE25">
        <v>20862.7</v>
      </c>
      <c r="AF25">
        <v>45271</v>
      </c>
      <c r="AG25">
        <v>49128.6</v>
      </c>
      <c r="AH25">
        <v>46444.2</v>
      </c>
    </row>
    <row r="26" spans="2:34">
      <c r="B26">
        <v>30573.1</v>
      </c>
      <c r="C26">
        <v>30.694299999999998</v>
      </c>
      <c r="D26">
        <v>31.151900000000001</v>
      </c>
      <c r="E26">
        <v>30.646799999999999</v>
      </c>
      <c r="F26">
        <v>31.443300000000001</v>
      </c>
      <c r="I26">
        <v>37219.599999999999</v>
      </c>
      <c r="J26">
        <v>36.361400000000003</v>
      </c>
      <c r="K26">
        <v>43.349400000000003</v>
      </c>
      <c r="L26">
        <v>46.170299999999997</v>
      </c>
      <c r="M26">
        <v>37.814999999999998</v>
      </c>
      <c r="P26">
        <v>31650.9</v>
      </c>
      <c r="Q26">
        <v>32.282899999999998</v>
      </c>
      <c r="R26">
        <v>32.404699999999998</v>
      </c>
      <c r="S26">
        <v>33.196100000000001</v>
      </c>
      <c r="T26">
        <v>33.697099999999999</v>
      </c>
      <c r="W26">
        <v>20503.2</v>
      </c>
      <c r="X26">
        <v>19432</v>
      </c>
      <c r="Y26">
        <v>38065.699999999997</v>
      </c>
      <c r="Z26">
        <v>40201.9</v>
      </c>
      <c r="AA26">
        <v>38993.199999999997</v>
      </c>
      <c r="AD26">
        <v>21549</v>
      </c>
      <c r="AE26">
        <v>20682.400000000001</v>
      </c>
      <c r="AF26">
        <v>52885.4</v>
      </c>
      <c r="AG26">
        <v>43709.7</v>
      </c>
      <c r="AH26">
        <v>56042.5</v>
      </c>
    </row>
    <row r="27" spans="2:34">
      <c r="B27">
        <v>30902.400000000001</v>
      </c>
      <c r="C27">
        <v>31.606999999999999</v>
      </c>
      <c r="D27">
        <v>31.751000000000001</v>
      </c>
      <c r="E27">
        <v>32.3292</v>
      </c>
      <c r="F27">
        <v>30.802800000000001</v>
      </c>
      <c r="I27">
        <v>35383.199999999997</v>
      </c>
      <c r="J27">
        <v>39.185000000000002</v>
      </c>
      <c r="K27">
        <v>37.161499999999997</v>
      </c>
      <c r="L27">
        <v>44.827100000000002</v>
      </c>
      <c r="M27">
        <v>51.099299999999999</v>
      </c>
      <c r="P27">
        <v>35302.300000000003</v>
      </c>
      <c r="Q27">
        <v>34.964799999999997</v>
      </c>
      <c r="R27">
        <v>33.757100000000001</v>
      </c>
      <c r="S27">
        <v>33.755699999999997</v>
      </c>
      <c r="T27">
        <v>34.462000000000003</v>
      </c>
      <c r="W27">
        <v>19615.599999999999</v>
      </c>
      <c r="X27">
        <v>18866.7</v>
      </c>
      <c r="Y27">
        <v>38134.9</v>
      </c>
      <c r="Z27">
        <v>39879</v>
      </c>
      <c r="AA27">
        <v>38639.1</v>
      </c>
      <c r="AD27">
        <v>20661.7</v>
      </c>
      <c r="AE27">
        <v>20008</v>
      </c>
      <c r="AF27">
        <v>43757</v>
      </c>
      <c r="AG27">
        <v>46902.1</v>
      </c>
      <c r="AH27">
        <v>43955.6</v>
      </c>
    </row>
    <row r="28" spans="2:34">
      <c r="B28">
        <v>31312.5</v>
      </c>
      <c r="C28">
        <v>31.471</v>
      </c>
      <c r="D28">
        <v>31.382200000000001</v>
      </c>
      <c r="E28">
        <v>32.034100000000002</v>
      </c>
      <c r="F28">
        <v>32.062600000000003</v>
      </c>
      <c r="I28">
        <v>42297.1</v>
      </c>
      <c r="J28">
        <v>38.125399999999999</v>
      </c>
      <c r="K28">
        <v>46.705599999999997</v>
      </c>
      <c r="L28">
        <v>38.7209</v>
      </c>
      <c r="M28">
        <v>32.978400000000001</v>
      </c>
      <c r="P28">
        <v>33923.1</v>
      </c>
      <c r="Q28">
        <v>32.9482</v>
      </c>
      <c r="R28">
        <v>33.235999999999997</v>
      </c>
      <c r="S28">
        <v>32.679400000000001</v>
      </c>
      <c r="T28">
        <v>35.842100000000002</v>
      </c>
      <c r="W28">
        <v>20616.2</v>
      </c>
      <c r="X28">
        <v>18946.8</v>
      </c>
      <c r="Y28">
        <v>38394</v>
      </c>
      <c r="Z28">
        <v>40601.4</v>
      </c>
      <c r="AA28">
        <v>38843.699999999997</v>
      </c>
      <c r="AD28">
        <v>25307.9</v>
      </c>
      <c r="AE28">
        <v>22422.7</v>
      </c>
      <c r="AF28">
        <v>46354.400000000001</v>
      </c>
      <c r="AG28">
        <v>50058.8</v>
      </c>
      <c r="AH28">
        <v>46211.6</v>
      </c>
    </row>
    <row r="29" spans="2:34">
      <c r="B29">
        <v>32523.7</v>
      </c>
      <c r="C29">
        <v>31.748799999999999</v>
      </c>
      <c r="D29">
        <v>32.3277</v>
      </c>
      <c r="E29">
        <v>31.195599999999999</v>
      </c>
      <c r="F29">
        <v>30.974799999999998</v>
      </c>
      <c r="I29">
        <v>39906.699999999997</v>
      </c>
      <c r="J29">
        <v>31.741</v>
      </c>
      <c r="K29">
        <v>34.694699999999997</v>
      </c>
      <c r="L29">
        <v>36.808599999999998</v>
      </c>
      <c r="M29">
        <v>31.850100000000001</v>
      </c>
      <c r="P29">
        <v>34077.5</v>
      </c>
      <c r="Q29">
        <v>33.1785</v>
      </c>
      <c r="R29">
        <v>34.763500000000001</v>
      </c>
      <c r="S29">
        <v>36.319400000000002</v>
      </c>
      <c r="T29">
        <v>33.245699999999999</v>
      </c>
      <c r="W29">
        <v>19801.400000000001</v>
      </c>
      <c r="X29">
        <v>18909</v>
      </c>
      <c r="Y29">
        <v>39359</v>
      </c>
      <c r="Z29">
        <v>40171.9</v>
      </c>
      <c r="AA29">
        <v>38631</v>
      </c>
      <c r="AD29">
        <v>23079</v>
      </c>
      <c r="AE29">
        <v>22439.5</v>
      </c>
      <c r="AF29">
        <v>44321.9</v>
      </c>
      <c r="AG29">
        <v>49420.6</v>
      </c>
      <c r="AH29">
        <v>58932.6</v>
      </c>
    </row>
    <row r="30" spans="2:34">
      <c r="B30">
        <v>32944.699999999997</v>
      </c>
      <c r="C30">
        <v>31.157399999999999</v>
      </c>
      <c r="D30">
        <v>31.744399999999999</v>
      </c>
      <c r="E30">
        <v>31.667000000000002</v>
      </c>
      <c r="F30">
        <v>32.045000000000002</v>
      </c>
      <c r="I30">
        <v>32222.5</v>
      </c>
      <c r="J30">
        <v>35.121699999999997</v>
      </c>
      <c r="K30">
        <v>38.258600000000001</v>
      </c>
      <c r="L30">
        <v>58.1036</v>
      </c>
      <c r="M30">
        <v>37.330599999999997</v>
      </c>
      <c r="P30">
        <v>33244</v>
      </c>
      <c r="Q30">
        <v>33.117600000000003</v>
      </c>
      <c r="R30">
        <v>34.045200000000001</v>
      </c>
      <c r="S30">
        <v>36.969099999999997</v>
      </c>
      <c r="T30">
        <v>35.890300000000003</v>
      </c>
      <c r="W30">
        <v>19274</v>
      </c>
      <c r="X30">
        <v>18408.900000000001</v>
      </c>
      <c r="Y30">
        <v>37564</v>
      </c>
      <c r="Z30">
        <v>39408.699999999997</v>
      </c>
      <c r="AA30">
        <v>37805.599999999999</v>
      </c>
      <c r="AD30">
        <v>24388.6</v>
      </c>
      <c r="AE30">
        <v>25809.7</v>
      </c>
      <c r="AF30">
        <v>45918.5</v>
      </c>
      <c r="AG30">
        <v>48577.4</v>
      </c>
      <c r="AH30">
        <v>45102.9</v>
      </c>
    </row>
    <row r="31" spans="2:34">
      <c r="B31">
        <v>31518.5</v>
      </c>
      <c r="C31">
        <v>31.306100000000001</v>
      </c>
      <c r="D31">
        <v>31.234100000000002</v>
      </c>
      <c r="E31">
        <v>30.4787</v>
      </c>
      <c r="F31">
        <v>30.199100000000001</v>
      </c>
      <c r="I31">
        <v>36773.699999999997</v>
      </c>
      <c r="J31">
        <v>33.778100000000002</v>
      </c>
      <c r="K31">
        <v>33.741100000000003</v>
      </c>
      <c r="L31">
        <v>39.645099999999999</v>
      </c>
      <c r="M31">
        <v>38.987699999999997</v>
      </c>
      <c r="P31">
        <v>33662.9</v>
      </c>
      <c r="Q31">
        <v>34.280700000000003</v>
      </c>
      <c r="R31">
        <v>32.912700000000001</v>
      </c>
      <c r="S31">
        <v>34.950699999999998</v>
      </c>
      <c r="T31">
        <v>33.886699999999998</v>
      </c>
      <c r="W31">
        <v>18670.7</v>
      </c>
      <c r="X31">
        <v>17889.8</v>
      </c>
      <c r="Y31">
        <v>38023.9</v>
      </c>
      <c r="Z31">
        <v>40178.6</v>
      </c>
      <c r="AA31">
        <v>37585.1</v>
      </c>
      <c r="AD31">
        <v>22580</v>
      </c>
      <c r="AE31">
        <v>22340.6</v>
      </c>
      <c r="AF31">
        <v>47804.3</v>
      </c>
      <c r="AG31">
        <v>47317.8</v>
      </c>
      <c r="AH31">
        <v>44500.800000000003</v>
      </c>
    </row>
    <row r="32" spans="2:34">
      <c r="B32">
        <v>30674.799999999999</v>
      </c>
      <c r="C32">
        <v>31.150500000000001</v>
      </c>
      <c r="D32">
        <v>31.218599999999999</v>
      </c>
      <c r="E32">
        <v>31.122399999999999</v>
      </c>
      <c r="F32">
        <v>31.055199999999999</v>
      </c>
      <c r="I32">
        <v>32666.5</v>
      </c>
      <c r="J32">
        <v>31.308700000000002</v>
      </c>
      <c r="K32">
        <v>32.322000000000003</v>
      </c>
      <c r="L32">
        <v>33.351700000000001</v>
      </c>
      <c r="M32">
        <v>32.465200000000003</v>
      </c>
      <c r="P32">
        <v>34598.300000000003</v>
      </c>
      <c r="Q32">
        <v>34.029499999999999</v>
      </c>
      <c r="R32">
        <v>33.029699999999998</v>
      </c>
      <c r="S32">
        <v>37.063600000000001</v>
      </c>
      <c r="T32">
        <v>34.615600000000001</v>
      </c>
      <c r="W32">
        <v>19048.7</v>
      </c>
      <c r="X32">
        <v>18443.3</v>
      </c>
      <c r="Y32">
        <v>37722.800000000003</v>
      </c>
      <c r="Z32">
        <v>40911.199999999997</v>
      </c>
      <c r="AA32">
        <v>38668</v>
      </c>
      <c r="AD32">
        <v>22400.799999999999</v>
      </c>
      <c r="AE32">
        <v>22937.9</v>
      </c>
      <c r="AF32">
        <v>49461.4</v>
      </c>
      <c r="AG32">
        <v>48677.8</v>
      </c>
      <c r="AH32">
        <v>44370.9</v>
      </c>
    </row>
    <row r="33" spans="2:34">
      <c r="B33">
        <v>30184.400000000001</v>
      </c>
      <c r="C33">
        <v>30.509799999999998</v>
      </c>
      <c r="D33">
        <v>31.0547</v>
      </c>
      <c r="E33">
        <v>30.6557</v>
      </c>
      <c r="F33">
        <v>30.477</v>
      </c>
      <c r="I33">
        <v>32870.300000000003</v>
      </c>
      <c r="J33">
        <v>32.382899999999999</v>
      </c>
      <c r="K33">
        <v>44.4026</v>
      </c>
      <c r="L33">
        <v>40.571300000000001</v>
      </c>
      <c r="M33">
        <v>34.255499999999998</v>
      </c>
      <c r="P33">
        <v>32353.9</v>
      </c>
      <c r="Q33">
        <v>34.060200000000002</v>
      </c>
      <c r="R33">
        <v>33.416499999999999</v>
      </c>
      <c r="S33">
        <v>31.760100000000001</v>
      </c>
      <c r="T33">
        <v>32.733499999999999</v>
      </c>
      <c r="W33">
        <v>18856.3</v>
      </c>
      <c r="X33">
        <v>17740.5</v>
      </c>
      <c r="Y33">
        <v>37913.699999999997</v>
      </c>
      <c r="Z33">
        <v>39454.300000000003</v>
      </c>
      <c r="AA33">
        <v>37544.699999999997</v>
      </c>
      <c r="AD33">
        <v>20768.900000000001</v>
      </c>
      <c r="AE33">
        <v>28349.200000000001</v>
      </c>
      <c r="AF33">
        <v>54707</v>
      </c>
      <c r="AG33">
        <v>49550.6</v>
      </c>
      <c r="AH33">
        <v>44529.9</v>
      </c>
    </row>
    <row r="34" spans="2:34">
      <c r="B34">
        <v>30964.6</v>
      </c>
      <c r="C34">
        <v>30.841100000000001</v>
      </c>
      <c r="D34">
        <v>31.401399999999999</v>
      </c>
      <c r="E34">
        <v>30.9438</v>
      </c>
      <c r="F34">
        <v>31.0837</v>
      </c>
      <c r="I34">
        <v>33600.9</v>
      </c>
      <c r="J34">
        <v>39.186100000000003</v>
      </c>
      <c r="K34">
        <v>35.622300000000003</v>
      </c>
      <c r="L34">
        <v>35.2986</v>
      </c>
      <c r="M34">
        <v>35.564399999999999</v>
      </c>
      <c r="P34">
        <v>31845.200000000001</v>
      </c>
      <c r="Q34">
        <v>33.330199999999998</v>
      </c>
      <c r="R34">
        <v>33.167000000000002</v>
      </c>
      <c r="S34">
        <v>34.2194</v>
      </c>
      <c r="T34">
        <v>33.431399999999996</v>
      </c>
      <c r="W34">
        <v>19209.599999999999</v>
      </c>
      <c r="X34">
        <v>17847.2</v>
      </c>
      <c r="Y34">
        <v>38016.1</v>
      </c>
      <c r="Z34">
        <v>39365.5</v>
      </c>
      <c r="AA34">
        <v>37925.699999999997</v>
      </c>
      <c r="AD34">
        <v>21761.7</v>
      </c>
      <c r="AE34">
        <v>22820.799999999999</v>
      </c>
      <c r="AF34">
        <v>47484</v>
      </c>
      <c r="AG34">
        <v>49391.4</v>
      </c>
      <c r="AH34">
        <v>47937</v>
      </c>
    </row>
    <row r="35" spans="2:34">
      <c r="B35">
        <v>30488</v>
      </c>
      <c r="C35">
        <v>30.8719</v>
      </c>
      <c r="D35">
        <v>30.160299999999999</v>
      </c>
      <c r="E35">
        <v>30.995799999999999</v>
      </c>
      <c r="F35">
        <v>30.1219</v>
      </c>
      <c r="I35">
        <v>33738.199999999997</v>
      </c>
      <c r="J35">
        <v>31.9191</v>
      </c>
      <c r="K35">
        <v>32.491199999999999</v>
      </c>
      <c r="L35">
        <v>31.1539</v>
      </c>
      <c r="M35">
        <v>32.192599999999999</v>
      </c>
      <c r="P35">
        <v>32706.799999999999</v>
      </c>
      <c r="Q35">
        <v>32.841799999999999</v>
      </c>
      <c r="R35">
        <v>32.020600000000002</v>
      </c>
      <c r="S35">
        <v>32.354599999999998</v>
      </c>
      <c r="T35">
        <v>31.815200000000001</v>
      </c>
      <c r="W35">
        <v>19350.599999999999</v>
      </c>
      <c r="X35">
        <v>18309.2</v>
      </c>
      <c r="Y35">
        <v>38445.9</v>
      </c>
      <c r="Z35">
        <v>39889.9</v>
      </c>
      <c r="AA35">
        <v>38007.9</v>
      </c>
      <c r="AD35">
        <v>24517.200000000001</v>
      </c>
      <c r="AE35">
        <v>25903.8</v>
      </c>
      <c r="AF35">
        <v>46202.7</v>
      </c>
      <c r="AG35">
        <v>75630</v>
      </c>
      <c r="AH35">
        <v>47281.1</v>
      </c>
    </row>
    <row r="36" spans="2:34">
      <c r="B36">
        <v>30622.6</v>
      </c>
      <c r="C36">
        <v>30.3795</v>
      </c>
      <c r="D36">
        <v>31.1294</v>
      </c>
      <c r="E36">
        <v>30.141100000000002</v>
      </c>
      <c r="F36">
        <v>30.135899999999999</v>
      </c>
      <c r="I36">
        <v>32191.9</v>
      </c>
      <c r="J36">
        <v>31.2531</v>
      </c>
      <c r="K36">
        <v>31.377099999999999</v>
      </c>
      <c r="L36">
        <v>31.548999999999999</v>
      </c>
      <c r="M36">
        <v>32.542299999999997</v>
      </c>
      <c r="P36">
        <v>33245.300000000003</v>
      </c>
      <c r="Q36">
        <v>32.906300000000002</v>
      </c>
      <c r="R36">
        <v>34.3459</v>
      </c>
      <c r="S36">
        <v>33.405900000000003</v>
      </c>
      <c r="T36">
        <v>32.233199999999997</v>
      </c>
      <c r="W36">
        <v>18923.8</v>
      </c>
      <c r="X36">
        <v>17702.2</v>
      </c>
      <c r="Y36">
        <v>37654.6</v>
      </c>
      <c r="Z36">
        <v>39153.1</v>
      </c>
      <c r="AA36">
        <v>37932.9</v>
      </c>
      <c r="AD36">
        <v>24053.4</v>
      </c>
      <c r="AE36">
        <v>27826.2</v>
      </c>
      <c r="AF36">
        <v>48614.6</v>
      </c>
      <c r="AG36">
        <v>61681.3</v>
      </c>
      <c r="AH36">
        <v>50841.2</v>
      </c>
    </row>
    <row r="37" spans="2:34">
      <c r="B37">
        <v>30255.4</v>
      </c>
      <c r="C37">
        <v>30.486799999999999</v>
      </c>
      <c r="D37">
        <v>30.452200000000001</v>
      </c>
      <c r="E37">
        <v>30.11</v>
      </c>
      <c r="F37">
        <v>30.536899999999999</v>
      </c>
      <c r="I37">
        <v>33840.400000000001</v>
      </c>
      <c r="J37">
        <v>42.994500000000002</v>
      </c>
      <c r="K37">
        <v>33.6755</v>
      </c>
      <c r="L37">
        <v>33.043100000000003</v>
      </c>
      <c r="M37">
        <v>31.5991</v>
      </c>
      <c r="P37">
        <v>33725</v>
      </c>
      <c r="Q37">
        <v>33.851999999999997</v>
      </c>
      <c r="R37">
        <v>33.537500000000001</v>
      </c>
      <c r="S37">
        <v>33.11</v>
      </c>
      <c r="T37">
        <v>43.948</v>
      </c>
      <c r="W37">
        <v>18738.3</v>
      </c>
      <c r="X37">
        <v>17678.099999999999</v>
      </c>
      <c r="Y37">
        <v>38814</v>
      </c>
      <c r="Z37">
        <v>39335.4</v>
      </c>
      <c r="AA37">
        <v>37615.1</v>
      </c>
      <c r="AD37">
        <v>22185.3</v>
      </c>
      <c r="AE37">
        <v>22184.1</v>
      </c>
      <c r="AF37">
        <v>45327.8</v>
      </c>
      <c r="AG37">
        <v>48825.8</v>
      </c>
      <c r="AH37">
        <v>55105.7</v>
      </c>
    </row>
    <row r="38" spans="2:34">
      <c r="B38">
        <v>30289.7</v>
      </c>
      <c r="C38">
        <v>30.662199999999999</v>
      </c>
      <c r="D38">
        <v>31.110900000000001</v>
      </c>
      <c r="E38">
        <v>30.7043</v>
      </c>
      <c r="F38">
        <v>30.186399999999999</v>
      </c>
      <c r="I38">
        <v>34351.9</v>
      </c>
      <c r="J38">
        <v>32.077399999999997</v>
      </c>
      <c r="K38">
        <v>31.336400000000001</v>
      </c>
      <c r="L38">
        <v>30.8186</v>
      </c>
      <c r="M38">
        <v>31.042200000000001</v>
      </c>
      <c r="P38">
        <v>33914.5</v>
      </c>
      <c r="Q38">
        <v>36.129100000000001</v>
      </c>
      <c r="R38">
        <v>33.669899999999998</v>
      </c>
      <c r="S38">
        <v>39.996099999999998</v>
      </c>
      <c r="T38">
        <v>37.122700000000002</v>
      </c>
      <c r="W38">
        <v>18899.099999999999</v>
      </c>
      <c r="X38">
        <v>17830.7</v>
      </c>
      <c r="Y38">
        <v>37983.9</v>
      </c>
      <c r="Z38">
        <v>40506</v>
      </c>
      <c r="AA38">
        <v>37752.6</v>
      </c>
      <c r="AD38">
        <v>24868</v>
      </c>
      <c r="AE38">
        <v>25884.5</v>
      </c>
      <c r="AF38">
        <v>51239.9</v>
      </c>
      <c r="AG38">
        <v>52370.400000000001</v>
      </c>
      <c r="AH38">
        <v>48657.8</v>
      </c>
    </row>
    <row r="39" spans="2:34">
      <c r="B39">
        <v>30721.9</v>
      </c>
      <c r="C39">
        <v>30.100100000000001</v>
      </c>
      <c r="D39">
        <v>30.566800000000001</v>
      </c>
      <c r="E39">
        <v>30.534099999999999</v>
      </c>
      <c r="F39">
        <v>31.074400000000001</v>
      </c>
      <c r="I39">
        <v>30385.8</v>
      </c>
      <c r="J39">
        <v>33.684899999999999</v>
      </c>
      <c r="K39">
        <v>34.895400000000002</v>
      </c>
      <c r="L39">
        <v>31.615500000000001</v>
      </c>
      <c r="M39">
        <v>32.981200000000001</v>
      </c>
      <c r="P39">
        <v>34514.300000000003</v>
      </c>
      <c r="Q39">
        <v>42.268599999999999</v>
      </c>
      <c r="R39">
        <v>41.746600000000001</v>
      </c>
      <c r="S39">
        <v>37.415799999999997</v>
      </c>
      <c r="T39">
        <v>34.095999999999997</v>
      </c>
      <c r="W39">
        <v>18694.7</v>
      </c>
      <c r="X39">
        <v>18310.400000000001</v>
      </c>
      <c r="Y39">
        <v>37974.199999999997</v>
      </c>
      <c r="Z39">
        <v>39528.9</v>
      </c>
      <c r="AA39">
        <v>44692.5</v>
      </c>
      <c r="AD39">
        <v>23741.599999999999</v>
      </c>
      <c r="AE39">
        <v>23374.1</v>
      </c>
      <c r="AF39">
        <v>48541.8</v>
      </c>
      <c r="AG39">
        <v>53977.2</v>
      </c>
      <c r="AH39">
        <v>48846.1</v>
      </c>
    </row>
    <row r="40" spans="2:34">
      <c r="B40">
        <v>30420.2</v>
      </c>
      <c r="C40">
        <v>30.387</v>
      </c>
      <c r="D40">
        <v>30.8262</v>
      </c>
      <c r="E40">
        <v>30.812999999999999</v>
      </c>
      <c r="F40">
        <v>30.365400000000001</v>
      </c>
      <c r="I40">
        <v>31065.9</v>
      </c>
      <c r="J40">
        <v>31.378699999999998</v>
      </c>
      <c r="K40">
        <v>31.982700000000001</v>
      </c>
      <c r="L40">
        <v>33.022799999999997</v>
      </c>
      <c r="M40">
        <v>31.865200000000002</v>
      </c>
      <c r="P40">
        <v>33287.599999999999</v>
      </c>
      <c r="Q40">
        <v>36.555799999999998</v>
      </c>
      <c r="R40">
        <v>32.702800000000003</v>
      </c>
      <c r="S40">
        <v>34.222000000000001</v>
      </c>
      <c r="T40">
        <v>32.276299999999999</v>
      </c>
      <c r="W40">
        <v>21653.1</v>
      </c>
      <c r="X40">
        <v>19199.599999999999</v>
      </c>
      <c r="Y40">
        <v>38580</v>
      </c>
      <c r="Z40">
        <v>39932.300000000003</v>
      </c>
      <c r="AA40">
        <v>38366.9</v>
      </c>
      <c r="AD40">
        <v>24617.599999999999</v>
      </c>
      <c r="AE40">
        <v>29550.2</v>
      </c>
      <c r="AF40">
        <v>48628.800000000003</v>
      </c>
      <c r="AG40">
        <v>54611.3</v>
      </c>
      <c r="AH40">
        <v>49424.3</v>
      </c>
    </row>
    <row r="41" spans="2:34">
      <c r="B41">
        <v>30327</v>
      </c>
      <c r="C41">
        <v>30.5654</v>
      </c>
      <c r="D41">
        <v>30.805199999999999</v>
      </c>
      <c r="E41">
        <v>30.1784</v>
      </c>
      <c r="F41">
        <v>30.3263</v>
      </c>
      <c r="I41">
        <v>32961.300000000003</v>
      </c>
      <c r="J41">
        <v>33.479700000000001</v>
      </c>
      <c r="K41">
        <v>33.786799999999999</v>
      </c>
      <c r="L41">
        <v>35.039700000000003</v>
      </c>
      <c r="M41">
        <v>39.267299999999999</v>
      </c>
      <c r="P41">
        <v>33229.1</v>
      </c>
      <c r="Q41">
        <v>33.810099999999998</v>
      </c>
      <c r="R41">
        <v>35.629899999999999</v>
      </c>
      <c r="S41">
        <v>43.549799999999998</v>
      </c>
      <c r="T41">
        <v>33.8825</v>
      </c>
      <c r="W41">
        <v>20103.5</v>
      </c>
      <c r="X41">
        <v>18625.5</v>
      </c>
      <c r="Y41">
        <v>38526.300000000003</v>
      </c>
      <c r="Z41">
        <v>40451.699999999997</v>
      </c>
      <c r="AA41">
        <v>38212.199999999997</v>
      </c>
      <c r="AD41">
        <v>21984.3</v>
      </c>
      <c r="AE41">
        <v>23153.8</v>
      </c>
      <c r="AF41">
        <v>45642.7</v>
      </c>
      <c r="AG41">
        <v>52934.9</v>
      </c>
      <c r="AH41">
        <v>46944.2</v>
      </c>
    </row>
    <row r="42" spans="2:34">
      <c r="B42">
        <v>30469.5</v>
      </c>
      <c r="C42">
        <v>30.5002</v>
      </c>
      <c r="D42">
        <v>30.715800000000002</v>
      </c>
      <c r="E42">
        <v>30.512699999999999</v>
      </c>
      <c r="F42">
        <v>30.199400000000001</v>
      </c>
      <c r="I42">
        <v>39377.1</v>
      </c>
      <c r="J42">
        <v>33.831899999999997</v>
      </c>
      <c r="K42">
        <v>32.036799999999999</v>
      </c>
      <c r="L42">
        <v>63.636899999999997</v>
      </c>
      <c r="M42">
        <v>35.729999999999997</v>
      </c>
      <c r="P42">
        <v>33054.6</v>
      </c>
      <c r="Q42">
        <v>33.743099999999998</v>
      </c>
      <c r="R42">
        <v>35.288499999999999</v>
      </c>
      <c r="S42">
        <v>37.275199999999998</v>
      </c>
      <c r="T42">
        <v>34.556100000000001</v>
      </c>
      <c r="W42">
        <v>19526.8</v>
      </c>
      <c r="X42">
        <v>18383.8</v>
      </c>
      <c r="Y42">
        <v>38391.300000000003</v>
      </c>
      <c r="Z42">
        <v>39823.199999999997</v>
      </c>
      <c r="AA42">
        <v>37703.800000000003</v>
      </c>
      <c r="AD42">
        <v>24727.200000000001</v>
      </c>
      <c r="AE42">
        <v>27274</v>
      </c>
      <c r="AF42">
        <v>47130.3</v>
      </c>
      <c r="AG42">
        <v>48246.2</v>
      </c>
      <c r="AH42">
        <v>65783.3</v>
      </c>
    </row>
    <row r="43" spans="2:34">
      <c r="B43">
        <v>30349.5</v>
      </c>
      <c r="C43">
        <v>30.346699999999998</v>
      </c>
      <c r="D43">
        <v>30.889500000000002</v>
      </c>
      <c r="E43">
        <v>30.093699999999998</v>
      </c>
      <c r="F43">
        <v>30.386299999999999</v>
      </c>
      <c r="I43">
        <v>31915.1</v>
      </c>
      <c r="J43">
        <v>33.058900000000001</v>
      </c>
      <c r="K43">
        <v>36.560400000000001</v>
      </c>
      <c r="L43">
        <v>31.853000000000002</v>
      </c>
      <c r="M43">
        <v>31.941400000000002</v>
      </c>
      <c r="P43">
        <v>33025.800000000003</v>
      </c>
      <c r="Q43">
        <v>33.883600000000001</v>
      </c>
      <c r="R43">
        <v>36.804900000000004</v>
      </c>
      <c r="S43">
        <v>35.388800000000003</v>
      </c>
      <c r="T43">
        <v>36.194800000000001</v>
      </c>
      <c r="W43">
        <v>19437</v>
      </c>
      <c r="X43">
        <v>19205.7</v>
      </c>
      <c r="Y43">
        <v>38098.5</v>
      </c>
      <c r="Z43">
        <v>39184.300000000003</v>
      </c>
      <c r="AA43">
        <v>37915</v>
      </c>
      <c r="AD43">
        <v>23143.200000000001</v>
      </c>
      <c r="AE43">
        <v>27203.5</v>
      </c>
      <c r="AF43">
        <v>51306.1</v>
      </c>
      <c r="AG43">
        <v>62084.7</v>
      </c>
      <c r="AH43">
        <v>73567.399999999994</v>
      </c>
    </row>
    <row r="44" spans="2:34">
      <c r="B44">
        <v>30371.5</v>
      </c>
      <c r="C44">
        <v>30.534199999999998</v>
      </c>
      <c r="D44">
        <v>30.4499</v>
      </c>
      <c r="E44">
        <v>30.3809</v>
      </c>
      <c r="F44">
        <v>31.0381</v>
      </c>
      <c r="I44">
        <v>33961.199999999997</v>
      </c>
      <c r="J44">
        <v>31.2835</v>
      </c>
      <c r="K44">
        <v>32.916600000000003</v>
      </c>
      <c r="L44">
        <v>32.015099999999997</v>
      </c>
      <c r="M44">
        <v>43.999600000000001</v>
      </c>
      <c r="P44">
        <v>38549.5</v>
      </c>
      <c r="Q44">
        <v>32.3063</v>
      </c>
      <c r="R44">
        <v>32.722999999999999</v>
      </c>
      <c r="S44">
        <v>70.423699999999997</v>
      </c>
      <c r="T44">
        <v>38.339700000000001</v>
      </c>
      <c r="W44">
        <v>19923.7</v>
      </c>
      <c r="X44">
        <v>18518.5</v>
      </c>
      <c r="Y44">
        <v>38515.4</v>
      </c>
      <c r="Z44">
        <v>40226.800000000003</v>
      </c>
      <c r="AA44">
        <v>38960.5</v>
      </c>
      <c r="AD44">
        <v>78748.899999999994</v>
      </c>
      <c r="AE44">
        <v>43070</v>
      </c>
      <c r="AF44">
        <v>51630.6</v>
      </c>
      <c r="AG44">
        <v>51098.9</v>
      </c>
      <c r="AH44">
        <v>48258.5</v>
      </c>
    </row>
    <row r="45" spans="2:34">
      <c r="B45">
        <v>30683</v>
      </c>
      <c r="C45">
        <v>30.0107</v>
      </c>
      <c r="D45">
        <v>30.3367</v>
      </c>
      <c r="E45">
        <v>30.499500000000001</v>
      </c>
      <c r="F45">
        <v>30.551500000000001</v>
      </c>
      <c r="I45">
        <v>35675.699999999997</v>
      </c>
      <c r="J45">
        <v>35.2866</v>
      </c>
      <c r="K45">
        <v>33.573999999999998</v>
      </c>
      <c r="L45">
        <v>33.652500000000003</v>
      </c>
      <c r="M45">
        <v>31.464600000000001</v>
      </c>
      <c r="P45">
        <v>57053.8</v>
      </c>
      <c r="Q45">
        <v>34.966200000000001</v>
      </c>
      <c r="R45">
        <v>40.135599999999997</v>
      </c>
      <c r="S45">
        <v>32.5837</v>
      </c>
      <c r="T45">
        <v>41.436599999999999</v>
      </c>
      <c r="W45">
        <v>19860.400000000001</v>
      </c>
      <c r="X45">
        <v>18004.2</v>
      </c>
      <c r="Y45">
        <v>38932.6</v>
      </c>
      <c r="Z45">
        <v>39575</v>
      </c>
      <c r="AA45">
        <v>38343.4</v>
      </c>
      <c r="AD45">
        <v>22485.9</v>
      </c>
      <c r="AE45">
        <v>23282.5</v>
      </c>
      <c r="AF45">
        <v>46361.599999999999</v>
      </c>
      <c r="AG45">
        <v>47034</v>
      </c>
      <c r="AH45">
        <v>47018.2</v>
      </c>
    </row>
    <row r="46" spans="2:34">
      <c r="B46">
        <v>30410.5</v>
      </c>
      <c r="C46">
        <v>30.470099999999999</v>
      </c>
      <c r="D46">
        <v>30.696899999999999</v>
      </c>
      <c r="E46">
        <v>30.6859</v>
      </c>
      <c r="F46">
        <v>33.470399999999998</v>
      </c>
      <c r="I46">
        <v>32042.3</v>
      </c>
      <c r="J46">
        <v>33.232700000000001</v>
      </c>
      <c r="K46">
        <v>34.724699999999999</v>
      </c>
      <c r="L46">
        <v>31.951599999999999</v>
      </c>
      <c r="M46">
        <v>36.792499999999997</v>
      </c>
      <c r="P46">
        <v>33946.1</v>
      </c>
      <c r="Q46">
        <v>41.860599999999998</v>
      </c>
      <c r="R46">
        <v>40.794199999999996</v>
      </c>
      <c r="S46">
        <v>33.390500000000003</v>
      </c>
      <c r="T46">
        <v>33.175699999999999</v>
      </c>
      <c r="W46">
        <v>19050.400000000001</v>
      </c>
      <c r="X46">
        <v>19431</v>
      </c>
      <c r="Y46">
        <v>38307.599999999999</v>
      </c>
      <c r="Z46">
        <v>40170.5</v>
      </c>
      <c r="AA46">
        <v>39312.6</v>
      </c>
      <c r="AD46">
        <v>30177.4</v>
      </c>
      <c r="AE46">
        <v>23964.1</v>
      </c>
      <c r="AF46">
        <v>59361.1</v>
      </c>
      <c r="AG46">
        <v>61430</v>
      </c>
      <c r="AH46">
        <v>53796.1</v>
      </c>
    </row>
    <row r="47" spans="2:34">
      <c r="B47">
        <v>34696.300000000003</v>
      </c>
      <c r="C47">
        <v>31.628399999999999</v>
      </c>
      <c r="D47">
        <v>30.844799999999999</v>
      </c>
      <c r="E47">
        <v>30.508800000000001</v>
      </c>
      <c r="F47">
        <v>31.3858</v>
      </c>
      <c r="I47">
        <v>31608.9</v>
      </c>
      <c r="J47">
        <v>32.266100000000002</v>
      </c>
      <c r="K47">
        <v>32.617899999999999</v>
      </c>
      <c r="L47">
        <v>31.7226</v>
      </c>
      <c r="M47">
        <v>31.5776</v>
      </c>
      <c r="P47">
        <v>31755.3</v>
      </c>
      <c r="Q47">
        <v>32.376100000000001</v>
      </c>
      <c r="R47">
        <v>33.886200000000002</v>
      </c>
      <c r="S47">
        <v>32.288499999999999</v>
      </c>
      <c r="T47">
        <v>32.389699999999998</v>
      </c>
      <c r="W47">
        <v>20392.900000000001</v>
      </c>
      <c r="X47">
        <v>18347.2</v>
      </c>
      <c r="Y47">
        <v>38969.5</v>
      </c>
      <c r="Z47">
        <v>40888.199999999997</v>
      </c>
      <c r="AA47">
        <v>38579.599999999999</v>
      </c>
      <c r="AD47">
        <v>20205.5</v>
      </c>
      <c r="AE47">
        <v>24732.5</v>
      </c>
      <c r="AF47">
        <v>58163.5</v>
      </c>
      <c r="AG47">
        <v>52831.1</v>
      </c>
      <c r="AH47">
        <v>56907.4</v>
      </c>
    </row>
    <row r="48" spans="2:34">
      <c r="B48">
        <v>30892</v>
      </c>
      <c r="C48">
        <v>30.560500000000001</v>
      </c>
      <c r="D48">
        <v>31.0761</v>
      </c>
      <c r="E48">
        <v>31.630099999999999</v>
      </c>
      <c r="F48">
        <v>31.536200000000001</v>
      </c>
      <c r="I48">
        <v>31113.599999999999</v>
      </c>
      <c r="J48">
        <v>32.368200000000002</v>
      </c>
      <c r="K48">
        <v>32.829900000000002</v>
      </c>
      <c r="L48">
        <v>32.408900000000003</v>
      </c>
      <c r="M48">
        <v>31.258400000000002</v>
      </c>
      <c r="P48">
        <v>32087.5</v>
      </c>
      <c r="Q48">
        <v>36.855899999999998</v>
      </c>
      <c r="R48">
        <v>34.595100000000002</v>
      </c>
      <c r="S48">
        <v>37.0015</v>
      </c>
      <c r="T48">
        <v>42.388399999999997</v>
      </c>
      <c r="W48">
        <v>19868</v>
      </c>
      <c r="X48">
        <v>19157.400000000001</v>
      </c>
      <c r="Y48">
        <v>39296.800000000003</v>
      </c>
      <c r="Z48">
        <v>40674.400000000001</v>
      </c>
      <c r="AA48">
        <v>38947.699999999997</v>
      </c>
      <c r="AD48">
        <v>24760.1</v>
      </c>
      <c r="AE48">
        <v>25025.5</v>
      </c>
      <c r="AF48">
        <v>50871.8</v>
      </c>
      <c r="AG48">
        <v>50557.7</v>
      </c>
      <c r="AH48">
        <v>53308.3</v>
      </c>
    </row>
    <row r="49" spans="2:34">
      <c r="B49">
        <v>30575.7</v>
      </c>
      <c r="C49">
        <v>31.391999999999999</v>
      </c>
      <c r="D49">
        <v>31.512</v>
      </c>
      <c r="E49">
        <v>31.1755</v>
      </c>
      <c r="F49">
        <v>30.872900000000001</v>
      </c>
      <c r="I49">
        <v>31804.799999999999</v>
      </c>
      <c r="J49">
        <v>31.8063</v>
      </c>
      <c r="K49">
        <v>31.909199999999998</v>
      </c>
      <c r="L49">
        <v>31.549499999999998</v>
      </c>
      <c r="M49">
        <v>35.606699999999996</v>
      </c>
      <c r="P49">
        <v>32858.800000000003</v>
      </c>
      <c r="Q49">
        <v>56.451999999999998</v>
      </c>
      <c r="R49">
        <v>41.598799999999997</v>
      </c>
      <c r="S49">
        <v>33.049799999999998</v>
      </c>
      <c r="T49">
        <v>32.277099999999997</v>
      </c>
      <c r="W49">
        <v>19433.2</v>
      </c>
      <c r="X49">
        <v>20516.599999999999</v>
      </c>
      <c r="Y49">
        <v>38049.5</v>
      </c>
      <c r="Z49">
        <v>40042.400000000001</v>
      </c>
      <c r="AA49">
        <v>38671.1</v>
      </c>
      <c r="AD49">
        <v>24814.1</v>
      </c>
      <c r="AE49">
        <v>23875.8</v>
      </c>
      <c r="AF49">
        <v>50807.5</v>
      </c>
      <c r="AG49">
        <v>52581.8</v>
      </c>
      <c r="AH49">
        <v>53194.1</v>
      </c>
    </row>
    <row r="50" spans="2:34">
      <c r="B50">
        <v>30238.2</v>
      </c>
      <c r="C50">
        <v>31.186299999999999</v>
      </c>
      <c r="D50">
        <v>31.6355</v>
      </c>
      <c r="E50">
        <v>30.900099999999998</v>
      </c>
      <c r="F50">
        <v>31.001300000000001</v>
      </c>
      <c r="I50">
        <v>52945.5</v>
      </c>
      <c r="J50">
        <v>34.3005</v>
      </c>
      <c r="K50">
        <v>33.826999999999998</v>
      </c>
      <c r="L50">
        <v>31.889500000000002</v>
      </c>
      <c r="M50">
        <v>51.395400000000002</v>
      </c>
      <c r="P50">
        <v>34081.9</v>
      </c>
      <c r="Q50">
        <v>44.327800000000003</v>
      </c>
      <c r="R50">
        <v>32.508800000000001</v>
      </c>
      <c r="S50">
        <v>35.0169</v>
      </c>
      <c r="T50">
        <v>55.710700000000003</v>
      </c>
      <c r="W50">
        <v>20189.3</v>
      </c>
      <c r="X50">
        <v>19567.599999999999</v>
      </c>
      <c r="Y50">
        <v>37868.1</v>
      </c>
      <c r="Z50">
        <v>40537.800000000003</v>
      </c>
      <c r="AA50">
        <v>38023.599999999999</v>
      </c>
      <c r="AD50">
        <v>25250.799999999999</v>
      </c>
      <c r="AE50">
        <v>25033.5</v>
      </c>
      <c r="AF50">
        <v>49894.7</v>
      </c>
      <c r="AG50">
        <v>52827.4</v>
      </c>
      <c r="AH50">
        <v>47399.1</v>
      </c>
    </row>
    <row r="51" spans="2:34">
      <c r="B51">
        <v>30561</v>
      </c>
      <c r="C51">
        <v>30.604399999999998</v>
      </c>
      <c r="D51">
        <v>31.5383</v>
      </c>
      <c r="E51">
        <v>32.073399999999999</v>
      </c>
      <c r="F51">
        <v>30.611799999999999</v>
      </c>
      <c r="I51">
        <v>36797.1</v>
      </c>
      <c r="J51">
        <v>32.386400000000002</v>
      </c>
      <c r="K51">
        <v>47.502699999999997</v>
      </c>
      <c r="L51">
        <v>39.514299999999999</v>
      </c>
      <c r="M51">
        <v>37.1999</v>
      </c>
      <c r="P51">
        <v>35987.699999999997</v>
      </c>
      <c r="Q51">
        <v>34.771099999999997</v>
      </c>
      <c r="R51">
        <v>38.841900000000003</v>
      </c>
      <c r="S51">
        <v>33.9009</v>
      </c>
      <c r="T51">
        <v>32.8247</v>
      </c>
      <c r="W51">
        <v>19024.7</v>
      </c>
      <c r="X51">
        <v>18290.400000000001</v>
      </c>
      <c r="Y51">
        <v>37557.800000000003</v>
      </c>
      <c r="Z51">
        <v>39584.400000000001</v>
      </c>
      <c r="AA51">
        <v>37641.5</v>
      </c>
      <c r="AD51">
        <v>25222</v>
      </c>
      <c r="AE51">
        <v>23923.1</v>
      </c>
      <c r="AF51">
        <v>50796.6</v>
      </c>
      <c r="AG51">
        <v>52191.199999999997</v>
      </c>
      <c r="AH51">
        <v>50566.9</v>
      </c>
    </row>
    <row r="52" spans="2:34">
      <c r="B52">
        <v>32228.3</v>
      </c>
      <c r="C52">
        <v>32.419499999999999</v>
      </c>
      <c r="D52">
        <v>31.042999999999999</v>
      </c>
      <c r="E52">
        <v>31.794499999999999</v>
      </c>
      <c r="F52">
        <v>31.925000000000001</v>
      </c>
      <c r="I52">
        <v>35124.199999999997</v>
      </c>
      <c r="J52">
        <v>31.6219</v>
      </c>
      <c r="K52">
        <v>32.920099999999998</v>
      </c>
      <c r="L52">
        <v>31.577000000000002</v>
      </c>
      <c r="M52">
        <v>32.103900000000003</v>
      </c>
      <c r="P52">
        <v>36166.6</v>
      </c>
      <c r="Q52">
        <v>32.630899999999997</v>
      </c>
      <c r="R52">
        <v>32.738199999999999</v>
      </c>
      <c r="S52">
        <v>37.125599999999999</v>
      </c>
      <c r="T52">
        <v>41.183199999999999</v>
      </c>
      <c r="W52">
        <v>19499.400000000001</v>
      </c>
      <c r="X52">
        <v>18516</v>
      </c>
      <c r="Y52">
        <v>37719</v>
      </c>
      <c r="Z52">
        <v>39002</v>
      </c>
      <c r="AA52">
        <v>38019.199999999997</v>
      </c>
      <c r="AD52">
        <v>25134.6</v>
      </c>
      <c r="AE52">
        <v>24273.9</v>
      </c>
      <c r="AF52">
        <v>47548</v>
      </c>
      <c r="AG52">
        <v>54727.199999999997</v>
      </c>
      <c r="AH52">
        <v>50977</v>
      </c>
    </row>
    <row r="53" spans="2:34">
      <c r="B53">
        <v>30588.7</v>
      </c>
      <c r="C53">
        <v>31.490300000000001</v>
      </c>
      <c r="D53">
        <v>30.982299999999999</v>
      </c>
      <c r="E53">
        <v>32.137099999999997</v>
      </c>
      <c r="F53">
        <v>30.9756</v>
      </c>
      <c r="I53">
        <v>31929</v>
      </c>
      <c r="J53">
        <v>32.555799999999998</v>
      </c>
      <c r="K53">
        <v>33.4983</v>
      </c>
      <c r="L53">
        <v>31.565300000000001</v>
      </c>
      <c r="M53">
        <v>33.5473</v>
      </c>
      <c r="P53">
        <v>37077.1</v>
      </c>
      <c r="Q53">
        <v>38.880899999999997</v>
      </c>
      <c r="R53">
        <v>37.068899999999999</v>
      </c>
      <c r="S53">
        <v>32.983499999999999</v>
      </c>
      <c r="T53">
        <v>35.075600000000001</v>
      </c>
      <c r="W53">
        <v>19281.5</v>
      </c>
      <c r="X53">
        <v>18811.3</v>
      </c>
      <c r="Y53">
        <v>37504.1</v>
      </c>
      <c r="Z53">
        <v>39410.6</v>
      </c>
      <c r="AA53">
        <v>37725.4</v>
      </c>
      <c r="AD53">
        <v>22607.8</v>
      </c>
      <c r="AE53">
        <v>24974.400000000001</v>
      </c>
      <c r="AF53">
        <v>63659.7</v>
      </c>
      <c r="AG53">
        <v>45292.7</v>
      </c>
      <c r="AH53">
        <v>38401.599999999999</v>
      </c>
    </row>
    <row r="54" spans="2:34">
      <c r="B54">
        <v>31426.9</v>
      </c>
      <c r="C54">
        <v>31.873899999999999</v>
      </c>
      <c r="D54">
        <v>31.242799999999999</v>
      </c>
      <c r="E54">
        <v>31.372499999999999</v>
      </c>
      <c r="F54">
        <v>31.359300000000001</v>
      </c>
      <c r="I54">
        <v>32815.300000000003</v>
      </c>
      <c r="J54">
        <v>32.960999999999999</v>
      </c>
      <c r="K54">
        <v>33.370399999999997</v>
      </c>
      <c r="L54">
        <v>33.286299999999997</v>
      </c>
      <c r="M54">
        <v>31.591999999999999</v>
      </c>
      <c r="P54">
        <v>32837.699999999997</v>
      </c>
      <c r="Q54">
        <v>34.7194</v>
      </c>
      <c r="R54">
        <v>35.181899999999999</v>
      </c>
      <c r="S54">
        <v>45.256900000000002</v>
      </c>
      <c r="T54">
        <v>47.6036</v>
      </c>
      <c r="W54">
        <v>19128.400000000001</v>
      </c>
      <c r="X54">
        <v>18167.5</v>
      </c>
      <c r="Y54">
        <v>37811.599999999999</v>
      </c>
      <c r="Z54">
        <v>39391.199999999997</v>
      </c>
      <c r="AA54">
        <v>37894</v>
      </c>
      <c r="AD54">
        <v>19898.8</v>
      </c>
      <c r="AE54">
        <v>18855.599999999999</v>
      </c>
      <c r="AF54">
        <v>38539.599999999999</v>
      </c>
      <c r="AG54">
        <v>39837.699999999997</v>
      </c>
      <c r="AH54">
        <v>37479.9</v>
      </c>
    </row>
    <row r="55" spans="2:34">
      <c r="B55">
        <v>30669.599999999999</v>
      </c>
      <c r="C55">
        <v>30.4147</v>
      </c>
      <c r="D55">
        <v>30.709199999999999</v>
      </c>
      <c r="E55">
        <v>30.1127</v>
      </c>
      <c r="F55">
        <v>31.6967</v>
      </c>
      <c r="I55">
        <v>32651.200000000001</v>
      </c>
      <c r="J55">
        <v>33.033499999999997</v>
      </c>
      <c r="K55">
        <v>33.0366</v>
      </c>
      <c r="L55">
        <v>33.000500000000002</v>
      </c>
      <c r="M55">
        <v>51.385300000000001</v>
      </c>
      <c r="P55">
        <v>38488.5</v>
      </c>
      <c r="Q55">
        <v>37.032200000000003</v>
      </c>
      <c r="R55">
        <v>31.738</v>
      </c>
      <c r="S55">
        <v>35.7104</v>
      </c>
      <c r="T55">
        <v>33.920699999999997</v>
      </c>
      <c r="W55">
        <v>19120.7</v>
      </c>
      <c r="X55">
        <v>18637.099999999999</v>
      </c>
      <c r="Y55">
        <v>37463.9</v>
      </c>
      <c r="Z55">
        <v>39458.1</v>
      </c>
      <c r="AA55">
        <v>37904.400000000001</v>
      </c>
      <c r="AD55">
        <v>18277.099999999999</v>
      </c>
      <c r="AE55">
        <v>18596.8</v>
      </c>
      <c r="AF55">
        <v>39865.4</v>
      </c>
      <c r="AG55">
        <v>39408.6</v>
      </c>
      <c r="AH55">
        <v>39979.1</v>
      </c>
    </row>
    <row r="56" spans="2:34">
      <c r="B56">
        <v>31064.3</v>
      </c>
      <c r="C56">
        <v>30.5334</v>
      </c>
      <c r="D56">
        <v>31.274799999999999</v>
      </c>
      <c r="E56">
        <v>30.787199999999999</v>
      </c>
      <c r="F56">
        <v>29.929300000000001</v>
      </c>
      <c r="I56">
        <v>34315.1</v>
      </c>
      <c r="J56">
        <v>32.229100000000003</v>
      </c>
      <c r="K56">
        <v>32.581400000000002</v>
      </c>
      <c r="L56">
        <v>32.691099999999999</v>
      </c>
      <c r="M56">
        <v>32.378100000000003</v>
      </c>
      <c r="P56">
        <v>34834.800000000003</v>
      </c>
      <c r="Q56">
        <v>35.0246</v>
      </c>
      <c r="R56">
        <v>32.641199999999998</v>
      </c>
      <c r="S56">
        <v>33.1614</v>
      </c>
      <c r="T56">
        <v>32.737699999999997</v>
      </c>
      <c r="W56">
        <v>20514</v>
      </c>
      <c r="X56">
        <v>18032.400000000001</v>
      </c>
      <c r="Y56">
        <v>37831.800000000003</v>
      </c>
      <c r="Z56">
        <v>39702.699999999997</v>
      </c>
      <c r="AA56">
        <v>37635.199999999997</v>
      </c>
      <c r="AD56">
        <v>18487</v>
      </c>
      <c r="AE56">
        <v>18806.599999999999</v>
      </c>
      <c r="AF56">
        <v>37767.9</v>
      </c>
      <c r="AG56">
        <v>40589.4</v>
      </c>
      <c r="AH56">
        <v>38359.1</v>
      </c>
    </row>
    <row r="57" spans="2:34">
      <c r="B57">
        <v>30412</v>
      </c>
      <c r="C57">
        <v>30.889299999999999</v>
      </c>
      <c r="D57">
        <v>30.6648</v>
      </c>
      <c r="E57">
        <v>30.251300000000001</v>
      </c>
      <c r="F57">
        <v>30.920300000000001</v>
      </c>
      <c r="I57">
        <v>31733.7</v>
      </c>
      <c r="J57">
        <v>31.609400000000001</v>
      </c>
      <c r="K57">
        <v>31.862300000000001</v>
      </c>
      <c r="L57">
        <v>31.534199999999998</v>
      </c>
      <c r="M57">
        <v>32.502600000000001</v>
      </c>
      <c r="P57">
        <v>34558</v>
      </c>
      <c r="Q57">
        <v>35.335500000000003</v>
      </c>
      <c r="R57">
        <v>63.431600000000003</v>
      </c>
      <c r="S57">
        <v>46.698300000000003</v>
      </c>
      <c r="T57">
        <v>40.256</v>
      </c>
      <c r="W57">
        <v>19516.599999999999</v>
      </c>
      <c r="X57">
        <v>18121</v>
      </c>
      <c r="Y57">
        <v>37431.9</v>
      </c>
      <c r="Z57">
        <v>39491.800000000003</v>
      </c>
      <c r="AA57">
        <v>37819.800000000003</v>
      </c>
      <c r="AD57">
        <v>18626.8</v>
      </c>
      <c r="AE57">
        <v>18290.2</v>
      </c>
      <c r="AF57">
        <v>38141.699999999997</v>
      </c>
      <c r="AG57">
        <v>40081.199999999997</v>
      </c>
      <c r="AH57">
        <v>38041.4</v>
      </c>
    </row>
    <row r="58" spans="2:34">
      <c r="B58">
        <v>30489.5</v>
      </c>
      <c r="C58">
        <v>30.659500000000001</v>
      </c>
      <c r="D58">
        <v>30.433199999999999</v>
      </c>
      <c r="E58">
        <v>30.451599999999999</v>
      </c>
      <c r="F58">
        <v>30.122399999999999</v>
      </c>
      <c r="I58">
        <v>31592.3</v>
      </c>
      <c r="J58">
        <v>32.756999999999998</v>
      </c>
      <c r="K58">
        <v>33.7804</v>
      </c>
      <c r="L58">
        <v>31.889099999999999</v>
      </c>
      <c r="M58">
        <v>32.429699999999997</v>
      </c>
      <c r="P58">
        <v>78132.2</v>
      </c>
      <c r="Q58">
        <v>75.066500000000005</v>
      </c>
      <c r="R58">
        <v>187.626</v>
      </c>
      <c r="S58">
        <v>161.56</v>
      </c>
      <c r="T58">
        <v>145.321</v>
      </c>
      <c r="W58">
        <v>18642.2</v>
      </c>
      <c r="X58">
        <v>17992.3</v>
      </c>
      <c r="Y58">
        <v>37860.300000000003</v>
      </c>
      <c r="Z58">
        <v>39857.4</v>
      </c>
      <c r="AA58">
        <v>37690.5</v>
      </c>
      <c r="AD58">
        <v>19077.8</v>
      </c>
      <c r="AE58">
        <v>19475.3</v>
      </c>
      <c r="AF58">
        <v>37399.199999999997</v>
      </c>
      <c r="AG58">
        <v>45995.7</v>
      </c>
      <c r="AH58">
        <v>39437.9</v>
      </c>
    </row>
    <row r="59" spans="2:34">
      <c r="B59">
        <v>30384.3</v>
      </c>
      <c r="C59">
        <v>30.5593</v>
      </c>
      <c r="D59">
        <v>30.724799999999998</v>
      </c>
      <c r="E59">
        <v>30.160900000000002</v>
      </c>
      <c r="F59">
        <v>31.3873</v>
      </c>
      <c r="I59">
        <v>31137.599999999999</v>
      </c>
      <c r="J59">
        <v>32.8429</v>
      </c>
      <c r="K59">
        <v>32.628399999999999</v>
      </c>
      <c r="L59">
        <v>31.483599999999999</v>
      </c>
      <c r="M59">
        <v>31.977699999999999</v>
      </c>
      <c r="P59">
        <v>75715.399999999994</v>
      </c>
      <c r="Q59">
        <v>56.615499999999997</v>
      </c>
      <c r="R59">
        <v>38.311199999999999</v>
      </c>
      <c r="S59">
        <v>31.104299999999999</v>
      </c>
      <c r="T59">
        <v>32.311</v>
      </c>
      <c r="W59">
        <v>19449.7</v>
      </c>
      <c r="X59">
        <v>18169.900000000001</v>
      </c>
      <c r="Y59">
        <v>37623.800000000003</v>
      </c>
      <c r="Z59">
        <v>39387.1</v>
      </c>
      <c r="AA59">
        <v>39863.5</v>
      </c>
      <c r="AD59">
        <v>18876.7</v>
      </c>
      <c r="AE59">
        <v>19110.099999999999</v>
      </c>
      <c r="AF59">
        <v>38329.1</v>
      </c>
      <c r="AG59">
        <v>39504.199999999997</v>
      </c>
      <c r="AH59">
        <v>38180.6</v>
      </c>
    </row>
    <row r="60" spans="2:34">
      <c r="B60">
        <v>31413.7</v>
      </c>
      <c r="C60">
        <v>30.471499999999999</v>
      </c>
      <c r="D60">
        <v>30.245100000000001</v>
      </c>
      <c r="E60">
        <v>30.854199999999999</v>
      </c>
      <c r="F60">
        <v>30.2318</v>
      </c>
      <c r="I60">
        <v>31282.799999999999</v>
      </c>
      <c r="J60">
        <v>31.742000000000001</v>
      </c>
      <c r="K60">
        <v>32.8919</v>
      </c>
      <c r="L60">
        <v>31.8492</v>
      </c>
      <c r="M60">
        <v>31.696200000000001</v>
      </c>
      <c r="P60">
        <v>34270</v>
      </c>
      <c r="Q60">
        <v>32.309600000000003</v>
      </c>
      <c r="R60">
        <v>40.989800000000002</v>
      </c>
      <c r="S60">
        <v>35.302</v>
      </c>
      <c r="T60">
        <v>34.197699999999998</v>
      </c>
      <c r="W60">
        <v>19070.7</v>
      </c>
      <c r="X60">
        <v>18054.599999999999</v>
      </c>
      <c r="Y60">
        <v>37610.1</v>
      </c>
      <c r="Z60">
        <v>39701.5</v>
      </c>
      <c r="AA60">
        <v>37443.199999999997</v>
      </c>
      <c r="AD60">
        <v>20457.5</v>
      </c>
      <c r="AE60">
        <v>20304.7</v>
      </c>
      <c r="AF60">
        <v>41322.300000000003</v>
      </c>
      <c r="AG60">
        <v>44389</v>
      </c>
      <c r="AH60">
        <v>38359.199999999997</v>
      </c>
    </row>
    <row r="61" spans="2:34">
      <c r="B61">
        <v>30922.3</v>
      </c>
      <c r="C61">
        <v>30.720700000000001</v>
      </c>
      <c r="D61">
        <v>30.455400000000001</v>
      </c>
      <c r="E61">
        <v>30.071400000000001</v>
      </c>
      <c r="F61">
        <v>31.414999999999999</v>
      </c>
      <c r="I61">
        <v>32197.200000000001</v>
      </c>
      <c r="J61">
        <v>31.804099999999998</v>
      </c>
      <c r="K61">
        <v>32.031500000000001</v>
      </c>
      <c r="L61">
        <v>34.448799999999999</v>
      </c>
      <c r="M61">
        <v>31.345800000000001</v>
      </c>
      <c r="P61">
        <v>31538.3</v>
      </c>
      <c r="Q61">
        <v>33.500500000000002</v>
      </c>
      <c r="R61">
        <v>32.273899999999998</v>
      </c>
      <c r="S61">
        <v>31.583200000000001</v>
      </c>
      <c r="T61">
        <v>34.81</v>
      </c>
      <c r="W61">
        <v>19592.900000000001</v>
      </c>
      <c r="X61">
        <v>18236.599999999999</v>
      </c>
      <c r="Y61">
        <v>37372.5</v>
      </c>
      <c r="Z61">
        <v>39234.699999999997</v>
      </c>
      <c r="AA61">
        <v>39021.5</v>
      </c>
      <c r="AD61">
        <v>18709.7</v>
      </c>
      <c r="AE61">
        <v>27361.8</v>
      </c>
      <c r="AF61">
        <v>39082.1</v>
      </c>
      <c r="AG61">
        <v>40182.800000000003</v>
      </c>
      <c r="AH61">
        <v>38329.699999999997</v>
      </c>
    </row>
    <row r="62" spans="2:34">
      <c r="B62">
        <v>30965.3</v>
      </c>
      <c r="C62">
        <v>30.536999999999999</v>
      </c>
      <c r="D62">
        <v>30.552099999999999</v>
      </c>
      <c r="E62">
        <v>30.251000000000001</v>
      </c>
      <c r="F62">
        <v>30.284199999999998</v>
      </c>
      <c r="I62">
        <v>30941.9</v>
      </c>
      <c r="J62">
        <v>31.880099999999999</v>
      </c>
      <c r="K62">
        <v>33.412599999999998</v>
      </c>
      <c r="L62">
        <v>31.847000000000001</v>
      </c>
      <c r="M62">
        <v>31.506499999999999</v>
      </c>
      <c r="P62">
        <v>32312.9</v>
      </c>
      <c r="Q62">
        <v>35.143300000000004</v>
      </c>
      <c r="R62">
        <v>33.4649</v>
      </c>
      <c r="S62">
        <v>32.1267</v>
      </c>
      <c r="T62">
        <v>32.037799999999997</v>
      </c>
      <c r="W62">
        <v>20094</v>
      </c>
      <c r="X62">
        <v>19982.400000000001</v>
      </c>
      <c r="Y62">
        <v>37715.199999999997</v>
      </c>
      <c r="Z62">
        <v>41651.599999999999</v>
      </c>
      <c r="AA62">
        <v>38723.4</v>
      </c>
      <c r="AD62">
        <v>18768.900000000001</v>
      </c>
      <c r="AE62">
        <v>18563</v>
      </c>
      <c r="AF62">
        <v>36916.699999999997</v>
      </c>
      <c r="AG62">
        <v>39658.400000000001</v>
      </c>
      <c r="AH62">
        <v>37571.5</v>
      </c>
    </row>
    <row r="63" spans="2:34">
      <c r="B63">
        <v>30113.599999999999</v>
      </c>
      <c r="C63">
        <v>31.081399999999999</v>
      </c>
      <c r="D63">
        <v>30.890599999999999</v>
      </c>
      <c r="E63">
        <v>30.6676</v>
      </c>
      <c r="F63">
        <v>30.419799999999999</v>
      </c>
      <c r="I63">
        <v>32029.4</v>
      </c>
      <c r="J63">
        <v>32.8277</v>
      </c>
      <c r="K63">
        <v>32.58</v>
      </c>
      <c r="L63">
        <v>31.3765</v>
      </c>
      <c r="M63">
        <v>32.377499999999998</v>
      </c>
      <c r="P63">
        <v>34503.599999999999</v>
      </c>
      <c r="Q63">
        <v>33.1</v>
      </c>
      <c r="R63">
        <v>32.404400000000003</v>
      </c>
      <c r="S63">
        <v>31.223400000000002</v>
      </c>
      <c r="T63">
        <v>32.565199999999997</v>
      </c>
      <c r="W63">
        <v>21957.7</v>
      </c>
      <c r="X63">
        <v>24556.7</v>
      </c>
      <c r="Y63">
        <v>39697.300000000003</v>
      </c>
      <c r="Z63">
        <v>40143.5</v>
      </c>
      <c r="AA63">
        <v>38171.800000000003</v>
      </c>
      <c r="AD63">
        <v>18167.3</v>
      </c>
      <c r="AE63">
        <v>18167.7</v>
      </c>
      <c r="AF63">
        <v>37326.300000000003</v>
      </c>
      <c r="AG63">
        <v>39454.699999999997</v>
      </c>
      <c r="AH63">
        <v>38660.300000000003</v>
      </c>
    </row>
    <row r="64" spans="2:34">
      <c r="B64">
        <v>30404.400000000001</v>
      </c>
      <c r="C64">
        <v>30.505700000000001</v>
      </c>
      <c r="D64">
        <v>30.4068</v>
      </c>
      <c r="E64">
        <v>30.218699999999998</v>
      </c>
      <c r="F64">
        <v>30.504899999999999</v>
      </c>
      <c r="I64">
        <v>31170.6</v>
      </c>
      <c r="J64">
        <v>32.334899999999998</v>
      </c>
      <c r="K64">
        <v>33.640700000000002</v>
      </c>
      <c r="L64">
        <v>32.217700000000001</v>
      </c>
      <c r="M64">
        <v>32.212000000000003</v>
      </c>
      <c r="P64">
        <v>34022.9</v>
      </c>
      <c r="Q64">
        <v>32.700899999999997</v>
      </c>
      <c r="R64">
        <v>31.002300000000002</v>
      </c>
      <c r="S64">
        <v>31.9725</v>
      </c>
      <c r="T64">
        <v>31.2576</v>
      </c>
      <c r="W64">
        <v>20592.3</v>
      </c>
      <c r="X64">
        <v>20382</v>
      </c>
      <c r="Y64">
        <v>39552.400000000001</v>
      </c>
      <c r="Z64">
        <v>40276.800000000003</v>
      </c>
      <c r="AA64">
        <v>38928</v>
      </c>
      <c r="AD64">
        <v>19203.599999999999</v>
      </c>
      <c r="AE64">
        <v>18637.3</v>
      </c>
      <c r="AF64">
        <v>37088.400000000001</v>
      </c>
      <c r="AG64">
        <v>40557.9</v>
      </c>
      <c r="AH64">
        <v>38902.1</v>
      </c>
    </row>
    <row r="65" spans="2:34">
      <c r="B65">
        <v>30247.4</v>
      </c>
      <c r="C65">
        <v>30.227699999999999</v>
      </c>
      <c r="D65">
        <v>30.5716</v>
      </c>
      <c r="E65">
        <v>30.3718</v>
      </c>
      <c r="F65">
        <v>30.6511</v>
      </c>
      <c r="I65">
        <v>31770.1</v>
      </c>
      <c r="J65">
        <v>32.463000000000001</v>
      </c>
      <c r="K65">
        <v>33.029899999999998</v>
      </c>
      <c r="L65">
        <v>33.173099999999998</v>
      </c>
      <c r="M65">
        <v>31.964600000000001</v>
      </c>
      <c r="P65">
        <v>32283.5</v>
      </c>
      <c r="Q65">
        <v>31.724900000000002</v>
      </c>
      <c r="R65">
        <v>35.226100000000002</v>
      </c>
      <c r="S65">
        <v>31.249099999999999</v>
      </c>
      <c r="T65">
        <v>31.668099999999999</v>
      </c>
      <c r="W65">
        <v>19173.5</v>
      </c>
      <c r="X65">
        <v>19199.599999999999</v>
      </c>
      <c r="Y65">
        <v>42081.3</v>
      </c>
      <c r="Z65">
        <v>40589.300000000003</v>
      </c>
      <c r="AA65">
        <v>38234.1</v>
      </c>
      <c r="AD65">
        <v>18170.599999999999</v>
      </c>
      <c r="AE65">
        <v>17930.2</v>
      </c>
      <c r="AF65">
        <v>37302.400000000001</v>
      </c>
      <c r="AG65">
        <v>39128.1</v>
      </c>
      <c r="AH65">
        <v>37788.300000000003</v>
      </c>
    </row>
    <row r="66" spans="2:34">
      <c r="B66">
        <v>30521.599999999999</v>
      </c>
      <c r="C66">
        <v>30.113700000000001</v>
      </c>
      <c r="D66">
        <v>30.6267</v>
      </c>
      <c r="E66">
        <v>30.956</v>
      </c>
      <c r="F66">
        <v>30.389800000000001</v>
      </c>
      <c r="I66">
        <v>31267.7</v>
      </c>
      <c r="J66">
        <v>32.533299999999997</v>
      </c>
      <c r="K66">
        <v>33.151899999999998</v>
      </c>
      <c r="L66">
        <v>32.4604</v>
      </c>
      <c r="M66">
        <v>32.753100000000003</v>
      </c>
      <c r="P66">
        <v>30920.1</v>
      </c>
      <c r="Q66">
        <v>33.135199999999998</v>
      </c>
      <c r="R66">
        <v>35.3583</v>
      </c>
      <c r="S66">
        <v>32.535699999999999</v>
      </c>
      <c r="T66">
        <v>32.464799999999997</v>
      </c>
      <c r="W66">
        <v>19620.5</v>
      </c>
      <c r="X66">
        <v>18829.900000000001</v>
      </c>
      <c r="Y66">
        <v>38149.1</v>
      </c>
      <c r="Z66">
        <v>39805.4</v>
      </c>
      <c r="AA66">
        <v>38387.300000000003</v>
      </c>
      <c r="AD66">
        <v>18487.5</v>
      </c>
      <c r="AE66">
        <v>19342.7</v>
      </c>
      <c r="AF66">
        <v>36990.6</v>
      </c>
      <c r="AG66">
        <v>39793.199999999997</v>
      </c>
      <c r="AH66">
        <v>39356.199999999997</v>
      </c>
    </row>
    <row r="67" spans="2:34">
      <c r="B67">
        <v>30119.3</v>
      </c>
      <c r="C67">
        <v>30.4877</v>
      </c>
      <c r="D67">
        <v>30.412800000000001</v>
      </c>
      <c r="E67">
        <v>30.511900000000001</v>
      </c>
      <c r="F67">
        <v>30.252600000000001</v>
      </c>
      <c r="I67">
        <v>31867.200000000001</v>
      </c>
      <c r="J67">
        <v>33.784100000000002</v>
      </c>
      <c r="K67">
        <v>32.624000000000002</v>
      </c>
      <c r="L67">
        <v>31.533000000000001</v>
      </c>
      <c r="M67">
        <v>38.637999999999998</v>
      </c>
      <c r="P67">
        <v>32147.599999999999</v>
      </c>
      <c r="Q67">
        <v>31.264299999999999</v>
      </c>
      <c r="R67">
        <v>31.374300000000002</v>
      </c>
      <c r="S67">
        <v>32.324599999999997</v>
      </c>
      <c r="T67">
        <v>32.017099999999999</v>
      </c>
      <c r="W67">
        <v>18912.900000000001</v>
      </c>
      <c r="X67">
        <v>18892.5</v>
      </c>
      <c r="Y67">
        <v>39220.699999999997</v>
      </c>
      <c r="Z67">
        <v>40462.400000000001</v>
      </c>
      <c r="AA67">
        <v>38916.9</v>
      </c>
      <c r="AD67">
        <v>20174.2</v>
      </c>
      <c r="AE67">
        <v>19419.3</v>
      </c>
      <c r="AF67">
        <v>37989.800000000003</v>
      </c>
      <c r="AG67">
        <v>39646.800000000003</v>
      </c>
      <c r="AH67">
        <v>39377.1</v>
      </c>
    </row>
    <row r="68" spans="2:34">
      <c r="B68">
        <v>30673.7</v>
      </c>
      <c r="C68">
        <v>30.620799999999999</v>
      </c>
      <c r="D68">
        <v>30.819900000000001</v>
      </c>
      <c r="E68">
        <v>30.374700000000001</v>
      </c>
      <c r="F68">
        <v>30.4879</v>
      </c>
      <c r="I68">
        <v>34106.1</v>
      </c>
      <c r="J68">
        <v>39.2012</v>
      </c>
      <c r="K68">
        <v>34.716700000000003</v>
      </c>
      <c r="L68">
        <v>34.621200000000002</v>
      </c>
      <c r="M68">
        <v>38.793700000000001</v>
      </c>
      <c r="P68">
        <v>30698.5</v>
      </c>
      <c r="Q68">
        <v>31.317900000000002</v>
      </c>
      <c r="R68">
        <v>31.957699999999999</v>
      </c>
      <c r="S68">
        <v>31.5412</v>
      </c>
      <c r="T68">
        <v>33.360999999999997</v>
      </c>
      <c r="W68">
        <v>20545.7</v>
      </c>
      <c r="X68">
        <v>18647.099999999999</v>
      </c>
      <c r="Y68">
        <v>38668.6</v>
      </c>
      <c r="Z68">
        <v>40113.599999999999</v>
      </c>
      <c r="AA68">
        <v>42370.9</v>
      </c>
      <c r="AD68">
        <v>18886.400000000001</v>
      </c>
      <c r="AE68">
        <v>18400.5</v>
      </c>
      <c r="AF68">
        <v>38373.199999999997</v>
      </c>
      <c r="AG68">
        <v>40782.400000000001</v>
      </c>
      <c r="AH68">
        <v>38278.9</v>
      </c>
    </row>
    <row r="69" spans="2:34">
      <c r="B69">
        <v>30860.6</v>
      </c>
      <c r="C69">
        <v>30.285399999999999</v>
      </c>
      <c r="D69">
        <v>30.444500000000001</v>
      </c>
      <c r="E69">
        <v>31.1524</v>
      </c>
      <c r="F69">
        <v>30.332899999999999</v>
      </c>
      <c r="I69">
        <v>39962.699999999997</v>
      </c>
      <c r="J69">
        <v>35.543399999999998</v>
      </c>
      <c r="K69">
        <v>37.746499999999997</v>
      </c>
      <c r="L69">
        <v>36.915700000000001</v>
      </c>
      <c r="M69">
        <v>34.014200000000002</v>
      </c>
      <c r="P69">
        <v>30892.9</v>
      </c>
      <c r="Q69">
        <v>31.173100000000002</v>
      </c>
      <c r="R69">
        <v>32.113599999999998</v>
      </c>
      <c r="S69">
        <v>31.0379</v>
      </c>
      <c r="T69">
        <v>30.715699999999998</v>
      </c>
      <c r="W69">
        <v>32636.1</v>
      </c>
      <c r="X69">
        <v>27996</v>
      </c>
      <c r="Y69">
        <v>51143.9</v>
      </c>
      <c r="Z69">
        <v>42024.800000000003</v>
      </c>
      <c r="AA69">
        <v>41026.6</v>
      </c>
      <c r="AD69">
        <v>17306.3</v>
      </c>
      <c r="AE69">
        <v>18062.599999999999</v>
      </c>
      <c r="AF69">
        <v>38470.699999999997</v>
      </c>
      <c r="AG69">
        <v>45404.800000000003</v>
      </c>
      <c r="AH69">
        <v>40505</v>
      </c>
    </row>
    <row r="70" spans="2:34">
      <c r="B70">
        <v>30460.1</v>
      </c>
      <c r="C70">
        <v>37.355600000000003</v>
      </c>
      <c r="D70">
        <v>31.731200000000001</v>
      </c>
      <c r="E70">
        <v>30.881</v>
      </c>
      <c r="F70">
        <v>31.201499999999999</v>
      </c>
      <c r="I70">
        <v>32603.5</v>
      </c>
      <c r="J70">
        <v>33.061100000000003</v>
      </c>
      <c r="K70">
        <v>32.356200000000001</v>
      </c>
      <c r="L70">
        <v>44.678100000000001</v>
      </c>
      <c r="M70">
        <v>51.3887</v>
      </c>
      <c r="P70">
        <v>31156.400000000001</v>
      </c>
      <c r="Q70">
        <v>31.6813</v>
      </c>
      <c r="R70">
        <v>33.1631</v>
      </c>
      <c r="S70">
        <v>31.5154</v>
      </c>
      <c r="T70">
        <v>31.089300000000001</v>
      </c>
      <c r="W70">
        <v>23795.9</v>
      </c>
      <c r="X70">
        <v>71460.600000000006</v>
      </c>
      <c r="Y70">
        <v>45948.2</v>
      </c>
      <c r="Z70">
        <v>46322</v>
      </c>
      <c r="AA70">
        <v>40533.4</v>
      </c>
      <c r="AD70">
        <v>21828.7</v>
      </c>
      <c r="AE70">
        <v>19339.8</v>
      </c>
      <c r="AF70">
        <v>38642.800000000003</v>
      </c>
      <c r="AG70">
        <v>40425.300000000003</v>
      </c>
      <c r="AH70">
        <v>38248.400000000001</v>
      </c>
    </row>
    <row r="71" spans="2:34">
      <c r="B71">
        <v>30779.5</v>
      </c>
      <c r="C71">
        <v>31.601900000000001</v>
      </c>
      <c r="D71">
        <v>31.591699999999999</v>
      </c>
      <c r="E71">
        <v>31.365500000000001</v>
      </c>
      <c r="F71">
        <v>30.748699999999999</v>
      </c>
      <c r="I71">
        <v>46074.2</v>
      </c>
      <c r="J71">
        <v>34.156300000000002</v>
      </c>
      <c r="K71">
        <v>33.709600000000002</v>
      </c>
      <c r="L71">
        <v>33.5627</v>
      </c>
      <c r="M71">
        <v>32.480499999999999</v>
      </c>
      <c r="P71">
        <v>32015.9</v>
      </c>
      <c r="Q71">
        <v>31.445499999999999</v>
      </c>
      <c r="R71">
        <v>31.927</v>
      </c>
      <c r="S71">
        <v>30.871099999999998</v>
      </c>
      <c r="T71">
        <v>30.7438</v>
      </c>
      <c r="W71">
        <v>21469.3</v>
      </c>
      <c r="X71">
        <v>19529.599999999999</v>
      </c>
      <c r="Y71">
        <v>41178.5</v>
      </c>
      <c r="Z71">
        <v>42005.5</v>
      </c>
      <c r="AA71">
        <v>41119.9</v>
      </c>
      <c r="AD71">
        <v>18596.099999999999</v>
      </c>
      <c r="AE71">
        <v>19111.400000000001</v>
      </c>
      <c r="AF71">
        <v>37415.9</v>
      </c>
      <c r="AG71">
        <v>40236.800000000003</v>
      </c>
      <c r="AH71">
        <v>39904.1</v>
      </c>
    </row>
    <row r="72" spans="2:34">
      <c r="B72">
        <v>30613.8</v>
      </c>
      <c r="C72">
        <v>31.140499999999999</v>
      </c>
      <c r="D72">
        <v>30.962499999999999</v>
      </c>
      <c r="E72">
        <v>31.354500000000002</v>
      </c>
      <c r="F72">
        <v>31.332100000000001</v>
      </c>
      <c r="I72">
        <v>34050.9</v>
      </c>
      <c r="J72">
        <v>33.156799999999997</v>
      </c>
      <c r="K72">
        <v>33.490299999999998</v>
      </c>
      <c r="L72">
        <v>33.2926</v>
      </c>
      <c r="M72">
        <v>32.547499999999999</v>
      </c>
      <c r="P72">
        <v>30960.5</v>
      </c>
      <c r="Q72">
        <v>32.462600000000002</v>
      </c>
      <c r="R72">
        <v>31.3962</v>
      </c>
      <c r="S72">
        <v>32.124200000000002</v>
      </c>
      <c r="T72">
        <v>32.319899999999997</v>
      </c>
      <c r="W72">
        <v>20370.3</v>
      </c>
      <c r="X72">
        <v>20346.3</v>
      </c>
      <c r="Y72">
        <v>39854.699999999997</v>
      </c>
      <c r="Z72">
        <v>57089</v>
      </c>
      <c r="AA72">
        <v>52708.1</v>
      </c>
      <c r="AD72">
        <v>20926.900000000001</v>
      </c>
      <c r="AE72">
        <v>19728.400000000001</v>
      </c>
      <c r="AF72">
        <v>37618.800000000003</v>
      </c>
      <c r="AG72">
        <v>49002.1</v>
      </c>
      <c r="AH72">
        <v>41158.400000000001</v>
      </c>
    </row>
    <row r="73" spans="2:34">
      <c r="B73">
        <v>30755.5</v>
      </c>
      <c r="C73">
        <v>31.307099999999998</v>
      </c>
      <c r="D73">
        <v>32.342199999999998</v>
      </c>
      <c r="E73">
        <v>31.249099999999999</v>
      </c>
      <c r="F73">
        <v>30.392800000000001</v>
      </c>
      <c r="I73">
        <v>31703.1</v>
      </c>
      <c r="J73">
        <v>34.497500000000002</v>
      </c>
      <c r="K73">
        <v>34.257800000000003</v>
      </c>
      <c r="L73">
        <v>38.081499999999998</v>
      </c>
      <c r="M73">
        <v>37.603900000000003</v>
      </c>
      <c r="P73">
        <v>32161.9</v>
      </c>
      <c r="Q73">
        <v>31.878299999999999</v>
      </c>
      <c r="R73">
        <v>31.666899999999998</v>
      </c>
      <c r="S73">
        <v>30.888300000000001</v>
      </c>
      <c r="T73">
        <v>30.981999999999999</v>
      </c>
      <c r="W73">
        <v>20413.8</v>
      </c>
      <c r="X73">
        <v>21250.6</v>
      </c>
      <c r="Y73">
        <v>40343.4</v>
      </c>
      <c r="Z73">
        <v>45865</v>
      </c>
      <c r="AA73">
        <v>41551.300000000003</v>
      </c>
      <c r="AD73">
        <v>19010.599999999999</v>
      </c>
      <c r="AE73">
        <v>18131.7</v>
      </c>
      <c r="AF73">
        <v>36850.6</v>
      </c>
      <c r="AG73">
        <v>40903.800000000003</v>
      </c>
      <c r="AH73">
        <v>38870.300000000003</v>
      </c>
    </row>
    <row r="74" spans="2:34">
      <c r="B74">
        <v>31264.3</v>
      </c>
      <c r="C74">
        <v>31.3749</v>
      </c>
      <c r="D74">
        <v>30.916</v>
      </c>
      <c r="E74">
        <v>31.8841</v>
      </c>
      <c r="F74">
        <v>31.8721</v>
      </c>
      <c r="I74">
        <v>73095.7</v>
      </c>
      <c r="J74">
        <v>37.775700000000001</v>
      </c>
      <c r="K74">
        <v>37.6569</v>
      </c>
      <c r="L74">
        <v>32.708100000000002</v>
      </c>
      <c r="M74">
        <v>31.982800000000001</v>
      </c>
      <c r="P74">
        <v>31267.8</v>
      </c>
      <c r="Q74">
        <v>31.995999999999999</v>
      </c>
      <c r="R74">
        <v>32.299199999999999</v>
      </c>
      <c r="S74">
        <v>32.506500000000003</v>
      </c>
      <c r="T74">
        <v>32.087200000000003</v>
      </c>
      <c r="W74">
        <v>20014.8</v>
      </c>
      <c r="X74">
        <v>19403.2</v>
      </c>
      <c r="Y74">
        <v>41759.699999999997</v>
      </c>
      <c r="Z74">
        <v>44871.9</v>
      </c>
      <c r="AA74">
        <v>40943.1</v>
      </c>
      <c r="AD74">
        <v>19197.3</v>
      </c>
      <c r="AE74">
        <v>22493.1</v>
      </c>
      <c r="AF74">
        <v>37910.6</v>
      </c>
      <c r="AG74">
        <v>41169.699999999997</v>
      </c>
      <c r="AH74">
        <v>38008.699999999997</v>
      </c>
    </row>
    <row r="75" spans="2:34">
      <c r="B75">
        <v>31620.9</v>
      </c>
      <c r="C75">
        <v>33.043399999999998</v>
      </c>
      <c r="D75">
        <v>31.66</v>
      </c>
      <c r="E75">
        <v>32.668599999999998</v>
      </c>
      <c r="F75">
        <v>31.010200000000001</v>
      </c>
      <c r="I75">
        <v>39763.300000000003</v>
      </c>
      <c r="J75">
        <v>36.773000000000003</v>
      </c>
      <c r="K75">
        <v>40.7727</v>
      </c>
      <c r="L75">
        <v>34.307200000000002</v>
      </c>
      <c r="M75">
        <v>34.959000000000003</v>
      </c>
      <c r="P75">
        <v>32389.4</v>
      </c>
      <c r="Q75">
        <v>32.138399999999997</v>
      </c>
      <c r="R75">
        <v>32.354900000000001</v>
      </c>
      <c r="S75">
        <v>34.529600000000002</v>
      </c>
      <c r="T75">
        <v>33.494799999999998</v>
      </c>
      <c r="W75">
        <v>21473.1</v>
      </c>
      <c r="X75">
        <v>20169.2</v>
      </c>
      <c r="Y75">
        <v>40558.1</v>
      </c>
      <c r="Z75">
        <v>40724.6</v>
      </c>
      <c r="AA75">
        <v>40429</v>
      </c>
      <c r="AD75">
        <v>19966.099999999999</v>
      </c>
      <c r="AE75">
        <v>18273.099999999999</v>
      </c>
      <c r="AF75">
        <v>37824.800000000003</v>
      </c>
      <c r="AG75">
        <v>45537.1</v>
      </c>
      <c r="AH75">
        <v>38929.1</v>
      </c>
    </row>
    <row r="76" spans="2:34">
      <c r="B76">
        <v>31110.2</v>
      </c>
      <c r="C76">
        <v>31.6585</v>
      </c>
      <c r="D76">
        <v>31.696899999999999</v>
      </c>
      <c r="E76">
        <v>31.467600000000001</v>
      </c>
      <c r="F76">
        <v>30.957599999999999</v>
      </c>
      <c r="I76">
        <v>36234.699999999997</v>
      </c>
      <c r="J76">
        <v>36.785299999999999</v>
      </c>
      <c r="K76">
        <v>35.929900000000004</v>
      </c>
      <c r="L76">
        <v>34.120699999999999</v>
      </c>
      <c r="M76">
        <v>36.4084</v>
      </c>
      <c r="P76">
        <v>33426.800000000003</v>
      </c>
      <c r="Q76">
        <v>33.745600000000003</v>
      </c>
      <c r="R76">
        <v>34.802500000000002</v>
      </c>
      <c r="S76">
        <v>41.862099999999998</v>
      </c>
      <c r="T76">
        <v>35.07</v>
      </c>
      <c r="W76">
        <v>20615.7</v>
      </c>
      <c r="X76">
        <v>21087.5</v>
      </c>
      <c r="Y76">
        <v>38968.6</v>
      </c>
      <c r="Z76">
        <v>40294.199999999997</v>
      </c>
      <c r="AA76">
        <v>38520.300000000003</v>
      </c>
      <c r="AD76">
        <v>18702.7</v>
      </c>
      <c r="AE76">
        <v>18283</v>
      </c>
      <c r="AF76">
        <v>37416.5</v>
      </c>
      <c r="AG76">
        <v>40217.199999999997</v>
      </c>
      <c r="AH76">
        <v>38857</v>
      </c>
    </row>
    <row r="77" spans="2:34">
      <c r="B77">
        <v>30750.2</v>
      </c>
      <c r="C77">
        <v>31.160900000000002</v>
      </c>
      <c r="D77">
        <v>31.206600000000002</v>
      </c>
      <c r="E77">
        <v>31.7515</v>
      </c>
      <c r="F77">
        <v>30.649000000000001</v>
      </c>
      <c r="I77">
        <v>35963.699999999997</v>
      </c>
      <c r="J77">
        <v>34.962499999999999</v>
      </c>
      <c r="K77">
        <v>32.823900000000002</v>
      </c>
      <c r="L77">
        <v>31.984300000000001</v>
      </c>
      <c r="M77">
        <v>32.049300000000002</v>
      </c>
      <c r="P77">
        <v>33356.300000000003</v>
      </c>
      <c r="Q77">
        <v>31.7363</v>
      </c>
      <c r="R77">
        <v>32.508600000000001</v>
      </c>
      <c r="S77">
        <v>32.414499999999997</v>
      </c>
      <c r="T77">
        <v>31.791799999999999</v>
      </c>
      <c r="W77">
        <v>19556.2</v>
      </c>
      <c r="X77">
        <v>19017.5</v>
      </c>
      <c r="Y77">
        <v>38476.5</v>
      </c>
      <c r="Z77">
        <v>43922.3</v>
      </c>
      <c r="AA77">
        <v>46004.800000000003</v>
      </c>
      <c r="AD77">
        <v>18469</v>
      </c>
      <c r="AE77">
        <v>17858.7</v>
      </c>
      <c r="AF77">
        <v>39282.199999999997</v>
      </c>
      <c r="AG77">
        <v>39783.1</v>
      </c>
      <c r="AH77">
        <v>37623.599999999999</v>
      </c>
    </row>
    <row r="78" spans="2:34">
      <c r="B78">
        <v>32266.9</v>
      </c>
      <c r="C78">
        <v>30.3538</v>
      </c>
      <c r="D78">
        <v>31.024799999999999</v>
      </c>
      <c r="E78">
        <v>31.048999999999999</v>
      </c>
      <c r="F78">
        <v>30.140899999999998</v>
      </c>
      <c r="I78">
        <v>31439.200000000001</v>
      </c>
      <c r="J78">
        <v>31.714099999999998</v>
      </c>
      <c r="K78">
        <v>32.1004</v>
      </c>
      <c r="L78">
        <v>33.8003</v>
      </c>
      <c r="M78">
        <v>33.481200000000001</v>
      </c>
      <c r="P78">
        <v>31037.8</v>
      </c>
      <c r="Q78">
        <v>32.620800000000003</v>
      </c>
      <c r="R78">
        <v>32.083399999999997</v>
      </c>
      <c r="S78">
        <v>31.626799999999999</v>
      </c>
      <c r="T78">
        <v>32.009099999999997</v>
      </c>
      <c r="W78">
        <v>39386.5</v>
      </c>
      <c r="X78">
        <v>23286.1</v>
      </c>
      <c r="Y78">
        <v>49290.3</v>
      </c>
      <c r="Z78">
        <v>41356.699999999997</v>
      </c>
      <c r="AA78">
        <v>41572.1</v>
      </c>
      <c r="AD78">
        <v>18161.7</v>
      </c>
      <c r="AE78">
        <v>17974.900000000001</v>
      </c>
      <c r="AF78">
        <v>37446</v>
      </c>
      <c r="AG78">
        <v>40464</v>
      </c>
      <c r="AH78">
        <v>38020.5</v>
      </c>
    </row>
    <row r="79" spans="2:34">
      <c r="B79">
        <v>30273.7</v>
      </c>
      <c r="C79">
        <v>30.5656</v>
      </c>
      <c r="D79">
        <v>30.845700000000001</v>
      </c>
      <c r="E79">
        <v>30.520499999999998</v>
      </c>
      <c r="F79">
        <v>30.232199999999999</v>
      </c>
      <c r="I79">
        <v>33112.300000000003</v>
      </c>
      <c r="J79">
        <v>33.907800000000002</v>
      </c>
      <c r="K79">
        <v>33.902000000000001</v>
      </c>
      <c r="L79">
        <v>36.834800000000001</v>
      </c>
      <c r="M79">
        <v>34.835999999999999</v>
      </c>
      <c r="P79">
        <v>31227.7</v>
      </c>
      <c r="Q79">
        <v>32.073300000000003</v>
      </c>
      <c r="R79">
        <v>32.781399999999998</v>
      </c>
      <c r="S79">
        <v>32.9313</v>
      </c>
      <c r="T79">
        <v>32.369500000000002</v>
      </c>
      <c r="W79">
        <v>19739.7</v>
      </c>
      <c r="X79">
        <v>36954</v>
      </c>
      <c r="Y79">
        <v>61161</v>
      </c>
      <c r="Z79">
        <v>44667</v>
      </c>
      <c r="AA79">
        <v>46966.7</v>
      </c>
      <c r="AD79">
        <v>18177.5</v>
      </c>
      <c r="AE79">
        <v>17722.2</v>
      </c>
      <c r="AF79">
        <v>38273.699999999997</v>
      </c>
      <c r="AG79">
        <v>41297</v>
      </c>
      <c r="AH79">
        <v>37844.800000000003</v>
      </c>
    </row>
    <row r="80" spans="2:34">
      <c r="B80">
        <v>30392.6</v>
      </c>
      <c r="C80">
        <v>30.148499999999999</v>
      </c>
      <c r="D80">
        <v>30.8629</v>
      </c>
      <c r="E80">
        <v>30.683399999999999</v>
      </c>
      <c r="F80">
        <v>30.351700000000001</v>
      </c>
      <c r="I80">
        <v>33007.800000000003</v>
      </c>
      <c r="J80">
        <v>32.2849</v>
      </c>
      <c r="K80">
        <v>33.587200000000003</v>
      </c>
      <c r="L80">
        <v>33.084600000000002</v>
      </c>
      <c r="M80">
        <v>32.117699999999999</v>
      </c>
      <c r="P80">
        <v>36172</v>
      </c>
      <c r="Q80">
        <v>32.652099999999997</v>
      </c>
      <c r="R80">
        <v>33.142800000000001</v>
      </c>
      <c r="S80">
        <v>32.099499999999999</v>
      </c>
      <c r="T80">
        <v>31.758199999999999</v>
      </c>
      <c r="W80">
        <v>20052</v>
      </c>
      <c r="X80">
        <v>19211.400000000001</v>
      </c>
      <c r="Y80">
        <v>42565.8</v>
      </c>
      <c r="Z80">
        <v>40554.300000000003</v>
      </c>
      <c r="AA80">
        <v>38086.199999999997</v>
      </c>
      <c r="AD80">
        <v>18696.8</v>
      </c>
      <c r="AE80">
        <v>18348.8</v>
      </c>
      <c r="AF80">
        <v>37269.300000000003</v>
      </c>
      <c r="AG80">
        <v>40794.6</v>
      </c>
      <c r="AH80">
        <v>38964.9</v>
      </c>
    </row>
    <row r="81" spans="2:34">
      <c r="B81">
        <v>30033.9</v>
      </c>
      <c r="C81">
        <v>31.139099999999999</v>
      </c>
      <c r="D81">
        <v>30.3447</v>
      </c>
      <c r="E81">
        <v>30.6036</v>
      </c>
      <c r="F81">
        <v>30.892800000000001</v>
      </c>
      <c r="I81">
        <v>35036.6</v>
      </c>
      <c r="J81">
        <v>35.218800000000002</v>
      </c>
      <c r="K81">
        <v>37.093800000000002</v>
      </c>
      <c r="L81">
        <v>32.908700000000003</v>
      </c>
      <c r="M81">
        <v>32.679299999999998</v>
      </c>
      <c r="P81">
        <v>31543.9</v>
      </c>
      <c r="Q81">
        <v>31.861999999999998</v>
      </c>
      <c r="R81">
        <v>31.6296</v>
      </c>
      <c r="S81">
        <v>31.224299999999999</v>
      </c>
      <c r="T81">
        <v>31.658999999999999</v>
      </c>
      <c r="W81">
        <v>19194.5</v>
      </c>
      <c r="X81">
        <v>18183</v>
      </c>
      <c r="Y81">
        <v>48107.1</v>
      </c>
      <c r="Z81">
        <v>42164.3</v>
      </c>
      <c r="AA81">
        <v>39236.199999999997</v>
      </c>
      <c r="AD81">
        <v>19044.099999999999</v>
      </c>
      <c r="AE81">
        <v>18150.900000000001</v>
      </c>
      <c r="AF81">
        <v>39667.5</v>
      </c>
      <c r="AG81">
        <v>41516.699999999997</v>
      </c>
      <c r="AH81">
        <v>38468.699999999997</v>
      </c>
    </row>
    <row r="82" spans="2:34">
      <c r="B82">
        <v>30369.8</v>
      </c>
      <c r="C82">
        <v>30.181799999999999</v>
      </c>
      <c r="D82">
        <v>30.8566</v>
      </c>
      <c r="E82">
        <v>30.278600000000001</v>
      </c>
      <c r="F82">
        <v>30.355</v>
      </c>
      <c r="I82">
        <v>32514</v>
      </c>
      <c r="J82">
        <v>40.232900000000001</v>
      </c>
      <c r="K82">
        <v>35.480200000000004</v>
      </c>
      <c r="L82">
        <v>33.031700000000001</v>
      </c>
      <c r="M82">
        <v>32.807200000000002</v>
      </c>
      <c r="P82">
        <v>31614.799999999999</v>
      </c>
      <c r="Q82">
        <v>33.174300000000002</v>
      </c>
      <c r="R82">
        <v>31.816700000000001</v>
      </c>
      <c r="S82">
        <v>32.709499999999998</v>
      </c>
      <c r="T82">
        <v>32.402099999999997</v>
      </c>
      <c r="W82">
        <v>18837.5</v>
      </c>
      <c r="X82">
        <v>19325.099999999999</v>
      </c>
      <c r="Y82">
        <v>38031.800000000003</v>
      </c>
      <c r="Z82">
        <v>40614.800000000003</v>
      </c>
      <c r="AA82">
        <v>39457.9</v>
      </c>
      <c r="AD82">
        <v>22942.6</v>
      </c>
      <c r="AE82">
        <v>19371.599999999999</v>
      </c>
      <c r="AF82">
        <v>37441.4</v>
      </c>
      <c r="AG82">
        <v>40103</v>
      </c>
      <c r="AH82">
        <v>39566.300000000003</v>
      </c>
    </row>
    <row r="83" spans="2:34">
      <c r="B83">
        <v>30223.8</v>
      </c>
      <c r="C83">
        <v>30.9895</v>
      </c>
      <c r="D83">
        <v>30.196100000000001</v>
      </c>
      <c r="E83">
        <v>30.2681</v>
      </c>
      <c r="F83">
        <v>30.283899999999999</v>
      </c>
      <c r="I83">
        <v>33618.300000000003</v>
      </c>
      <c r="J83">
        <v>32.7729</v>
      </c>
      <c r="K83">
        <v>34.950699999999998</v>
      </c>
      <c r="L83">
        <v>32.2301</v>
      </c>
      <c r="M83">
        <v>32.001600000000003</v>
      </c>
      <c r="P83">
        <v>31169.4</v>
      </c>
      <c r="Q83">
        <v>32.578000000000003</v>
      </c>
      <c r="R83">
        <v>32.482100000000003</v>
      </c>
      <c r="S83">
        <v>30.941400000000002</v>
      </c>
      <c r="T83">
        <v>31.364899999999999</v>
      </c>
      <c r="W83">
        <v>19690.7</v>
      </c>
      <c r="X83">
        <v>19319</v>
      </c>
      <c r="Y83">
        <v>38867.699999999997</v>
      </c>
      <c r="Z83">
        <v>41096.800000000003</v>
      </c>
      <c r="AA83">
        <v>58792.7</v>
      </c>
      <c r="AD83">
        <v>19858.7</v>
      </c>
      <c r="AE83">
        <v>18404.900000000001</v>
      </c>
      <c r="AF83">
        <v>37746.300000000003</v>
      </c>
      <c r="AG83">
        <v>40342.9</v>
      </c>
      <c r="AH83">
        <v>48059.7</v>
      </c>
    </row>
    <row r="84" spans="2:34">
      <c r="B84">
        <v>30827.7</v>
      </c>
      <c r="C84">
        <v>30.171299999999999</v>
      </c>
      <c r="D84">
        <v>30.550899999999999</v>
      </c>
      <c r="E84">
        <v>30.201899999999998</v>
      </c>
      <c r="F84">
        <v>30.6206</v>
      </c>
      <c r="I84">
        <v>32506</v>
      </c>
      <c r="J84">
        <v>32.703200000000002</v>
      </c>
      <c r="K84">
        <v>31.986000000000001</v>
      </c>
      <c r="L84">
        <v>31.7562</v>
      </c>
      <c r="M84">
        <v>32.705199999999998</v>
      </c>
      <c r="P84">
        <v>31220.6</v>
      </c>
      <c r="Q84">
        <v>31.331499999999998</v>
      </c>
      <c r="R84">
        <v>32.522599999999997</v>
      </c>
      <c r="S84">
        <v>30.984300000000001</v>
      </c>
      <c r="T84">
        <v>30.759399999999999</v>
      </c>
      <c r="W84">
        <v>24813.5</v>
      </c>
      <c r="X84">
        <v>40285.9</v>
      </c>
      <c r="Y84">
        <v>40357.1</v>
      </c>
      <c r="Z84">
        <v>41740.6</v>
      </c>
      <c r="AA84">
        <v>45678.5</v>
      </c>
      <c r="AD84">
        <v>18168.5</v>
      </c>
      <c r="AE84">
        <v>20561.5</v>
      </c>
      <c r="AF84">
        <v>38214.9</v>
      </c>
      <c r="AG84">
        <v>40066</v>
      </c>
      <c r="AH84">
        <v>39885.300000000003</v>
      </c>
    </row>
    <row r="85" spans="2:34">
      <c r="B85">
        <v>30074</v>
      </c>
      <c r="C85">
        <v>30.967400000000001</v>
      </c>
      <c r="D85">
        <v>30.200900000000001</v>
      </c>
      <c r="E85">
        <v>30.991900000000001</v>
      </c>
      <c r="F85">
        <v>30.403199999999998</v>
      </c>
      <c r="I85">
        <v>32035.1</v>
      </c>
      <c r="J85">
        <v>33.055199999999999</v>
      </c>
      <c r="K85">
        <v>33.410400000000003</v>
      </c>
      <c r="L85">
        <v>31.8673</v>
      </c>
      <c r="M85">
        <v>31.027999999999999</v>
      </c>
      <c r="P85">
        <v>31160.9</v>
      </c>
      <c r="Q85">
        <v>31.6052</v>
      </c>
      <c r="R85">
        <v>31.0792</v>
      </c>
      <c r="S85">
        <v>31.9893</v>
      </c>
      <c r="T85">
        <v>31.865300000000001</v>
      </c>
      <c r="W85">
        <v>21573.3</v>
      </c>
      <c r="X85">
        <v>19738.5</v>
      </c>
      <c r="Y85">
        <v>41364.9</v>
      </c>
      <c r="Z85">
        <v>48540.4</v>
      </c>
      <c r="AA85">
        <v>38209.699999999997</v>
      </c>
      <c r="AD85">
        <v>18845.599999999999</v>
      </c>
      <c r="AE85">
        <v>18826.400000000001</v>
      </c>
      <c r="AF85">
        <v>36887.599999999999</v>
      </c>
      <c r="AG85">
        <v>43221.2</v>
      </c>
      <c r="AH85">
        <v>37473.4</v>
      </c>
    </row>
    <row r="86" spans="2:34">
      <c r="B86">
        <v>30171.8</v>
      </c>
      <c r="C86">
        <v>30.0578</v>
      </c>
      <c r="D86">
        <v>31.943100000000001</v>
      </c>
      <c r="E86">
        <v>30.3871</v>
      </c>
      <c r="F86">
        <v>30.593399999999999</v>
      </c>
      <c r="I86">
        <v>32034.400000000001</v>
      </c>
      <c r="J86">
        <v>32.902900000000002</v>
      </c>
      <c r="K86">
        <v>32.250599999999999</v>
      </c>
      <c r="L86">
        <v>32.053100000000001</v>
      </c>
      <c r="M86">
        <v>32.144300000000001</v>
      </c>
      <c r="P86">
        <v>31244.1</v>
      </c>
      <c r="Q86">
        <v>31.389199999999999</v>
      </c>
      <c r="R86">
        <v>31.908000000000001</v>
      </c>
      <c r="S86">
        <v>30.859300000000001</v>
      </c>
      <c r="T86">
        <v>31.055800000000001</v>
      </c>
      <c r="W86">
        <v>20561.2</v>
      </c>
      <c r="X86">
        <v>21453.200000000001</v>
      </c>
      <c r="Y86">
        <v>50601.3</v>
      </c>
      <c r="Z86">
        <v>42238.9</v>
      </c>
      <c r="AA86">
        <v>38765.1</v>
      </c>
      <c r="AD86">
        <v>18539.3</v>
      </c>
      <c r="AE86">
        <v>18614.7</v>
      </c>
      <c r="AF86">
        <v>37108.5</v>
      </c>
      <c r="AG86">
        <v>39051.300000000003</v>
      </c>
      <c r="AH86">
        <v>36682.1</v>
      </c>
    </row>
    <row r="87" spans="2:34">
      <c r="B87">
        <v>30339.599999999999</v>
      </c>
      <c r="C87">
        <v>31.143799999999999</v>
      </c>
      <c r="D87">
        <v>32.335500000000003</v>
      </c>
      <c r="E87">
        <v>30.9941</v>
      </c>
      <c r="F87">
        <v>30.903099999999998</v>
      </c>
      <c r="I87">
        <v>31684.3</v>
      </c>
      <c r="J87">
        <v>32.5319</v>
      </c>
      <c r="K87">
        <v>32.315300000000001</v>
      </c>
      <c r="L87">
        <v>32.311</v>
      </c>
      <c r="M87">
        <v>33.260199999999998</v>
      </c>
      <c r="P87">
        <v>30761</v>
      </c>
      <c r="Q87">
        <v>31.119800000000001</v>
      </c>
      <c r="R87">
        <v>31.666799999999999</v>
      </c>
      <c r="S87">
        <v>31.141200000000001</v>
      </c>
      <c r="T87">
        <v>31.274899999999999</v>
      </c>
      <c r="W87">
        <v>24387.1</v>
      </c>
      <c r="X87">
        <v>23977.7</v>
      </c>
      <c r="Y87">
        <v>38593.599999999999</v>
      </c>
      <c r="Z87">
        <v>41529.5</v>
      </c>
      <c r="AA87">
        <v>41981.5</v>
      </c>
      <c r="AD87">
        <v>18497.900000000001</v>
      </c>
      <c r="AE87">
        <v>17021.900000000001</v>
      </c>
      <c r="AF87">
        <v>37100.699999999997</v>
      </c>
      <c r="AG87">
        <v>39419.5</v>
      </c>
      <c r="AH87">
        <v>37252</v>
      </c>
    </row>
    <row r="88" spans="2:34">
      <c r="B88">
        <v>30483.9</v>
      </c>
      <c r="C88">
        <v>30.938400000000001</v>
      </c>
      <c r="D88">
        <v>30.411799999999999</v>
      </c>
      <c r="E88">
        <v>30.853999999999999</v>
      </c>
      <c r="F88">
        <v>30.328900000000001</v>
      </c>
      <c r="I88">
        <v>32905.5</v>
      </c>
      <c r="J88">
        <v>31.759</v>
      </c>
      <c r="K88">
        <v>32.069899999999997</v>
      </c>
      <c r="L88">
        <v>34.957700000000003</v>
      </c>
      <c r="M88">
        <v>31.290900000000001</v>
      </c>
      <c r="P88">
        <v>32196.3</v>
      </c>
      <c r="Q88">
        <v>31.678899999999999</v>
      </c>
      <c r="R88">
        <v>31.887699999999999</v>
      </c>
      <c r="S88">
        <v>30.847200000000001</v>
      </c>
      <c r="T88">
        <v>30.6754</v>
      </c>
      <c r="W88">
        <v>21408.7</v>
      </c>
      <c r="X88">
        <v>19017.2</v>
      </c>
      <c r="Y88">
        <v>38996.1</v>
      </c>
      <c r="Z88">
        <v>41916.199999999997</v>
      </c>
      <c r="AA88">
        <v>50716.6</v>
      </c>
      <c r="AD88">
        <v>17723.2</v>
      </c>
      <c r="AE88">
        <v>17070.900000000001</v>
      </c>
      <c r="AF88">
        <v>36642</v>
      </c>
      <c r="AG88">
        <v>39243.199999999997</v>
      </c>
      <c r="AH88">
        <v>36978.300000000003</v>
      </c>
    </row>
    <row r="89" spans="2:34">
      <c r="B89">
        <v>30482.400000000001</v>
      </c>
      <c r="C89">
        <v>30.278500000000001</v>
      </c>
      <c r="D89">
        <v>30.7699</v>
      </c>
      <c r="E89">
        <v>30.5413</v>
      </c>
      <c r="F89">
        <v>30.177199999999999</v>
      </c>
      <c r="I89">
        <v>32143.9</v>
      </c>
      <c r="J89">
        <v>34.549500000000002</v>
      </c>
      <c r="K89">
        <v>32.975900000000003</v>
      </c>
      <c r="L89">
        <v>41.233699999999999</v>
      </c>
      <c r="M89">
        <v>44.896900000000002</v>
      </c>
      <c r="P89">
        <v>31129.3</v>
      </c>
      <c r="Q89">
        <v>30.710899999999999</v>
      </c>
      <c r="R89">
        <v>31.290700000000001</v>
      </c>
      <c r="S89">
        <v>31.459700000000002</v>
      </c>
      <c r="T89">
        <v>31.056999999999999</v>
      </c>
      <c r="W89">
        <v>32224.7</v>
      </c>
      <c r="X89">
        <v>24525.5</v>
      </c>
      <c r="Y89">
        <v>41109.9</v>
      </c>
      <c r="Z89">
        <v>41379.5</v>
      </c>
      <c r="AA89">
        <v>39090.5</v>
      </c>
      <c r="AD89">
        <v>21623.3</v>
      </c>
      <c r="AE89">
        <v>17296.7</v>
      </c>
      <c r="AF89">
        <v>36379.5</v>
      </c>
      <c r="AG89">
        <v>38894.1</v>
      </c>
      <c r="AH89">
        <v>39235.5</v>
      </c>
    </row>
    <row r="90" spans="2:34">
      <c r="B90">
        <v>30831.8</v>
      </c>
      <c r="C90">
        <v>30.462</v>
      </c>
      <c r="D90">
        <v>30.3307</v>
      </c>
      <c r="E90">
        <v>31.108699999999999</v>
      </c>
      <c r="F90">
        <v>31.626999999999999</v>
      </c>
      <c r="I90">
        <v>34669.9</v>
      </c>
      <c r="J90">
        <v>35.311300000000003</v>
      </c>
      <c r="K90">
        <v>37.105800000000002</v>
      </c>
      <c r="L90">
        <v>35.872900000000001</v>
      </c>
      <c r="M90">
        <v>32.998800000000003</v>
      </c>
      <c r="P90">
        <v>31248.1</v>
      </c>
      <c r="Q90">
        <v>31.7408</v>
      </c>
      <c r="R90">
        <v>31.725999999999999</v>
      </c>
      <c r="S90">
        <v>31.332699999999999</v>
      </c>
      <c r="T90">
        <v>30.868099999999998</v>
      </c>
      <c r="W90">
        <v>19337.599999999999</v>
      </c>
      <c r="X90">
        <v>19976.5</v>
      </c>
      <c r="Y90">
        <v>38267.599999999999</v>
      </c>
      <c r="Z90">
        <v>40608.800000000003</v>
      </c>
      <c r="AA90">
        <v>39380.199999999997</v>
      </c>
      <c r="AD90">
        <v>18407.2</v>
      </c>
      <c r="AE90">
        <v>17564.7</v>
      </c>
      <c r="AF90">
        <v>36632</v>
      </c>
      <c r="AG90">
        <v>39144.1</v>
      </c>
      <c r="AH90">
        <v>37567.4</v>
      </c>
    </row>
    <row r="91" spans="2:34">
      <c r="B91">
        <v>30826.6</v>
      </c>
      <c r="C91">
        <v>30.821100000000001</v>
      </c>
      <c r="D91">
        <v>30.652100000000001</v>
      </c>
      <c r="E91">
        <v>30.077300000000001</v>
      </c>
      <c r="F91">
        <v>30.366099999999999</v>
      </c>
      <c r="I91">
        <v>34169</v>
      </c>
      <c r="J91">
        <v>32.964700000000001</v>
      </c>
      <c r="K91">
        <v>35.944099999999999</v>
      </c>
      <c r="L91">
        <v>35.394799999999996</v>
      </c>
      <c r="M91">
        <v>33.780700000000003</v>
      </c>
      <c r="P91">
        <v>30920.2</v>
      </c>
      <c r="Q91">
        <v>30.827400000000001</v>
      </c>
      <c r="R91">
        <v>31.0624</v>
      </c>
      <c r="S91">
        <v>31.485600000000002</v>
      </c>
      <c r="T91">
        <v>31.0093</v>
      </c>
      <c r="W91">
        <v>21093.9</v>
      </c>
      <c r="X91">
        <v>19773.400000000001</v>
      </c>
      <c r="Y91">
        <v>38574.800000000003</v>
      </c>
      <c r="Z91">
        <v>41122.199999999997</v>
      </c>
      <c r="AA91">
        <v>39251.300000000003</v>
      </c>
      <c r="AD91">
        <v>21355.599999999999</v>
      </c>
      <c r="AE91">
        <v>17758.5</v>
      </c>
      <c r="AF91">
        <v>36501.5</v>
      </c>
      <c r="AG91">
        <v>40362.1</v>
      </c>
      <c r="AH91">
        <v>38117.9</v>
      </c>
    </row>
    <row r="92" spans="2:34">
      <c r="B92">
        <v>31014.5</v>
      </c>
      <c r="C92">
        <v>31.113700000000001</v>
      </c>
      <c r="D92">
        <v>31.0733</v>
      </c>
      <c r="E92">
        <v>30.4026</v>
      </c>
      <c r="F92">
        <v>30.2622</v>
      </c>
      <c r="I92">
        <v>36051.5</v>
      </c>
      <c r="J92">
        <v>33.272199999999998</v>
      </c>
      <c r="K92">
        <v>36.247399999999999</v>
      </c>
      <c r="L92">
        <v>32.352699999999999</v>
      </c>
      <c r="M92">
        <v>36.564900000000002</v>
      </c>
      <c r="P92">
        <v>31111.200000000001</v>
      </c>
      <c r="Q92">
        <v>31.741199999999999</v>
      </c>
      <c r="R92">
        <v>31.9208</v>
      </c>
      <c r="S92">
        <v>31.325299999999999</v>
      </c>
      <c r="T92">
        <v>30.9406</v>
      </c>
      <c r="W92">
        <v>20589.8</v>
      </c>
      <c r="X92">
        <v>20595.400000000001</v>
      </c>
      <c r="Y92">
        <v>49085.7</v>
      </c>
      <c r="Z92">
        <v>41742.9</v>
      </c>
      <c r="AA92">
        <v>42260.3</v>
      </c>
      <c r="AD92">
        <v>18246.3</v>
      </c>
      <c r="AE92">
        <v>18714.5</v>
      </c>
      <c r="AF92">
        <v>36948.800000000003</v>
      </c>
      <c r="AG92">
        <v>41442.6</v>
      </c>
      <c r="AH92">
        <v>37597.800000000003</v>
      </c>
    </row>
    <row r="93" spans="2:34">
      <c r="B93">
        <v>30893.7</v>
      </c>
      <c r="C93">
        <v>31.153400000000001</v>
      </c>
      <c r="D93">
        <v>32.570500000000003</v>
      </c>
      <c r="E93">
        <v>34.984000000000002</v>
      </c>
      <c r="F93">
        <v>31.426600000000001</v>
      </c>
      <c r="I93">
        <v>38860.1</v>
      </c>
      <c r="J93">
        <v>33.478200000000001</v>
      </c>
      <c r="K93">
        <v>33.099800000000002</v>
      </c>
      <c r="L93">
        <v>32.704500000000003</v>
      </c>
      <c r="M93">
        <v>36.7423</v>
      </c>
      <c r="P93">
        <v>37871.599999999999</v>
      </c>
      <c r="Q93">
        <v>31.2684</v>
      </c>
      <c r="R93">
        <v>31.049199999999999</v>
      </c>
      <c r="S93">
        <v>31.463699999999999</v>
      </c>
      <c r="T93">
        <v>31.427199999999999</v>
      </c>
      <c r="W93">
        <v>27026.799999999999</v>
      </c>
      <c r="X93">
        <v>28473.200000000001</v>
      </c>
      <c r="Y93">
        <v>84828.4</v>
      </c>
      <c r="Z93">
        <v>46726.1</v>
      </c>
      <c r="AA93">
        <v>45438.9</v>
      </c>
      <c r="AD93">
        <v>18819</v>
      </c>
      <c r="AE93">
        <v>18677.400000000001</v>
      </c>
      <c r="AF93">
        <v>38257.599999999999</v>
      </c>
      <c r="AG93">
        <v>40349.599999999999</v>
      </c>
      <c r="AH93">
        <v>38628.1</v>
      </c>
    </row>
    <row r="94" spans="2:34">
      <c r="B94">
        <v>31230</v>
      </c>
      <c r="C94">
        <v>31.626899999999999</v>
      </c>
      <c r="D94">
        <v>30.749400000000001</v>
      </c>
      <c r="E94">
        <v>30.8216</v>
      </c>
      <c r="F94">
        <v>31.214300000000001</v>
      </c>
      <c r="I94">
        <v>32978.699999999997</v>
      </c>
      <c r="J94">
        <v>33.203699999999998</v>
      </c>
      <c r="K94">
        <v>33.206200000000003</v>
      </c>
      <c r="L94">
        <v>36.832999999999998</v>
      </c>
      <c r="M94">
        <v>32.776800000000001</v>
      </c>
      <c r="P94">
        <v>30966.799999999999</v>
      </c>
      <c r="Q94">
        <v>31.4255</v>
      </c>
      <c r="R94">
        <v>33.802999999999997</v>
      </c>
      <c r="S94">
        <v>32.072699999999998</v>
      </c>
      <c r="T94">
        <v>31.1633</v>
      </c>
      <c r="W94">
        <v>23334.2</v>
      </c>
      <c r="X94">
        <v>23129.7</v>
      </c>
      <c r="Y94">
        <v>44895.7</v>
      </c>
      <c r="Z94">
        <v>45912</v>
      </c>
      <c r="AA94">
        <v>60407.4</v>
      </c>
      <c r="AD94">
        <v>18044.400000000001</v>
      </c>
      <c r="AE94">
        <v>18395.599999999999</v>
      </c>
      <c r="AF94">
        <v>37416.199999999997</v>
      </c>
      <c r="AG94">
        <v>40226.400000000001</v>
      </c>
      <c r="AH94">
        <v>41748.199999999997</v>
      </c>
    </row>
    <row r="95" spans="2:34">
      <c r="B95">
        <v>30803.1</v>
      </c>
      <c r="C95">
        <v>30.2944</v>
      </c>
      <c r="D95">
        <v>30.328900000000001</v>
      </c>
      <c r="E95">
        <v>30.9223</v>
      </c>
      <c r="F95">
        <v>31.561399999999999</v>
      </c>
      <c r="I95">
        <v>32690.6</v>
      </c>
      <c r="J95">
        <v>32.915399999999998</v>
      </c>
      <c r="K95">
        <v>33.1068</v>
      </c>
      <c r="L95">
        <v>34.162599999999998</v>
      </c>
      <c r="M95">
        <v>31.054400000000001</v>
      </c>
      <c r="P95">
        <v>30941.5</v>
      </c>
      <c r="Q95">
        <v>32.053600000000003</v>
      </c>
      <c r="R95">
        <v>31.934799999999999</v>
      </c>
      <c r="S95">
        <v>31.482299999999999</v>
      </c>
      <c r="T95">
        <v>31.7791</v>
      </c>
      <c r="W95">
        <v>21528</v>
      </c>
      <c r="X95">
        <v>19604.5</v>
      </c>
      <c r="Y95">
        <v>42964.6</v>
      </c>
      <c r="Z95">
        <v>41653.300000000003</v>
      </c>
      <c r="AA95">
        <v>40652.5</v>
      </c>
      <c r="AD95">
        <v>18421</v>
      </c>
      <c r="AE95">
        <v>17850.400000000001</v>
      </c>
      <c r="AF95">
        <v>37821.4</v>
      </c>
      <c r="AG95">
        <v>39217.699999999997</v>
      </c>
      <c r="AH95">
        <v>39874.800000000003</v>
      </c>
    </row>
    <row r="96" spans="2:34">
      <c r="B96">
        <v>30945</v>
      </c>
      <c r="C96">
        <v>30.606300000000001</v>
      </c>
      <c r="D96">
        <v>31.156500000000001</v>
      </c>
      <c r="E96">
        <v>32.163499999999999</v>
      </c>
      <c r="F96">
        <v>32.644199999999998</v>
      </c>
      <c r="I96">
        <v>31403.7</v>
      </c>
      <c r="J96">
        <v>32.945799999999998</v>
      </c>
      <c r="K96">
        <v>37.557899999999997</v>
      </c>
      <c r="L96">
        <v>37.1477</v>
      </c>
      <c r="M96">
        <v>32.822099999999999</v>
      </c>
      <c r="P96">
        <v>31258.799999999999</v>
      </c>
      <c r="Q96">
        <v>31.6965</v>
      </c>
      <c r="R96">
        <v>31.923400000000001</v>
      </c>
      <c r="S96">
        <v>32.325299999999999</v>
      </c>
      <c r="T96">
        <v>31.325500000000002</v>
      </c>
      <c r="W96">
        <v>22144.2</v>
      </c>
      <c r="X96">
        <v>23048.7</v>
      </c>
      <c r="Y96">
        <v>39497.199999999997</v>
      </c>
      <c r="Z96">
        <v>41709.5</v>
      </c>
      <c r="AA96">
        <v>42001.3</v>
      </c>
      <c r="AD96">
        <v>18633.900000000001</v>
      </c>
      <c r="AE96">
        <v>18810.8</v>
      </c>
      <c r="AF96">
        <v>38666.9</v>
      </c>
      <c r="AG96">
        <v>40168.9</v>
      </c>
      <c r="AH96">
        <v>38842.199999999997</v>
      </c>
    </row>
    <row r="97" spans="1:41">
      <c r="B97">
        <v>31707.4</v>
      </c>
      <c r="C97">
        <v>32.077399999999997</v>
      </c>
      <c r="D97">
        <v>31.680099999999999</v>
      </c>
      <c r="E97">
        <v>30.630099999999999</v>
      </c>
      <c r="F97">
        <v>31.234300000000001</v>
      </c>
      <c r="I97">
        <v>32622.5</v>
      </c>
      <c r="J97">
        <v>32.356499999999997</v>
      </c>
      <c r="K97">
        <v>54.861600000000003</v>
      </c>
      <c r="L97">
        <v>34.220700000000001</v>
      </c>
      <c r="M97">
        <v>32.322200000000002</v>
      </c>
      <c r="P97">
        <v>32145</v>
      </c>
      <c r="Q97">
        <v>31.7257</v>
      </c>
      <c r="R97">
        <v>32.463299999999997</v>
      </c>
      <c r="S97">
        <v>32.213500000000003</v>
      </c>
      <c r="T97">
        <v>31.869599999999998</v>
      </c>
      <c r="W97">
        <v>25518.9</v>
      </c>
      <c r="X97">
        <v>19143.099999999999</v>
      </c>
      <c r="Y97">
        <v>38566.400000000001</v>
      </c>
      <c r="Z97">
        <v>39345.9</v>
      </c>
      <c r="AA97">
        <v>38093.599999999999</v>
      </c>
      <c r="AD97">
        <v>18593</v>
      </c>
      <c r="AE97">
        <v>18347.599999999999</v>
      </c>
      <c r="AF97">
        <v>38739.300000000003</v>
      </c>
      <c r="AG97">
        <v>40453.199999999997</v>
      </c>
      <c r="AH97">
        <v>37796.300000000003</v>
      </c>
    </row>
    <row r="98" spans="1:41">
      <c r="B98">
        <v>31519.4</v>
      </c>
      <c r="C98">
        <v>31.7075</v>
      </c>
      <c r="D98">
        <v>32.113500000000002</v>
      </c>
      <c r="E98">
        <v>32.119999999999997</v>
      </c>
      <c r="F98">
        <v>31.248899999999999</v>
      </c>
      <c r="I98">
        <v>33115.4</v>
      </c>
      <c r="J98">
        <v>51.094200000000001</v>
      </c>
      <c r="K98">
        <v>35.132899999999999</v>
      </c>
      <c r="L98">
        <v>34.121099999999998</v>
      </c>
      <c r="M98">
        <v>32.501600000000003</v>
      </c>
      <c r="P98">
        <v>30735.599999999999</v>
      </c>
      <c r="Q98">
        <v>31.338699999999999</v>
      </c>
      <c r="R98">
        <v>30.835000000000001</v>
      </c>
      <c r="S98">
        <v>32.430999999999997</v>
      </c>
      <c r="T98">
        <v>31.0274</v>
      </c>
      <c r="W98">
        <v>19326.900000000001</v>
      </c>
      <c r="X98">
        <v>19344.5</v>
      </c>
      <c r="Y98">
        <v>38290.300000000003</v>
      </c>
      <c r="Z98">
        <v>40049.4</v>
      </c>
      <c r="AA98">
        <v>38851.4</v>
      </c>
      <c r="AD98">
        <v>19922.3</v>
      </c>
      <c r="AE98">
        <v>18546.900000000001</v>
      </c>
      <c r="AF98">
        <v>38122.400000000001</v>
      </c>
      <c r="AG98">
        <v>39790</v>
      </c>
      <c r="AH98">
        <v>39228.300000000003</v>
      </c>
    </row>
    <row r="99" spans="1:41">
      <c r="B99">
        <v>31345.7</v>
      </c>
      <c r="C99">
        <v>33.387900000000002</v>
      </c>
      <c r="D99">
        <v>32.281100000000002</v>
      </c>
      <c r="E99">
        <v>31.265599999999999</v>
      </c>
      <c r="F99">
        <v>30.959099999999999</v>
      </c>
      <c r="I99">
        <v>33340.300000000003</v>
      </c>
      <c r="J99">
        <v>33.178699999999999</v>
      </c>
      <c r="K99">
        <v>32.834400000000002</v>
      </c>
      <c r="L99">
        <v>33.789499999999997</v>
      </c>
      <c r="M99">
        <v>32.415300000000002</v>
      </c>
      <c r="P99">
        <v>32458.2</v>
      </c>
      <c r="Q99">
        <v>32.0426</v>
      </c>
      <c r="R99">
        <v>32.2712</v>
      </c>
      <c r="S99">
        <v>38.973999999999997</v>
      </c>
      <c r="T99">
        <v>34.7744</v>
      </c>
      <c r="W99">
        <v>22081.3</v>
      </c>
      <c r="X99">
        <v>20034.7</v>
      </c>
      <c r="Y99">
        <v>40444.5</v>
      </c>
      <c r="Z99">
        <v>42905.9</v>
      </c>
      <c r="AA99">
        <v>57824.5</v>
      </c>
      <c r="AD99">
        <v>17889.400000000001</v>
      </c>
      <c r="AE99">
        <v>18284.7</v>
      </c>
      <c r="AF99">
        <v>37106</v>
      </c>
      <c r="AG99">
        <v>39822</v>
      </c>
      <c r="AH99">
        <v>37561.4</v>
      </c>
    </row>
    <row r="100" spans="1:41">
      <c r="B100">
        <v>30912.6</v>
      </c>
      <c r="C100">
        <v>30.933499999999999</v>
      </c>
      <c r="D100">
        <v>30.742699999999999</v>
      </c>
      <c r="E100">
        <v>30.938400000000001</v>
      </c>
      <c r="F100">
        <v>30.532699999999998</v>
      </c>
      <c r="I100">
        <v>32965.9</v>
      </c>
      <c r="J100">
        <v>36.270299999999999</v>
      </c>
      <c r="K100">
        <v>32.7684</v>
      </c>
      <c r="L100">
        <v>34.256599999999999</v>
      </c>
      <c r="M100">
        <v>35.6614</v>
      </c>
      <c r="P100">
        <v>31907.5</v>
      </c>
      <c r="Q100">
        <v>30.845600000000001</v>
      </c>
      <c r="R100">
        <v>32.185899999999997</v>
      </c>
      <c r="S100">
        <v>32.277700000000003</v>
      </c>
      <c r="T100">
        <v>32.819200000000002</v>
      </c>
      <c r="W100">
        <v>22673.4</v>
      </c>
      <c r="X100">
        <v>20132.7</v>
      </c>
      <c r="Y100">
        <v>41807.599999999999</v>
      </c>
      <c r="Z100">
        <v>42603.3</v>
      </c>
      <c r="AA100">
        <v>40400.699999999997</v>
      </c>
      <c r="AD100">
        <v>18435</v>
      </c>
      <c r="AE100">
        <v>18410.3</v>
      </c>
      <c r="AF100">
        <v>37739</v>
      </c>
      <c r="AG100">
        <v>39233.699999999997</v>
      </c>
      <c r="AH100">
        <v>38331.5</v>
      </c>
    </row>
    <row r="101" spans="1:41">
      <c r="B101">
        <v>31373.200000000001</v>
      </c>
      <c r="C101">
        <v>31.820499999999999</v>
      </c>
      <c r="D101">
        <v>31.493600000000001</v>
      </c>
      <c r="E101">
        <v>30.887799999999999</v>
      </c>
      <c r="F101">
        <v>32.629399999999997</v>
      </c>
      <c r="I101">
        <v>33215</v>
      </c>
      <c r="J101">
        <v>32.3262</v>
      </c>
      <c r="K101">
        <v>33.506500000000003</v>
      </c>
      <c r="L101">
        <v>33.942300000000003</v>
      </c>
      <c r="M101">
        <v>32.97</v>
      </c>
      <c r="P101">
        <v>31575.7</v>
      </c>
      <c r="Q101">
        <v>32.119399999999999</v>
      </c>
      <c r="R101">
        <v>33.346200000000003</v>
      </c>
      <c r="S101">
        <v>32.714700000000001</v>
      </c>
      <c r="T101">
        <v>32.146900000000002</v>
      </c>
      <c r="W101">
        <v>24433</v>
      </c>
      <c r="X101">
        <v>24081.599999999999</v>
      </c>
      <c r="Y101">
        <v>48703.4</v>
      </c>
      <c r="Z101">
        <v>42900.3</v>
      </c>
      <c r="AA101">
        <v>39680.1</v>
      </c>
      <c r="AD101">
        <v>17967.3</v>
      </c>
      <c r="AE101">
        <v>17663.900000000001</v>
      </c>
      <c r="AF101">
        <v>38784.199999999997</v>
      </c>
      <c r="AG101">
        <v>39880.9</v>
      </c>
      <c r="AH101">
        <v>37764</v>
      </c>
    </row>
    <row r="102" spans="1:41">
      <c r="B102">
        <v>30947</v>
      </c>
      <c r="C102">
        <v>30.725300000000001</v>
      </c>
      <c r="D102">
        <v>30.267499999999998</v>
      </c>
      <c r="E102">
        <v>30.974299999999999</v>
      </c>
      <c r="F102">
        <v>30.755800000000001</v>
      </c>
      <c r="I102">
        <v>32271.599999999999</v>
      </c>
      <c r="J102">
        <v>33.852899999999998</v>
      </c>
      <c r="K102">
        <v>34.186199999999999</v>
      </c>
      <c r="L102">
        <v>33.698399999999999</v>
      </c>
      <c r="M102">
        <v>32.747300000000003</v>
      </c>
      <c r="P102">
        <v>33137.699999999997</v>
      </c>
      <c r="Q102">
        <v>32.544600000000003</v>
      </c>
      <c r="R102">
        <v>31.3126</v>
      </c>
      <c r="S102">
        <v>31.365400000000001</v>
      </c>
      <c r="T102">
        <v>31.204999999999998</v>
      </c>
      <c r="W102">
        <v>20949.900000000001</v>
      </c>
      <c r="X102">
        <v>22449.200000000001</v>
      </c>
      <c r="Y102">
        <v>40216.699999999997</v>
      </c>
      <c r="Z102">
        <v>50251.4</v>
      </c>
      <c r="AA102">
        <v>41878.400000000001</v>
      </c>
      <c r="AD102">
        <v>19014.7</v>
      </c>
      <c r="AE102">
        <v>17665.400000000001</v>
      </c>
      <c r="AF102">
        <v>37729.9</v>
      </c>
      <c r="AG102">
        <v>39740.6</v>
      </c>
      <c r="AH102">
        <v>38155.1</v>
      </c>
    </row>
    <row r="105" spans="1:41" ht="16" thickBot="1">
      <c r="B105" s="41" t="s">
        <v>0</v>
      </c>
      <c r="C105" s="42" t="s">
        <v>1</v>
      </c>
      <c r="D105" s="42" t="s">
        <v>2</v>
      </c>
      <c r="E105" s="42" t="s">
        <v>3</v>
      </c>
      <c r="F105" s="43" t="s">
        <v>4</v>
      </c>
      <c r="I105" s="22" t="s">
        <v>0</v>
      </c>
      <c r="J105" s="23" t="s">
        <v>1</v>
      </c>
      <c r="K105" s="23" t="s">
        <v>2</v>
      </c>
      <c r="L105" s="23" t="s">
        <v>3</v>
      </c>
      <c r="M105" s="44" t="s">
        <v>4</v>
      </c>
      <c r="P105" s="22" t="s">
        <v>0</v>
      </c>
      <c r="Q105" s="23" t="s">
        <v>1</v>
      </c>
      <c r="R105" s="23" t="s">
        <v>2</v>
      </c>
      <c r="S105" s="23" t="s">
        <v>3</v>
      </c>
      <c r="T105" s="44" t="s">
        <v>4</v>
      </c>
      <c r="W105" s="22" t="s">
        <v>0</v>
      </c>
      <c r="X105" s="23" t="s">
        <v>1</v>
      </c>
      <c r="Y105" s="23" t="s">
        <v>2</v>
      </c>
      <c r="Z105" s="23" t="s">
        <v>3</v>
      </c>
      <c r="AA105" s="44" t="s">
        <v>4</v>
      </c>
      <c r="AD105" s="22" t="s">
        <v>0</v>
      </c>
      <c r="AE105" s="23" t="s">
        <v>1</v>
      </c>
      <c r="AF105" s="23" t="s">
        <v>2</v>
      </c>
      <c r="AG105" s="23" t="s">
        <v>3</v>
      </c>
      <c r="AH105" s="44" t="s">
        <v>4</v>
      </c>
      <c r="AK105" s="22" t="s">
        <v>0</v>
      </c>
      <c r="AL105" s="23" t="s">
        <v>1</v>
      </c>
      <c r="AM105" s="23" t="s">
        <v>2</v>
      </c>
      <c r="AN105" s="23" t="s">
        <v>3</v>
      </c>
      <c r="AO105" s="44" t="s">
        <v>4</v>
      </c>
    </row>
    <row r="106" spans="1:41" ht="16" thickTop="1">
      <c r="A106" t="s">
        <v>8</v>
      </c>
      <c r="B106">
        <f>AVERAGE(Encrypt16x256[ECB])</f>
        <v>30817.692222222224</v>
      </c>
      <c r="C106">
        <f>AVERAGE(Encrypt16x256[CBC])</f>
        <v>31.600402000000003</v>
      </c>
      <c r="D106">
        <f>AVERAGE(Encrypt16x256[OFB])</f>
        <v>31.468239999999994</v>
      </c>
      <c r="E106">
        <f>AVERAGE(Encrypt16x256[CFB])</f>
        <v>31.680464999999984</v>
      </c>
      <c r="F106">
        <f>AVERAGE(Encrypt16x256[CTR])</f>
        <v>31.427895000000014</v>
      </c>
      <c r="I106">
        <f>AVERAGE(Encrypt24x256[ECB])</f>
        <v>34190.963000000011</v>
      </c>
      <c r="J106">
        <f>AVERAGE(Encrypt24x256[CBC])</f>
        <v>33.476076000000006</v>
      </c>
      <c r="K106">
        <f>AVERAGE(Encrypt24x256[OFB])</f>
        <v>34.188909000000002</v>
      </c>
      <c r="L106">
        <f>AVERAGE(Encrypt24x256[CFB])</f>
        <v>34.252754000000003</v>
      </c>
      <c r="M106">
        <f>AVERAGE(Encrypt24x256[CTR])</f>
        <v>34.343756999999997</v>
      </c>
      <c r="P106">
        <f>AVERAGE(Encrypt32x256[ECB])</f>
        <v>34416.434999999998</v>
      </c>
      <c r="Q106">
        <f>AVERAGE(Encrypt32x256[CBC])</f>
        <v>34.678666</v>
      </c>
      <c r="R106">
        <f>AVERAGE(Encrypt32x256[OFB])</f>
        <v>35.525191000000007</v>
      </c>
      <c r="S106">
        <f>AVERAGE(Encrypt32x256[CFB])</f>
        <v>35.462198999999998</v>
      </c>
      <c r="T106">
        <f>AVERAGE(Encrypt32x256[CTR])</f>
        <v>34.766817000000003</v>
      </c>
      <c r="W106">
        <f>AVERAGE(Decrypt16x256[ECB])</f>
        <v>20611.727999999992</v>
      </c>
      <c r="X106">
        <f>AVERAGE(Decrypt16x256[CBC])</f>
        <v>20558.079999999998</v>
      </c>
      <c r="Y106">
        <f>AVERAGE(Decrypt16x256[OFB])</f>
        <v>40192.218000000008</v>
      </c>
      <c r="Z106">
        <f>AVERAGE(Decrypt16x256[CFB])</f>
        <v>41132.458999999981</v>
      </c>
      <c r="AA106">
        <f>AVERAGE(Decrypt16x256[CTR])</f>
        <v>40136.505999999994</v>
      </c>
      <c r="AD106">
        <f>AVERAGE(Decrypt24x256[ECB])</f>
        <v>21289.267000000011</v>
      </c>
      <c r="AE106">
        <f>AVERAGE(Decrypt24x256[CBC])</f>
        <v>21170.741999999991</v>
      </c>
      <c r="AF106">
        <f>AVERAGE(Decrypt24x256[OFB])</f>
        <v>42266.344000000005</v>
      </c>
      <c r="AG106">
        <f>AVERAGE(Decrypt24x256[CFB])</f>
        <v>45469.721000000034</v>
      </c>
      <c r="AH106">
        <f>AVERAGE(Decrypt24x256[CTR])</f>
        <v>43345.697999999997</v>
      </c>
      <c r="AK106">
        <f>AVERAGE(Decrypt32x256[ECB])</f>
        <v>18046.440000000002</v>
      </c>
      <c r="AL106">
        <f>AVERAGE(Decrypt32x256[CBC])</f>
        <v>18287.77</v>
      </c>
      <c r="AM106">
        <f>AVERAGE(Decrypt32x256[OFB])</f>
        <v>38486.259999999995</v>
      </c>
      <c r="AN106">
        <f>AVERAGE(Decrypt32x256[CFB])</f>
        <v>39702.750000000007</v>
      </c>
      <c r="AO106">
        <f>AVERAGE(Decrypt32x256[CTR])</f>
        <v>38000.57</v>
      </c>
    </row>
    <row r="107" spans="1:41">
      <c r="A107" t="s">
        <v>10</v>
      </c>
      <c r="B107">
        <f>MIN(Encrypt16x256[ECB])</f>
        <v>30033.9</v>
      </c>
      <c r="C107">
        <f>MIN(Encrypt16x256[CBC])</f>
        <v>30.0107</v>
      </c>
      <c r="D107">
        <f>MIN(Encrypt16x256[OFB])</f>
        <v>30.116099999999999</v>
      </c>
      <c r="E107">
        <f>MIN(Encrypt16x256[CFB])</f>
        <v>30.071400000000001</v>
      </c>
      <c r="F107">
        <f>MIN(Encrypt16x256[CTR])</f>
        <v>29.929300000000001</v>
      </c>
      <c r="I107">
        <f>MIN(Encrypt24x256[ECB])</f>
        <v>29876.9</v>
      </c>
      <c r="J107">
        <f>MIN(Encrypt24x256[CBC])</f>
        <v>29.899100000000001</v>
      </c>
      <c r="K107">
        <f>MIN(Encrypt24x256[OFB])</f>
        <v>30.096299999999999</v>
      </c>
      <c r="L107">
        <f>MIN(Encrypt24x256[CFB])</f>
        <v>30.0639</v>
      </c>
      <c r="M107">
        <f>MIN(Encrypt24x256[CTR])</f>
        <v>30.009399999999999</v>
      </c>
      <c r="P107">
        <f>MIN(Encrypt32x256[ECB])</f>
        <v>30698.5</v>
      </c>
      <c r="Q107">
        <f>MIN(Encrypt32x256[CBC])</f>
        <v>30.710899999999999</v>
      </c>
      <c r="R107">
        <f>MIN(Encrypt32x256[OFB])</f>
        <v>30.835000000000001</v>
      </c>
      <c r="S107">
        <f>MIN(Encrypt32x256[CFB])</f>
        <v>30.847200000000001</v>
      </c>
      <c r="T107">
        <f>MIN(Encrypt32x256[CTR])</f>
        <v>30.6754</v>
      </c>
      <c r="W107">
        <f>MIN(Decrypt16x256[ECB])</f>
        <v>17906.099999999999</v>
      </c>
      <c r="X107">
        <f>MIN(Decrypt16x256[CBC])</f>
        <v>17678.099999999999</v>
      </c>
      <c r="Y107">
        <f>MIN(Decrypt16x256[OFB])</f>
        <v>37372.5</v>
      </c>
      <c r="Z107">
        <f>MIN(Decrypt16x256[CFB])</f>
        <v>39002</v>
      </c>
      <c r="AA107">
        <f>MIN(Decrypt16x256[CTR])</f>
        <v>37443.199999999997</v>
      </c>
      <c r="AD107">
        <f>MIN(Decrypt24x256[ECB])</f>
        <v>17306.3</v>
      </c>
      <c r="AE107">
        <f>MIN(Decrypt24x256[CBC])</f>
        <v>17021.900000000001</v>
      </c>
      <c r="AF107">
        <f>MIN(Decrypt24x256[OFB])</f>
        <v>36379.5</v>
      </c>
      <c r="AG107">
        <f>MIN(Decrypt24x256[CFB])</f>
        <v>38894.1</v>
      </c>
      <c r="AH107">
        <f>MIN(Decrypt24x256[CTR])</f>
        <v>36682.1</v>
      </c>
      <c r="AK107">
        <f>MIN(Decrypt32x256[ECB])</f>
        <v>17056.7</v>
      </c>
      <c r="AL107">
        <f>MIN(Decrypt32x256[CBC])</f>
        <v>17562.2</v>
      </c>
      <c r="AM107">
        <f>MIN(Decrypt32x256[OFB])</f>
        <v>36217.4</v>
      </c>
      <c r="AN107">
        <f>MIN(Decrypt32x256[CFB])</f>
        <v>38498.300000000003</v>
      </c>
      <c r="AO107">
        <f>MIN(Decrypt32x256[CTR])</f>
        <v>36630.1</v>
      </c>
    </row>
    <row r="108" spans="1:41">
      <c r="A108" t="s">
        <v>11</v>
      </c>
      <c r="B108">
        <f>MAX(Encrypt16x256[ECB])</f>
        <v>34696.300000000003</v>
      </c>
      <c r="C108">
        <f>MAX(Encrypt16x256[CBC])</f>
        <v>41.776200000000003</v>
      </c>
      <c r="D108">
        <f>MAX(Encrypt16x256[OFB])</f>
        <v>37.515999999999998</v>
      </c>
      <c r="E108">
        <f>MAX(Encrypt16x256[CFB])</f>
        <v>40.6218</v>
      </c>
      <c r="F108">
        <f>MAX(Encrypt16x256[CTR])</f>
        <v>42.012300000000003</v>
      </c>
      <c r="I108">
        <f>MAX(Encrypt24x256[ECB])</f>
        <v>73095.7</v>
      </c>
      <c r="J108">
        <f>MAX(Encrypt24x256[CBC])</f>
        <v>51.094200000000001</v>
      </c>
      <c r="K108">
        <f>MAX(Encrypt24x256[OFB])</f>
        <v>54.861600000000003</v>
      </c>
      <c r="L108">
        <f>MAX(Encrypt24x256[CFB])</f>
        <v>63.636899999999997</v>
      </c>
      <c r="M108">
        <f>MAX(Encrypt24x256[CTR])</f>
        <v>51.603299999999997</v>
      </c>
      <c r="P108">
        <f>MAX(Encrypt32x256[ECB])</f>
        <v>78132.2</v>
      </c>
      <c r="Q108">
        <f>MAX(Encrypt32x256[CBC])</f>
        <v>75.066500000000005</v>
      </c>
      <c r="R108">
        <f>MAX(Encrypt32x256[OFB])</f>
        <v>187.626</v>
      </c>
      <c r="S108">
        <f>MAX(Encrypt32x256[CFB])</f>
        <v>161.56</v>
      </c>
      <c r="T108">
        <f>MAX(Encrypt32x256[CTR])</f>
        <v>145.321</v>
      </c>
      <c r="W108">
        <f>MAX(Decrypt16x256[ECB])</f>
        <v>39386.5</v>
      </c>
      <c r="X108">
        <f>MAX(Decrypt16x256[CBC])</f>
        <v>71460.600000000006</v>
      </c>
      <c r="Y108">
        <f>MAX(Decrypt16x256[OFB])</f>
        <v>84828.4</v>
      </c>
      <c r="Z108">
        <f>MAX(Decrypt16x256[CFB])</f>
        <v>57089</v>
      </c>
      <c r="AA108">
        <f>MAX(Decrypt16x256[CTR])</f>
        <v>60407.4</v>
      </c>
      <c r="AD108">
        <f>MAX(Decrypt24x256[ECB])</f>
        <v>78748.899999999994</v>
      </c>
      <c r="AE108">
        <f>MAX(Decrypt24x256[CBC])</f>
        <v>43876.5</v>
      </c>
      <c r="AF108">
        <f>MAX(Decrypt24x256[OFB])</f>
        <v>63659.7</v>
      </c>
      <c r="AG108">
        <f>MAX(Decrypt24x256[CFB])</f>
        <v>96371.199999999997</v>
      </c>
      <c r="AH108">
        <f>MAX(Decrypt24x256[CTR])</f>
        <v>73567.399999999994</v>
      </c>
      <c r="AK108">
        <f>MAX(Decrypt32x256[ECB])</f>
        <v>19476.5</v>
      </c>
      <c r="AL108">
        <f>MAX(Decrypt32x256[CBC])</f>
        <v>19662.7</v>
      </c>
      <c r="AM108">
        <f>MAX(Decrypt32x256[OFB])</f>
        <v>43328.2</v>
      </c>
      <c r="AN108">
        <f>MAX(Decrypt32x256[CFB])</f>
        <v>42343.199999999997</v>
      </c>
      <c r="AO108">
        <f>MAX(Decrypt32x256[CTR])</f>
        <v>39906.9</v>
      </c>
    </row>
    <row r="109" spans="1:41">
      <c r="A109" t="s">
        <v>9</v>
      </c>
      <c r="B109">
        <f>MEDIAN(Encrypt16x256[ECB])</f>
        <v>30651.5</v>
      </c>
      <c r="C109">
        <f>MEDIAN(Encrypt16x256[CBC])</f>
        <v>30.8565</v>
      </c>
      <c r="D109">
        <f>MEDIAN(Encrypt16x256[OFB])</f>
        <v>30.9191</v>
      </c>
      <c r="E109">
        <f>MEDIAN(Encrypt16x256[CFB])</f>
        <v>30.867599999999999</v>
      </c>
      <c r="F109">
        <f>MEDIAN(Encrypt16x256[CTR])</f>
        <v>30.824449999999999</v>
      </c>
      <c r="I109">
        <f>MEDIAN(Encrypt24x256[ECB])</f>
        <v>32678.55</v>
      </c>
      <c r="J109">
        <f>MEDIAN(Encrypt24x256[CBC])</f>
        <v>32.844349999999999</v>
      </c>
      <c r="K109">
        <f>MEDIAN(Encrypt24x256[OFB])</f>
        <v>33.129350000000002</v>
      </c>
      <c r="L109">
        <f>MEDIAN(Encrypt24x256[CFB])</f>
        <v>32.954599999999999</v>
      </c>
      <c r="M109">
        <f>MEDIAN(Encrypt24x256[CTR])</f>
        <v>32.502099999999999</v>
      </c>
      <c r="P109">
        <f>MEDIAN(Encrypt32x256[ECB])</f>
        <v>32371.65</v>
      </c>
      <c r="Q109">
        <f>MEDIAN(Encrypt32x256[CBC])</f>
        <v>32.676499999999997</v>
      </c>
      <c r="R109">
        <f>MEDIAN(Encrypt32x256[OFB])</f>
        <v>32.732799999999997</v>
      </c>
      <c r="S109">
        <f>MEDIAN(Encrypt32x256[CFB])</f>
        <v>32.642949999999999</v>
      </c>
      <c r="T109">
        <f>MEDIAN(Encrypt32x256[CTR])</f>
        <v>32.379599999999996</v>
      </c>
      <c r="W109">
        <f>MEDIAN(Decrypt16x256[ECB])</f>
        <v>19718.650000000001</v>
      </c>
      <c r="X109">
        <f>MEDIAN(Decrypt16x256[CBC])</f>
        <v>19202.650000000001</v>
      </c>
      <c r="Y109">
        <f>MEDIAN(Decrypt16x256[OFB])</f>
        <v>38461.199999999997</v>
      </c>
      <c r="Z109">
        <f>MEDIAN(Decrypt16x256[CFB])</f>
        <v>40251.800000000003</v>
      </c>
      <c r="AA109">
        <f>MEDIAN(Decrypt16x256[CTR])</f>
        <v>38712.699999999997</v>
      </c>
      <c r="AD109">
        <f>MEDIAN(Decrypt24x256[ECB])</f>
        <v>20025.449999999997</v>
      </c>
      <c r="AE109">
        <f>MEDIAN(Decrypt24x256[CBC])</f>
        <v>19691.7</v>
      </c>
      <c r="AF109">
        <f>MEDIAN(Decrypt24x256[OFB])</f>
        <v>40055.65</v>
      </c>
      <c r="AG109">
        <f>MEDIAN(Decrypt24x256[CFB])</f>
        <v>43647.1</v>
      </c>
      <c r="AH109">
        <f>MEDIAN(Decrypt24x256[CTR])</f>
        <v>40513.199999999997</v>
      </c>
      <c r="AK109">
        <f>MEDIAN(Decrypt32x256[ECB])</f>
        <v>18076.650000000001</v>
      </c>
      <c r="AL109">
        <f>MEDIAN(Decrypt32x256[CBC])</f>
        <v>18178.5</v>
      </c>
      <c r="AM109">
        <f>MEDIAN(Decrypt32x256[OFB])</f>
        <v>37419.4</v>
      </c>
      <c r="AN109">
        <f>MEDIAN(Decrypt32x256[CFB])</f>
        <v>39266.550000000003</v>
      </c>
      <c r="AO109">
        <f>MEDIAN(Decrypt32x256[CTR])</f>
        <v>37587.300000000003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J119" sqref="J119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14">
      <c r="A1" s="66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</row>
    <row r="2" spans="1:14">
      <c r="A2" t="s">
        <v>7</v>
      </c>
      <c r="B2" t="s">
        <v>40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</row>
    <row r="3" spans="1:14">
      <c r="A3" t="s">
        <v>1</v>
      </c>
      <c r="B3" t="s">
        <v>30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>
        <v>20971552</v>
      </c>
      <c r="J3">
        <v>20971552</v>
      </c>
      <c r="K3">
        <v>20971552</v>
      </c>
      <c r="L3">
        <v>536870944</v>
      </c>
      <c r="M3">
        <v>536870944</v>
      </c>
      <c r="N3">
        <v>536870944</v>
      </c>
    </row>
    <row r="4" spans="1:14">
      <c r="A4" t="s">
        <v>3</v>
      </c>
      <c r="B4" t="s">
        <v>31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>
        <v>20971520</v>
      </c>
      <c r="J4">
        <v>20971520</v>
      </c>
      <c r="K4">
        <v>20971520</v>
      </c>
      <c r="L4">
        <v>536870912</v>
      </c>
      <c r="M4">
        <v>536870912</v>
      </c>
      <c r="N4">
        <v>536870912</v>
      </c>
    </row>
    <row r="5" spans="1:14">
      <c r="A5" t="s">
        <v>4</v>
      </c>
      <c r="B5" t="s">
        <v>32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>
        <v>20971520</v>
      </c>
      <c r="J5">
        <v>20971520</v>
      </c>
      <c r="K5">
        <v>20971520</v>
      </c>
      <c r="L5">
        <v>536870912</v>
      </c>
      <c r="M5">
        <v>536870912</v>
      </c>
      <c r="N5">
        <v>536870912</v>
      </c>
    </row>
    <row r="6" spans="1:14">
      <c r="A6" t="s">
        <v>0</v>
      </c>
      <c r="B6" t="s">
        <v>33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>
        <v>20971552</v>
      </c>
      <c r="J6">
        <v>20971552</v>
      </c>
      <c r="K6">
        <v>20971552</v>
      </c>
      <c r="L6">
        <v>536870944</v>
      </c>
      <c r="M6">
        <v>536870944</v>
      </c>
      <c r="N6">
        <v>536870944</v>
      </c>
    </row>
    <row r="7" spans="1:14">
      <c r="A7" t="s">
        <v>2</v>
      </c>
      <c r="B7" t="s">
        <v>34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>
        <v>20971520</v>
      </c>
      <c r="J7">
        <v>20971520</v>
      </c>
      <c r="K7">
        <v>20971520</v>
      </c>
      <c r="L7">
        <v>536870912</v>
      </c>
      <c r="M7">
        <v>536870912</v>
      </c>
      <c r="N7">
        <v>536870912</v>
      </c>
    </row>
    <row r="12" spans="1:14">
      <c r="A12" s="66" t="s">
        <v>62</v>
      </c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</row>
    <row r="13" spans="1:14">
      <c r="A13" t="s">
        <v>55</v>
      </c>
      <c r="B13" t="s">
        <v>40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  <c r="H13" t="s">
        <v>61</v>
      </c>
      <c r="I13" t="s">
        <v>49</v>
      </c>
      <c r="J13" t="s">
        <v>50</v>
      </c>
      <c r="K13" t="s">
        <v>51</v>
      </c>
      <c r="L13" t="s">
        <v>52</v>
      </c>
      <c r="M13" t="s">
        <v>53</v>
      </c>
      <c r="N13" t="s">
        <v>54</v>
      </c>
    </row>
    <row r="14" spans="1:14">
      <c r="A14" t="s">
        <v>1</v>
      </c>
      <c r="B14" t="s">
        <v>35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10485760</v>
      </c>
      <c r="J14">
        <v>10485760</v>
      </c>
      <c r="K14">
        <v>10485760</v>
      </c>
      <c r="L14">
        <v>268435456</v>
      </c>
      <c r="M14">
        <v>268435456</v>
      </c>
      <c r="N14">
        <v>268435456</v>
      </c>
    </row>
    <row r="15" spans="1:14">
      <c r="A15" t="s">
        <v>3</v>
      </c>
      <c r="B15" t="s">
        <v>36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10485760</v>
      </c>
      <c r="J15">
        <v>10485760</v>
      </c>
      <c r="K15">
        <v>10485760</v>
      </c>
      <c r="L15">
        <v>268435456</v>
      </c>
      <c r="M15">
        <v>268435456</v>
      </c>
      <c r="N15">
        <v>268435456</v>
      </c>
    </row>
    <row r="16" spans="1:14">
      <c r="A16" t="s">
        <v>4</v>
      </c>
      <c r="B16" t="s">
        <v>37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10485760</v>
      </c>
      <c r="J16">
        <v>10485760</v>
      </c>
      <c r="K16">
        <v>10485760</v>
      </c>
      <c r="L16">
        <v>268435456</v>
      </c>
      <c r="M16">
        <v>268435456</v>
      </c>
      <c r="N16">
        <v>268435456</v>
      </c>
    </row>
    <row r="17" spans="1:14">
      <c r="A17" t="s">
        <v>0</v>
      </c>
      <c r="B17" t="s">
        <v>38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10485760</v>
      </c>
      <c r="J17">
        <v>10485760</v>
      </c>
      <c r="K17">
        <v>10485760</v>
      </c>
      <c r="L17">
        <v>268435456</v>
      </c>
      <c r="M17">
        <v>268435456</v>
      </c>
      <c r="N17">
        <v>268435456</v>
      </c>
    </row>
    <row r="18" spans="1:14">
      <c r="A18" t="s">
        <v>2</v>
      </c>
      <c r="B18" t="s">
        <v>39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10485760</v>
      </c>
      <c r="J18">
        <v>10485760</v>
      </c>
      <c r="K18">
        <v>10485760</v>
      </c>
      <c r="L18">
        <v>268435456</v>
      </c>
      <c r="M18">
        <v>268435456</v>
      </c>
      <c r="N18">
        <v>268435456</v>
      </c>
    </row>
    <row r="20" spans="1:14">
      <c r="J20" s="50"/>
    </row>
    <row r="21" spans="1:14">
      <c r="I21" s="50"/>
      <c r="J21" s="50"/>
    </row>
    <row r="22" spans="1:14">
      <c r="I22" s="50"/>
      <c r="J22" s="50"/>
      <c r="K22" s="50"/>
    </row>
    <row r="23" spans="1:14">
      <c r="I23" s="50"/>
      <c r="J23" s="50"/>
      <c r="K23" s="50"/>
    </row>
    <row r="24" spans="1:14">
      <c r="I24" s="50"/>
      <c r="J24" s="50"/>
      <c r="K24" s="50"/>
    </row>
    <row r="25" spans="1:14">
      <c r="I25" s="50"/>
      <c r="J25" s="50"/>
      <c r="K25" s="50"/>
    </row>
    <row r="26" spans="1:14">
      <c r="I26" s="50"/>
      <c r="J26" s="50"/>
      <c r="K26" s="50"/>
    </row>
    <row r="27" spans="1:14">
      <c r="I27" s="50"/>
      <c r="J27" s="50"/>
      <c r="K27" s="50"/>
    </row>
    <row r="28" spans="1:14">
      <c r="I28" s="50"/>
      <c r="J28" s="50"/>
      <c r="K28" s="50"/>
    </row>
    <row r="29" spans="1:14">
      <c r="I29" s="50"/>
      <c r="J29" s="50"/>
      <c r="K29" s="50"/>
    </row>
    <row r="30" spans="1:14">
      <c r="I30" s="50"/>
      <c r="J30" s="50"/>
      <c r="K30" s="50"/>
    </row>
    <row r="31" spans="1:14">
      <c r="I31" s="50"/>
      <c r="K31" s="50"/>
    </row>
    <row r="32" spans="1:14">
      <c r="I32" s="50"/>
      <c r="K32" s="50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J119" sqref="J119"/>
    </sheetView>
  </sheetViews>
  <sheetFormatPr baseColWidth="10" defaultRowHeight="15" x14ac:dyDescent="0"/>
  <sheetData>
    <row r="1" spans="1:2">
      <c r="A1" t="s">
        <v>27</v>
      </c>
      <c r="B1">
        <v>2</v>
      </c>
    </row>
    <row r="2" spans="1:2">
      <c r="A2" t="s">
        <v>26</v>
      </c>
      <c r="B2">
        <v>3</v>
      </c>
    </row>
    <row r="3" spans="1:2">
      <c r="A3" t="s">
        <v>28</v>
      </c>
      <c r="B3">
        <v>4</v>
      </c>
    </row>
    <row r="4" spans="1:2">
      <c r="A4" t="s">
        <v>29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J119" sqref="J119"/>
    </sheetView>
  </sheetViews>
  <sheetFormatPr baseColWidth="10" defaultRowHeight="15" x14ac:dyDescent="0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H1" t="s">
        <v>82</v>
      </c>
    </row>
    <row r="2" spans="1:8">
      <c r="A2">
        <v>1000</v>
      </c>
      <c r="B2">
        <v>131.96799999999999</v>
      </c>
      <c r="C2">
        <v>0.123934</v>
      </c>
      <c r="D2">
        <v>0.124348</v>
      </c>
      <c r="E2">
        <v>0.124152</v>
      </c>
      <c r="F2">
        <v>0.122973</v>
      </c>
      <c r="H2">
        <f>B2/Sheet2!A2</f>
        <v>0.131968</v>
      </c>
    </row>
    <row r="3" spans="1:8">
      <c r="A3">
        <v>1000</v>
      </c>
      <c r="B3">
        <v>115.092</v>
      </c>
      <c r="C3">
        <v>0.115074</v>
      </c>
      <c r="D3">
        <v>0.11598700000000001</v>
      </c>
      <c r="E3">
        <v>0.14228199999999999</v>
      </c>
      <c r="F3">
        <v>0.11563900000000001</v>
      </c>
    </row>
    <row r="4" spans="1:8">
      <c r="A4">
        <v>1000</v>
      </c>
      <c r="B4">
        <v>114.878</v>
      </c>
      <c r="C4">
        <v>0.116119</v>
      </c>
      <c r="D4">
        <v>0.115537</v>
      </c>
      <c r="E4">
        <v>0.115353</v>
      </c>
      <c r="F4">
        <v>0.11527</v>
      </c>
    </row>
    <row r="5" spans="1:8">
      <c r="A5">
        <v>1000</v>
      </c>
      <c r="B5">
        <v>132.964</v>
      </c>
      <c r="C5">
        <v>0.11544699999999999</v>
      </c>
      <c r="D5">
        <v>0.115662</v>
      </c>
      <c r="E5">
        <v>0.115357</v>
      </c>
      <c r="F5">
        <v>0.115662</v>
      </c>
    </row>
    <row r="6" spans="1:8">
      <c r="A6">
        <v>1000</v>
      </c>
      <c r="B6">
        <v>114.94799999999999</v>
      </c>
      <c r="C6">
        <v>0.115069</v>
      </c>
      <c r="D6">
        <v>0.11529300000000001</v>
      </c>
      <c r="E6">
        <v>0.11479</v>
      </c>
      <c r="F6">
        <v>0.11529499999999999</v>
      </c>
    </row>
    <row r="7" spans="1:8">
      <c r="A7">
        <v>1000</v>
      </c>
      <c r="B7">
        <v>115.56</v>
      </c>
      <c r="C7">
        <v>0.11536200000000001</v>
      </c>
      <c r="D7">
        <v>0.115768</v>
      </c>
      <c r="E7">
        <v>0.116587</v>
      </c>
      <c r="F7">
        <v>0.11554</v>
      </c>
    </row>
    <row r="8" spans="1:8">
      <c r="A8">
        <v>1000</v>
      </c>
      <c r="B8">
        <v>115.408</v>
      </c>
      <c r="C8">
        <v>0.115175</v>
      </c>
      <c r="D8">
        <v>0.11561200000000001</v>
      </c>
      <c r="E8">
        <v>0.11536100000000001</v>
      </c>
      <c r="F8">
        <v>0.115732</v>
      </c>
    </row>
    <row r="9" spans="1:8">
      <c r="A9">
        <v>1000</v>
      </c>
      <c r="B9">
        <v>114.97799999999999</v>
      </c>
      <c r="C9">
        <v>0.134795</v>
      </c>
      <c r="D9">
        <v>0.115448</v>
      </c>
      <c r="E9">
        <v>0.11533599999999999</v>
      </c>
      <c r="F9">
        <v>0.11503099999999999</v>
      </c>
    </row>
    <row r="10" spans="1:8">
      <c r="A10">
        <v>1000</v>
      </c>
      <c r="B10">
        <v>115.20099999999999</v>
      </c>
      <c r="C10">
        <v>0.11516700000000001</v>
      </c>
      <c r="D10">
        <v>0.124711</v>
      </c>
      <c r="E10">
        <v>0.122098</v>
      </c>
      <c r="F10">
        <v>0.116119</v>
      </c>
    </row>
    <row r="11" spans="1:8">
      <c r="A11">
        <v>1000</v>
      </c>
      <c r="B11">
        <v>116.143</v>
      </c>
      <c r="C11">
        <v>0.115593</v>
      </c>
      <c r="D11">
        <v>0.11604399999999999</v>
      </c>
      <c r="E11">
        <v>0.115083</v>
      </c>
      <c r="F11">
        <v>0.11550100000000001</v>
      </c>
    </row>
    <row r="12" spans="1:8">
      <c r="A12">
        <v>1000</v>
      </c>
      <c r="B12">
        <v>114.965</v>
      </c>
      <c r="C12">
        <v>0.115485</v>
      </c>
      <c r="D12">
        <v>0.115438</v>
      </c>
      <c r="E12">
        <v>0.11525100000000001</v>
      </c>
      <c r="F12">
        <v>0.115331</v>
      </c>
    </row>
    <row r="13" spans="1:8">
      <c r="A13">
        <v>1000</v>
      </c>
      <c r="B13">
        <v>115.199</v>
      </c>
      <c r="C13">
        <v>0.11515599999999999</v>
      </c>
      <c r="D13">
        <v>0.141818</v>
      </c>
      <c r="E13">
        <v>0.11532199999999999</v>
      </c>
      <c r="F13">
        <v>0.115985</v>
      </c>
    </row>
    <row r="14" spans="1:8">
      <c r="A14">
        <v>1000</v>
      </c>
      <c r="B14">
        <v>115.014</v>
      </c>
      <c r="C14">
        <v>0.115193</v>
      </c>
      <c r="D14">
        <v>0.116538</v>
      </c>
      <c r="E14">
        <v>0.11562799999999999</v>
      </c>
      <c r="F14">
        <v>0.115082</v>
      </c>
    </row>
    <row r="15" spans="1:8">
      <c r="A15">
        <v>1000</v>
      </c>
      <c r="B15">
        <v>114.84699999999999</v>
      </c>
      <c r="C15">
        <v>0.114969</v>
      </c>
      <c r="D15">
        <v>0.11532000000000001</v>
      </c>
      <c r="E15">
        <v>0.11601300000000001</v>
      </c>
      <c r="F15">
        <v>0.115136</v>
      </c>
    </row>
    <row r="16" spans="1:8">
      <c r="A16">
        <v>1000</v>
      </c>
      <c r="B16">
        <v>115.303</v>
      </c>
      <c r="C16">
        <v>0.115399</v>
      </c>
      <c r="D16">
        <v>0.115409</v>
      </c>
      <c r="E16">
        <v>0.11482100000000001</v>
      </c>
      <c r="F16">
        <v>0.115693</v>
      </c>
    </row>
    <row r="17" spans="1:6">
      <c r="A17">
        <v>1000</v>
      </c>
      <c r="B17">
        <v>115.214</v>
      </c>
      <c r="C17">
        <v>0.11543200000000001</v>
      </c>
      <c r="D17">
        <v>0.11643000000000001</v>
      </c>
      <c r="E17">
        <v>0.115207</v>
      </c>
      <c r="F17">
        <v>0.115351</v>
      </c>
    </row>
    <row r="18" spans="1:6">
      <c r="A18">
        <v>1000</v>
      </c>
      <c r="B18">
        <v>115.006</v>
      </c>
      <c r="C18">
        <v>0.11505600000000001</v>
      </c>
      <c r="D18">
        <v>0.13076699999999999</v>
      </c>
      <c r="E18">
        <v>0.116303</v>
      </c>
      <c r="F18">
        <v>0.11511</v>
      </c>
    </row>
    <row r="19" spans="1:6">
      <c r="A19">
        <v>1000</v>
      </c>
      <c r="B19">
        <v>115.60299999999999</v>
      </c>
      <c r="C19">
        <v>0.11543200000000001</v>
      </c>
      <c r="D19">
        <v>0.115494</v>
      </c>
      <c r="E19">
        <v>0.115554</v>
      </c>
      <c r="F19">
        <v>0.115261</v>
      </c>
    </row>
    <row r="20" spans="1:6">
      <c r="A20">
        <v>1000</v>
      </c>
      <c r="B20">
        <v>114.92700000000001</v>
      </c>
      <c r="C20">
        <v>0.11515599999999999</v>
      </c>
      <c r="D20">
        <v>0.115534</v>
      </c>
      <c r="E20">
        <v>0.11486399999999999</v>
      </c>
      <c r="F20">
        <v>0.115561</v>
      </c>
    </row>
    <row r="21" spans="1:6">
      <c r="A21">
        <v>1000</v>
      </c>
      <c r="B21">
        <v>115.063</v>
      </c>
      <c r="C21">
        <v>0.11529200000000001</v>
      </c>
      <c r="D21">
        <v>0.115255</v>
      </c>
      <c r="E21">
        <v>0.114875</v>
      </c>
      <c r="F21">
        <v>0.114847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topLeftCell="K1" workbookViewId="0">
      <selection activeCell="T43" sqref="T43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0.35899999999999999</v>
      </c>
      <c r="C3">
        <v>1.17E-4</v>
      </c>
      <c r="D3">
        <v>1.05E-4</v>
      </c>
      <c r="E3">
        <v>1.05E-4</v>
      </c>
      <c r="F3">
        <v>1.0399999999999999E-4</v>
      </c>
      <c r="I3">
        <v>9.9000000000000005E-2</v>
      </c>
      <c r="J3" s="1">
        <v>6.3999999999999997E-5</v>
      </c>
      <c r="K3" s="1">
        <v>5.7000000000000003E-5</v>
      </c>
      <c r="L3" s="1">
        <v>5.8E-5</v>
      </c>
      <c r="M3" s="1">
        <v>6.3999999999999997E-5</v>
      </c>
      <c r="N3" s="1"/>
      <c r="P3">
        <v>0.16800000000000001</v>
      </c>
      <c r="Q3">
        <v>1.16E-4</v>
      </c>
      <c r="R3">
        <v>1.06E-4</v>
      </c>
      <c r="S3">
        <v>1.05E-4</v>
      </c>
      <c r="T3">
        <v>1.16E-4</v>
      </c>
      <c r="W3">
        <v>0.23100000000000001</v>
      </c>
      <c r="X3">
        <v>0.10299999999999999</v>
      </c>
      <c r="Y3">
        <v>0.107</v>
      </c>
      <c r="Z3">
        <v>9.7000000000000003E-2</v>
      </c>
      <c r="AA3">
        <v>0.108</v>
      </c>
      <c r="AD3">
        <v>0.13900000000000001</v>
      </c>
      <c r="AE3">
        <v>5.5E-2</v>
      </c>
      <c r="AF3">
        <v>5.8999999999999997E-2</v>
      </c>
      <c r="AG3">
        <v>5.5E-2</v>
      </c>
      <c r="AH3">
        <v>5.3999999999999999E-2</v>
      </c>
      <c r="AK3">
        <v>0.129</v>
      </c>
      <c r="AL3">
        <v>5.5E-2</v>
      </c>
      <c r="AM3">
        <v>6.2E-2</v>
      </c>
      <c r="AN3">
        <v>5.3999999999999999E-2</v>
      </c>
      <c r="AO3">
        <v>5.3999999999999999E-2</v>
      </c>
    </row>
    <row r="4" spans="1:41">
      <c r="A4">
        <v>2</v>
      </c>
      <c r="B4">
        <v>0.105</v>
      </c>
      <c r="C4">
        <v>1.0399999999999999E-4</v>
      </c>
      <c r="D4">
        <v>1E-4</v>
      </c>
      <c r="E4" s="1">
        <v>9.2E-5</v>
      </c>
      <c r="F4" s="1">
        <v>8.8999999999999995E-5</v>
      </c>
      <c r="G4" s="1"/>
      <c r="I4">
        <v>0.06</v>
      </c>
      <c r="J4" s="1">
        <v>6.0000000000000002E-5</v>
      </c>
      <c r="K4" s="1">
        <v>5.8E-5</v>
      </c>
      <c r="L4">
        <v>1.76E-4</v>
      </c>
      <c r="M4" s="1">
        <v>7.7000000000000001E-5</v>
      </c>
      <c r="N4" s="1"/>
      <c r="P4">
        <v>8.8999999999999996E-2</v>
      </c>
      <c r="Q4" s="1">
        <v>8.8999999999999995E-5</v>
      </c>
      <c r="R4" s="1">
        <v>8.5000000000000006E-5</v>
      </c>
      <c r="S4">
        <v>1.5100000000000001E-4</v>
      </c>
      <c r="T4" s="1">
        <v>9.2999999999999997E-5</v>
      </c>
      <c r="U4" s="1"/>
      <c r="W4">
        <v>8.2000000000000003E-2</v>
      </c>
      <c r="X4">
        <v>8.5999999999999993E-2</v>
      </c>
      <c r="Y4">
        <v>8.3000000000000004E-2</v>
      </c>
      <c r="Z4">
        <v>0.187</v>
      </c>
      <c r="AA4">
        <v>7.9000000000000001E-2</v>
      </c>
      <c r="AD4">
        <v>0.80800000000000005</v>
      </c>
      <c r="AE4">
        <v>4.9000000000000002E-2</v>
      </c>
      <c r="AF4">
        <v>5.3999999999999999E-2</v>
      </c>
      <c r="AG4">
        <v>5.0999999999999997E-2</v>
      </c>
      <c r="AH4">
        <v>0.16700000000000001</v>
      </c>
      <c r="AK4">
        <v>0.98899999999999999</v>
      </c>
      <c r="AL4">
        <v>5.1999999999999998E-2</v>
      </c>
      <c r="AM4">
        <v>0.05</v>
      </c>
      <c r="AN4">
        <v>0.05</v>
      </c>
      <c r="AO4">
        <v>5.8999999999999997E-2</v>
      </c>
    </row>
    <row r="5" spans="1:41">
      <c r="A5">
        <v>3</v>
      </c>
      <c r="B5">
        <v>9.1999999999999998E-2</v>
      </c>
      <c r="C5" s="1">
        <v>9.1000000000000003E-5</v>
      </c>
      <c r="D5" s="1">
        <v>9.2999999999999997E-5</v>
      </c>
      <c r="E5">
        <v>1.03E-4</v>
      </c>
      <c r="F5" s="1">
        <v>8.3999999999999995E-5</v>
      </c>
      <c r="G5" s="1"/>
      <c r="I5">
        <v>9.1999999999999998E-2</v>
      </c>
      <c r="J5">
        <v>5.0900000000000001E-4</v>
      </c>
      <c r="K5" s="1">
        <v>5.5000000000000002E-5</v>
      </c>
      <c r="L5" s="1">
        <v>5.1999999999999997E-5</v>
      </c>
      <c r="M5" s="1">
        <v>5.3000000000000001E-5</v>
      </c>
      <c r="N5" s="1"/>
      <c r="P5">
        <v>9.8000000000000004E-2</v>
      </c>
      <c r="Q5">
        <v>1.08E-4</v>
      </c>
      <c r="R5" s="1">
        <v>8.2000000000000001E-5</v>
      </c>
      <c r="S5" s="1">
        <v>8.3999999999999995E-5</v>
      </c>
      <c r="T5" s="1">
        <v>8.2000000000000001E-5</v>
      </c>
      <c r="U5" s="1"/>
      <c r="W5">
        <v>8.2000000000000003E-2</v>
      </c>
      <c r="X5">
        <v>7.8E-2</v>
      </c>
      <c r="Y5">
        <v>9.2999999999999999E-2</v>
      </c>
      <c r="Z5">
        <v>0.151</v>
      </c>
      <c r="AA5">
        <v>7.5999999999999998E-2</v>
      </c>
      <c r="AD5">
        <v>5.5E-2</v>
      </c>
      <c r="AE5">
        <v>5.5E-2</v>
      </c>
      <c r="AF5">
        <v>5.6000000000000001E-2</v>
      </c>
      <c r="AG5">
        <v>0.122</v>
      </c>
      <c r="AH5">
        <v>5.0999999999999997E-2</v>
      </c>
      <c r="AK5">
        <v>7.9000000000000001E-2</v>
      </c>
      <c r="AL5">
        <v>0.05</v>
      </c>
      <c r="AM5">
        <v>5.3999999999999999E-2</v>
      </c>
      <c r="AN5">
        <v>6.9000000000000006E-2</v>
      </c>
      <c r="AO5">
        <v>4.8000000000000001E-2</v>
      </c>
    </row>
    <row r="6" spans="1:41">
      <c r="A6">
        <v>4</v>
      </c>
      <c r="B6">
        <v>8.6999999999999994E-2</v>
      </c>
      <c r="C6" s="1">
        <v>8.3999999999999995E-5</v>
      </c>
      <c r="D6">
        <v>2.2900000000000001E-4</v>
      </c>
      <c r="E6" s="1">
        <v>7.6000000000000004E-5</v>
      </c>
      <c r="F6" s="1">
        <v>8.2000000000000001E-5</v>
      </c>
      <c r="G6" s="1"/>
      <c r="I6">
        <v>5.5E-2</v>
      </c>
      <c r="J6" s="1">
        <v>5.3999999999999998E-5</v>
      </c>
      <c r="K6" s="1">
        <v>5.3999999999999998E-5</v>
      </c>
      <c r="L6" s="1">
        <v>5.3000000000000001E-5</v>
      </c>
      <c r="M6" s="1">
        <v>5.1999999999999997E-5</v>
      </c>
      <c r="N6" s="1"/>
      <c r="P6">
        <v>8.8999999999999996E-2</v>
      </c>
      <c r="Q6" s="1">
        <v>8.7000000000000001E-5</v>
      </c>
      <c r="R6" s="1">
        <v>8.6000000000000003E-5</v>
      </c>
      <c r="S6" s="1">
        <v>7.4999999999999993E-5</v>
      </c>
      <c r="T6" s="1">
        <v>8.2000000000000001E-5</v>
      </c>
      <c r="U6" s="1"/>
      <c r="W6">
        <v>0.08</v>
      </c>
      <c r="X6">
        <v>7.0999999999999994E-2</v>
      </c>
      <c r="Y6">
        <v>0.10299999999999999</v>
      </c>
      <c r="Z6">
        <v>7.8E-2</v>
      </c>
      <c r="AA6">
        <v>6.9000000000000006E-2</v>
      </c>
      <c r="AD6">
        <v>5.0999999999999997E-2</v>
      </c>
      <c r="AE6">
        <v>4.9000000000000002E-2</v>
      </c>
      <c r="AF6">
        <v>0.2</v>
      </c>
      <c r="AG6">
        <v>4.6219999999999999</v>
      </c>
      <c r="AH6">
        <v>5.0999999999999997E-2</v>
      </c>
      <c r="AK6">
        <v>0.104</v>
      </c>
      <c r="AL6">
        <v>4.9000000000000002E-2</v>
      </c>
      <c r="AM6">
        <v>0.22700000000000001</v>
      </c>
      <c r="AN6">
        <v>4.9000000000000002E-2</v>
      </c>
      <c r="AO6">
        <v>0.05</v>
      </c>
    </row>
    <row r="7" spans="1:41">
      <c r="A7">
        <v>5</v>
      </c>
      <c r="B7">
        <v>8.8999999999999996E-2</v>
      </c>
      <c r="C7" s="1">
        <v>8.5000000000000006E-5</v>
      </c>
      <c r="D7" s="1">
        <v>8.5000000000000006E-5</v>
      </c>
      <c r="E7" s="1">
        <v>8.2000000000000001E-5</v>
      </c>
      <c r="F7" s="1">
        <v>8.0000000000000007E-5</v>
      </c>
      <c r="G7" s="1"/>
      <c r="I7">
        <v>5.6000000000000001E-2</v>
      </c>
      <c r="J7" s="1">
        <v>5.7000000000000003E-5</v>
      </c>
      <c r="K7" s="1">
        <v>5.3000000000000001E-5</v>
      </c>
      <c r="L7" s="1">
        <v>5.3000000000000001E-5</v>
      </c>
      <c r="M7" s="1">
        <v>5.3000000000000001E-5</v>
      </c>
      <c r="N7" s="1"/>
      <c r="P7">
        <v>8.7999999999999995E-2</v>
      </c>
      <c r="Q7" s="1">
        <v>8.7000000000000001E-5</v>
      </c>
      <c r="R7" s="1">
        <v>8.2000000000000001E-5</v>
      </c>
      <c r="S7" s="1">
        <v>8.3999999999999995E-5</v>
      </c>
      <c r="T7" s="1">
        <v>8.5000000000000006E-5</v>
      </c>
      <c r="U7" s="1"/>
      <c r="W7">
        <v>8.1000000000000003E-2</v>
      </c>
      <c r="X7">
        <v>7.6999999999999999E-2</v>
      </c>
      <c r="Y7">
        <v>0.19900000000000001</v>
      </c>
      <c r="Z7">
        <v>7.0000000000000007E-2</v>
      </c>
      <c r="AA7">
        <v>7.4999999999999997E-2</v>
      </c>
      <c r="AD7">
        <v>5.6000000000000001E-2</v>
      </c>
      <c r="AE7">
        <v>5.3999999999999999E-2</v>
      </c>
      <c r="AF7">
        <v>5.7000000000000002E-2</v>
      </c>
      <c r="AG7">
        <v>8.6999999999999994E-2</v>
      </c>
      <c r="AH7">
        <v>4.7E-2</v>
      </c>
      <c r="AK7">
        <v>3.3849999999999998</v>
      </c>
      <c r="AL7">
        <v>5.0999999999999997E-2</v>
      </c>
      <c r="AM7">
        <v>5.3999999999999999E-2</v>
      </c>
      <c r="AN7">
        <v>5.0999999999999997E-2</v>
      </c>
      <c r="AO7">
        <v>5.1999999999999998E-2</v>
      </c>
    </row>
    <row r="8" spans="1:41">
      <c r="A8">
        <v>6</v>
      </c>
      <c r="B8">
        <v>0.21299999999999999</v>
      </c>
      <c r="C8" s="1">
        <v>8.0000000000000007E-5</v>
      </c>
      <c r="D8" s="1">
        <v>8.3999999999999995E-5</v>
      </c>
      <c r="E8" s="1">
        <v>8.1000000000000004E-5</v>
      </c>
      <c r="F8" s="1">
        <v>8.1000000000000004E-5</v>
      </c>
      <c r="G8" s="1"/>
      <c r="I8">
        <v>5.7000000000000002E-2</v>
      </c>
      <c r="J8" s="1">
        <v>6.7999999999999999E-5</v>
      </c>
      <c r="K8" s="1">
        <v>5.5000000000000002E-5</v>
      </c>
      <c r="L8">
        <v>2.5599999999999999E-4</v>
      </c>
      <c r="M8" s="1">
        <v>8.3999999999999995E-5</v>
      </c>
      <c r="N8" s="1"/>
      <c r="P8">
        <v>8.5000000000000006E-2</v>
      </c>
      <c r="Q8" s="1">
        <v>8.7000000000000001E-5</v>
      </c>
      <c r="R8" s="1">
        <v>7.6000000000000004E-5</v>
      </c>
      <c r="S8" s="1">
        <v>8.2000000000000001E-5</v>
      </c>
      <c r="T8" s="1">
        <v>8.1000000000000004E-5</v>
      </c>
      <c r="U8" s="1"/>
      <c r="W8">
        <v>8.2000000000000003E-2</v>
      </c>
      <c r="X8">
        <v>7.0999999999999994E-2</v>
      </c>
      <c r="Y8">
        <v>7.5999999999999998E-2</v>
      </c>
      <c r="Z8">
        <v>7.5999999999999998E-2</v>
      </c>
      <c r="AA8">
        <v>7.8E-2</v>
      </c>
      <c r="AD8">
        <v>5.8999999999999997E-2</v>
      </c>
      <c r="AE8">
        <v>9.0999999999999998E-2</v>
      </c>
      <c r="AF8">
        <v>0.17399999999999999</v>
      </c>
      <c r="AG8">
        <v>6.9000000000000006E-2</v>
      </c>
      <c r="AH8">
        <v>0.16400000000000001</v>
      </c>
      <c r="AK8">
        <v>5.7000000000000002E-2</v>
      </c>
      <c r="AL8">
        <v>5.0999999999999997E-2</v>
      </c>
      <c r="AM8">
        <v>4.7E-2</v>
      </c>
      <c r="AN8">
        <v>0.05</v>
      </c>
      <c r="AO8">
        <v>4.9000000000000002E-2</v>
      </c>
    </row>
    <row r="9" spans="1:41">
      <c r="A9">
        <v>7</v>
      </c>
      <c r="B9">
        <v>8.4000000000000005E-2</v>
      </c>
      <c r="C9" s="1">
        <v>8.7999999999999998E-5</v>
      </c>
      <c r="D9" s="1">
        <v>8.0000000000000007E-5</v>
      </c>
      <c r="E9" s="1">
        <v>8.1000000000000004E-5</v>
      </c>
      <c r="F9">
        <v>2.3900000000000001E-4</v>
      </c>
      <c r="I9">
        <v>5.6000000000000001E-2</v>
      </c>
      <c r="J9" s="1">
        <v>5.5000000000000002E-5</v>
      </c>
      <c r="K9" s="1">
        <v>5.3000000000000001E-5</v>
      </c>
      <c r="L9" s="1">
        <v>5.3000000000000001E-5</v>
      </c>
      <c r="M9" s="1">
        <v>5.3000000000000001E-5</v>
      </c>
      <c r="N9" s="1"/>
      <c r="P9">
        <v>8.1000000000000003E-2</v>
      </c>
      <c r="Q9" s="1">
        <v>8.7999999999999998E-5</v>
      </c>
      <c r="R9" s="1">
        <v>8.2999999999999998E-5</v>
      </c>
      <c r="S9" s="1">
        <v>8.0000000000000007E-5</v>
      </c>
      <c r="T9" s="1">
        <v>8.3999999999999995E-5</v>
      </c>
      <c r="U9" s="1"/>
      <c r="W9">
        <v>0.08</v>
      </c>
      <c r="X9">
        <v>0.106</v>
      </c>
      <c r="Y9">
        <v>7.6999999999999999E-2</v>
      </c>
      <c r="Z9">
        <v>7.3999999999999996E-2</v>
      </c>
      <c r="AA9">
        <v>0.247</v>
      </c>
      <c r="AD9">
        <v>6.9000000000000006E-2</v>
      </c>
      <c r="AE9">
        <v>0.13200000000000001</v>
      </c>
      <c r="AF9">
        <v>0.05</v>
      </c>
      <c r="AG9">
        <v>4.7E-2</v>
      </c>
      <c r="AH9">
        <v>4.9000000000000002E-2</v>
      </c>
      <c r="AK9">
        <v>0.05</v>
      </c>
      <c r="AL9">
        <v>4.9000000000000002E-2</v>
      </c>
      <c r="AM9">
        <v>1.046</v>
      </c>
      <c r="AN9">
        <v>8.4000000000000005E-2</v>
      </c>
      <c r="AO9">
        <v>4.9000000000000002E-2</v>
      </c>
    </row>
    <row r="10" spans="1:41">
      <c r="A10">
        <v>8</v>
      </c>
      <c r="B10">
        <v>8.5999999999999993E-2</v>
      </c>
      <c r="C10">
        <v>1.0399999999999999E-4</v>
      </c>
      <c r="D10">
        <v>1.02E-4</v>
      </c>
      <c r="E10" s="1">
        <v>7.6000000000000004E-5</v>
      </c>
      <c r="F10">
        <v>1.2300000000000001E-4</v>
      </c>
      <c r="I10">
        <v>5.6000000000000001E-2</v>
      </c>
      <c r="J10" s="1">
        <v>5.5000000000000002E-5</v>
      </c>
      <c r="K10" s="1">
        <v>5.1999999999999997E-5</v>
      </c>
      <c r="L10">
        <v>5.7340000000000004E-3</v>
      </c>
      <c r="M10">
        <v>1.3408E-2</v>
      </c>
      <c r="P10">
        <v>8.4000000000000005E-2</v>
      </c>
      <c r="Q10" s="1">
        <v>8.5000000000000006E-5</v>
      </c>
      <c r="R10" s="1">
        <v>8.1000000000000004E-5</v>
      </c>
      <c r="S10" s="1">
        <v>8.3999999999999995E-5</v>
      </c>
      <c r="T10" s="1">
        <v>8.0000000000000007E-5</v>
      </c>
      <c r="U10" s="1"/>
      <c r="W10">
        <v>7.0999999999999994E-2</v>
      </c>
      <c r="X10">
        <v>6.9000000000000006E-2</v>
      </c>
      <c r="Y10">
        <v>6.8000000000000005E-2</v>
      </c>
      <c r="Z10">
        <v>7.4999999999999997E-2</v>
      </c>
      <c r="AA10">
        <v>7.5999999999999998E-2</v>
      </c>
      <c r="AD10">
        <v>5.1999999999999998E-2</v>
      </c>
      <c r="AE10">
        <v>4.9000000000000002E-2</v>
      </c>
      <c r="AF10">
        <v>4.8000000000000001E-2</v>
      </c>
      <c r="AG10">
        <v>4.7E-2</v>
      </c>
      <c r="AH10">
        <v>4.7E-2</v>
      </c>
      <c r="AK10">
        <v>5.8999999999999997E-2</v>
      </c>
      <c r="AL10">
        <v>7.9000000000000001E-2</v>
      </c>
      <c r="AM10">
        <v>7.0999999999999994E-2</v>
      </c>
      <c r="AN10">
        <v>7.9000000000000001E-2</v>
      </c>
      <c r="AO10">
        <v>5.1999999999999998E-2</v>
      </c>
    </row>
    <row r="11" spans="1:41">
      <c r="A11">
        <v>9</v>
      </c>
      <c r="B11">
        <v>0.08</v>
      </c>
      <c r="C11" s="1">
        <v>8.0000000000000007E-5</v>
      </c>
      <c r="D11">
        <v>2.2599999999999999E-4</v>
      </c>
      <c r="E11">
        <v>1E-4</v>
      </c>
      <c r="F11" s="1">
        <v>8.2000000000000001E-5</v>
      </c>
      <c r="G11" s="1"/>
      <c r="I11">
        <v>4.8250000000000002</v>
      </c>
      <c r="J11">
        <v>1.56E-4</v>
      </c>
      <c r="K11">
        <v>1.16E-4</v>
      </c>
      <c r="L11">
        <v>1.13E-4</v>
      </c>
      <c r="M11">
        <v>1E-4</v>
      </c>
      <c r="P11">
        <v>8.5000000000000006E-2</v>
      </c>
      <c r="Q11" s="1">
        <v>8.8999999999999995E-5</v>
      </c>
      <c r="R11" s="1">
        <v>8.3999999999999995E-5</v>
      </c>
      <c r="S11" s="1">
        <v>8.1000000000000004E-5</v>
      </c>
      <c r="T11" s="1">
        <v>7.6000000000000004E-5</v>
      </c>
      <c r="U11" s="1"/>
      <c r="W11">
        <v>7.9000000000000001E-2</v>
      </c>
      <c r="X11">
        <v>6.8000000000000005E-2</v>
      </c>
      <c r="Y11">
        <v>0.19</v>
      </c>
      <c r="Z11">
        <v>7.5999999999999998E-2</v>
      </c>
      <c r="AA11">
        <v>0.89200000000000002</v>
      </c>
      <c r="AD11">
        <v>5.0999999999999997E-2</v>
      </c>
      <c r="AE11">
        <v>4.9000000000000002E-2</v>
      </c>
      <c r="AF11">
        <v>4.8000000000000001E-2</v>
      </c>
      <c r="AG11">
        <v>4.7E-2</v>
      </c>
      <c r="AH11">
        <v>0.15</v>
      </c>
      <c r="AK11">
        <v>5.1999999999999998E-2</v>
      </c>
      <c r="AL11">
        <v>0.05</v>
      </c>
      <c r="AM11">
        <v>4.9000000000000002E-2</v>
      </c>
      <c r="AN11">
        <v>4.8000000000000001E-2</v>
      </c>
      <c r="AO11">
        <v>4.8000000000000001E-2</v>
      </c>
    </row>
    <row r="12" spans="1:41">
      <c r="A12">
        <v>10</v>
      </c>
      <c r="B12">
        <v>8.2000000000000003E-2</v>
      </c>
      <c r="C12" s="1">
        <v>7.8999999999999996E-5</v>
      </c>
      <c r="D12" s="1">
        <v>7.4999999999999993E-5</v>
      </c>
      <c r="E12" s="1">
        <v>7.4999999999999993E-5</v>
      </c>
      <c r="F12" s="1">
        <v>7.3999999999999996E-5</v>
      </c>
      <c r="G12" s="1"/>
      <c r="I12">
        <v>0.10299999999999999</v>
      </c>
      <c r="J12">
        <v>1.1400000000000001E-4</v>
      </c>
      <c r="K12">
        <v>1.17E-4</v>
      </c>
      <c r="L12" s="1">
        <v>8.6000000000000003E-5</v>
      </c>
      <c r="M12" s="1">
        <v>9.0000000000000006E-5</v>
      </c>
      <c r="N12" s="1"/>
      <c r="P12">
        <v>7.9000000000000001E-2</v>
      </c>
      <c r="Q12" s="1">
        <v>8.3999999999999995E-5</v>
      </c>
      <c r="R12" s="1">
        <v>8.6000000000000003E-5</v>
      </c>
      <c r="S12" s="1">
        <v>7.7000000000000001E-5</v>
      </c>
      <c r="T12" s="1">
        <v>8.2999999999999998E-5</v>
      </c>
      <c r="U12" s="1"/>
      <c r="W12">
        <v>7.4999999999999997E-2</v>
      </c>
      <c r="X12">
        <v>6.9000000000000006E-2</v>
      </c>
      <c r="Y12">
        <v>7.0000000000000007E-2</v>
      </c>
      <c r="Z12">
        <v>0.63800000000000001</v>
      </c>
      <c r="AA12">
        <v>6.2E-2</v>
      </c>
      <c r="AD12">
        <v>0.05</v>
      </c>
      <c r="AE12">
        <v>0.18</v>
      </c>
      <c r="AF12">
        <v>0.05</v>
      </c>
      <c r="AG12">
        <v>4.9000000000000002E-2</v>
      </c>
      <c r="AH12">
        <v>4.9000000000000002E-2</v>
      </c>
      <c r="AK12">
        <v>5.1999999999999998E-2</v>
      </c>
      <c r="AL12">
        <v>6.3E-2</v>
      </c>
      <c r="AM12">
        <v>4.8000000000000001E-2</v>
      </c>
      <c r="AN12">
        <v>4.7E-2</v>
      </c>
      <c r="AO12">
        <v>0.10199999999999999</v>
      </c>
    </row>
    <row r="13" spans="1:41">
      <c r="A13">
        <v>11</v>
      </c>
      <c r="B13">
        <v>7.8E-2</v>
      </c>
      <c r="C13" s="1">
        <v>7.7999999999999999E-5</v>
      </c>
      <c r="D13" s="1">
        <v>7.3999999999999996E-5</v>
      </c>
      <c r="E13" s="1">
        <v>7.4999999999999993E-5</v>
      </c>
      <c r="F13" s="1">
        <v>7.4999999999999993E-5</v>
      </c>
      <c r="G13" s="1"/>
      <c r="I13">
        <v>9.4E-2</v>
      </c>
      <c r="J13" s="1">
        <v>9.2999999999999997E-5</v>
      </c>
      <c r="K13" s="1">
        <v>9.7999999999999997E-5</v>
      </c>
      <c r="L13" s="1">
        <v>7.6000000000000004E-5</v>
      </c>
      <c r="M13" s="1">
        <v>7.6000000000000004E-5</v>
      </c>
      <c r="N13" s="1"/>
      <c r="P13">
        <v>7.9000000000000001E-2</v>
      </c>
      <c r="Q13" s="1">
        <v>8.0000000000000007E-5</v>
      </c>
      <c r="R13" s="1">
        <v>7.4999999999999993E-5</v>
      </c>
      <c r="S13">
        <v>7.0809999999999996E-3</v>
      </c>
      <c r="T13">
        <v>2.1111000000000001E-2</v>
      </c>
      <c r="W13">
        <v>6.4000000000000001E-2</v>
      </c>
      <c r="X13">
        <v>6.2E-2</v>
      </c>
      <c r="Y13">
        <v>6.2E-2</v>
      </c>
      <c r="Z13">
        <v>0.06</v>
      </c>
      <c r="AA13">
        <v>0.06</v>
      </c>
      <c r="AD13">
        <v>5.0999999999999997E-2</v>
      </c>
      <c r="AE13">
        <v>4.9000000000000002E-2</v>
      </c>
      <c r="AF13">
        <v>4.8000000000000001E-2</v>
      </c>
      <c r="AG13">
        <v>4.7E-2</v>
      </c>
      <c r="AH13">
        <v>4.9000000000000002E-2</v>
      </c>
      <c r="AK13">
        <v>5.0999999999999997E-2</v>
      </c>
      <c r="AL13">
        <v>6.8000000000000005E-2</v>
      </c>
      <c r="AM13">
        <v>0.05</v>
      </c>
      <c r="AN13">
        <v>4.8000000000000001E-2</v>
      </c>
      <c r="AO13">
        <v>0.10299999999999999</v>
      </c>
    </row>
    <row r="14" spans="1:41">
      <c r="A14">
        <v>12</v>
      </c>
      <c r="B14">
        <v>7.9000000000000001E-2</v>
      </c>
      <c r="C14" s="1">
        <v>7.8999999999999996E-5</v>
      </c>
      <c r="D14" s="1">
        <v>7.4999999999999993E-5</v>
      </c>
      <c r="E14" s="1">
        <v>7.7999999999999999E-5</v>
      </c>
      <c r="F14" s="1">
        <v>7.6000000000000004E-5</v>
      </c>
      <c r="G14" s="1"/>
      <c r="I14">
        <v>8.1000000000000003E-2</v>
      </c>
      <c r="J14">
        <v>2.5700000000000001E-4</v>
      </c>
      <c r="K14" s="1">
        <v>7.7999999999999999E-5</v>
      </c>
      <c r="L14">
        <v>1.8799999999999999E-4</v>
      </c>
      <c r="M14" s="1">
        <v>8.0000000000000007E-5</v>
      </c>
      <c r="N14" s="1"/>
      <c r="P14">
        <v>0.122</v>
      </c>
      <c r="Q14">
        <v>1.11E-4</v>
      </c>
      <c r="R14">
        <v>1.06E-4</v>
      </c>
      <c r="S14">
        <v>1.03E-4</v>
      </c>
      <c r="T14" s="1">
        <v>9.8999999999999994E-5</v>
      </c>
      <c r="U14" s="1"/>
      <c r="W14">
        <v>6.2E-2</v>
      </c>
      <c r="X14">
        <v>6.4000000000000001E-2</v>
      </c>
      <c r="Y14">
        <v>6.0999999999999999E-2</v>
      </c>
      <c r="Z14">
        <v>6.0999999999999999E-2</v>
      </c>
      <c r="AA14">
        <v>6.2E-2</v>
      </c>
      <c r="AD14">
        <v>0.187</v>
      </c>
      <c r="AE14">
        <v>5.7000000000000002E-2</v>
      </c>
      <c r="AF14">
        <v>5.3999999999999999E-2</v>
      </c>
      <c r="AG14">
        <v>5.3999999999999999E-2</v>
      </c>
      <c r="AH14">
        <v>5.2999999999999999E-2</v>
      </c>
      <c r="AK14">
        <v>5.0999999999999997E-2</v>
      </c>
      <c r="AL14">
        <v>4.8000000000000001E-2</v>
      </c>
      <c r="AM14">
        <v>0.05</v>
      </c>
      <c r="AN14">
        <v>4.7E-2</v>
      </c>
      <c r="AO14">
        <v>0.05</v>
      </c>
    </row>
    <row r="15" spans="1:41">
      <c r="A15">
        <v>13</v>
      </c>
      <c r="B15">
        <v>7.8E-2</v>
      </c>
      <c r="C15" s="1">
        <v>7.7000000000000001E-5</v>
      </c>
      <c r="D15" s="1">
        <v>7.4999999999999993E-5</v>
      </c>
      <c r="E15" s="1">
        <v>8.2999999999999998E-5</v>
      </c>
      <c r="F15" s="1">
        <v>6.7000000000000002E-5</v>
      </c>
      <c r="G15" s="1"/>
      <c r="I15">
        <v>8.1000000000000003E-2</v>
      </c>
      <c r="J15" s="1">
        <v>8.0000000000000007E-5</v>
      </c>
      <c r="K15" s="1">
        <v>8.0000000000000007E-5</v>
      </c>
      <c r="L15" s="1">
        <v>7.6000000000000004E-5</v>
      </c>
      <c r="M15" s="1">
        <v>7.7999999999999999E-5</v>
      </c>
      <c r="N15" s="1"/>
      <c r="P15">
        <v>9.9000000000000005E-2</v>
      </c>
      <c r="Q15" s="1">
        <v>9.0000000000000006E-5</v>
      </c>
      <c r="R15" s="1">
        <v>9.2E-5</v>
      </c>
      <c r="S15" s="1">
        <v>8.8999999999999995E-5</v>
      </c>
      <c r="T15" s="1">
        <v>9.7E-5</v>
      </c>
      <c r="U15" s="1"/>
      <c r="W15">
        <v>6.6000000000000003E-2</v>
      </c>
      <c r="X15">
        <v>0.06</v>
      </c>
      <c r="Y15">
        <v>3.7410000000000001</v>
      </c>
      <c r="Z15">
        <v>5.7000000000000002E-2</v>
      </c>
      <c r="AA15">
        <v>5.5E-2</v>
      </c>
      <c r="AD15">
        <v>5.7000000000000002E-2</v>
      </c>
      <c r="AE15">
        <v>5.2999999999999999E-2</v>
      </c>
      <c r="AF15">
        <v>5.1999999999999998E-2</v>
      </c>
      <c r="AG15">
        <v>0.17699999999999999</v>
      </c>
      <c r="AH15">
        <v>7.0999999999999994E-2</v>
      </c>
      <c r="AK15">
        <v>0.05</v>
      </c>
      <c r="AL15">
        <v>4.8000000000000001E-2</v>
      </c>
      <c r="AM15">
        <v>4.8000000000000001E-2</v>
      </c>
      <c r="AN15">
        <v>4.5999999999999999E-2</v>
      </c>
      <c r="AO15">
        <v>4.5999999999999999E-2</v>
      </c>
    </row>
    <row r="16" spans="1:41">
      <c r="A16">
        <v>14</v>
      </c>
      <c r="B16">
        <v>0.435</v>
      </c>
      <c r="C16">
        <v>1.7750000000000001E-3</v>
      </c>
      <c r="D16">
        <v>2.24E-4</v>
      </c>
      <c r="E16" s="1">
        <v>6.4999999999999994E-5</v>
      </c>
      <c r="F16" s="1">
        <v>7.7999999999999999E-5</v>
      </c>
      <c r="G16" s="1"/>
      <c r="I16">
        <v>7.9000000000000001E-2</v>
      </c>
      <c r="J16" s="1">
        <v>8.1000000000000004E-5</v>
      </c>
      <c r="K16" s="1">
        <v>7.6000000000000004E-5</v>
      </c>
      <c r="L16" s="1">
        <v>7.6000000000000004E-5</v>
      </c>
      <c r="M16" s="1">
        <v>7.6000000000000004E-5</v>
      </c>
      <c r="N16" s="1"/>
      <c r="P16">
        <v>9.8000000000000004E-2</v>
      </c>
      <c r="Q16" s="1">
        <v>8.1000000000000004E-5</v>
      </c>
      <c r="R16" s="1">
        <v>8.2000000000000001E-5</v>
      </c>
      <c r="S16" s="1">
        <v>7.6000000000000004E-5</v>
      </c>
      <c r="T16" s="1">
        <v>7.4999999999999993E-5</v>
      </c>
      <c r="U16" s="1"/>
      <c r="W16">
        <v>6.3E-2</v>
      </c>
      <c r="X16">
        <v>6.0999999999999999E-2</v>
      </c>
      <c r="Y16">
        <v>6.0999999999999999E-2</v>
      </c>
      <c r="Z16">
        <v>0.06</v>
      </c>
      <c r="AA16">
        <v>0.21</v>
      </c>
      <c r="AD16">
        <v>5.5E-2</v>
      </c>
      <c r="AE16">
        <v>5.3999999999999999E-2</v>
      </c>
      <c r="AF16">
        <v>0.35199999999999998</v>
      </c>
      <c r="AG16">
        <v>0.05</v>
      </c>
      <c r="AH16">
        <v>0.158</v>
      </c>
      <c r="AK16">
        <v>7.3999999999999996E-2</v>
      </c>
      <c r="AL16">
        <v>4.8000000000000001E-2</v>
      </c>
      <c r="AM16">
        <v>9.1999999999999998E-2</v>
      </c>
      <c r="AN16">
        <v>4.7E-2</v>
      </c>
      <c r="AO16">
        <v>4.8000000000000001E-2</v>
      </c>
    </row>
    <row r="17" spans="1:41">
      <c r="A17">
        <v>15</v>
      </c>
      <c r="B17">
        <v>0.155</v>
      </c>
      <c r="C17" s="1">
        <v>6.7000000000000002E-5</v>
      </c>
      <c r="D17" s="1">
        <v>6.3E-5</v>
      </c>
      <c r="E17" s="1">
        <v>6.0999999999999999E-5</v>
      </c>
      <c r="F17" s="1">
        <v>6.3E-5</v>
      </c>
      <c r="G17" s="1"/>
      <c r="I17">
        <v>0.08</v>
      </c>
      <c r="J17" s="1">
        <v>8.2999999999999998E-5</v>
      </c>
      <c r="K17" s="1">
        <v>7.7000000000000001E-5</v>
      </c>
      <c r="L17" s="1">
        <v>7.7000000000000001E-5</v>
      </c>
      <c r="M17" s="1">
        <v>7.3999999999999996E-5</v>
      </c>
      <c r="N17" s="1"/>
      <c r="P17">
        <v>0.08</v>
      </c>
      <c r="Q17">
        <v>6.6220000000000003E-3</v>
      </c>
      <c r="R17">
        <v>3.4600000000000001E-4</v>
      </c>
      <c r="S17" s="1">
        <v>8.2999999999999998E-5</v>
      </c>
      <c r="T17" s="1">
        <v>7.7999999999999999E-5</v>
      </c>
      <c r="U17" s="1"/>
      <c r="W17">
        <v>5.6000000000000001E-2</v>
      </c>
      <c r="X17">
        <v>5.7000000000000002E-2</v>
      </c>
      <c r="Y17">
        <v>5.5E-2</v>
      </c>
      <c r="Z17">
        <v>5.5E-2</v>
      </c>
      <c r="AA17">
        <v>1.4219999999999999</v>
      </c>
      <c r="AD17">
        <v>7.3999999999999996E-2</v>
      </c>
      <c r="AE17">
        <v>0.14799999999999999</v>
      </c>
      <c r="AF17">
        <v>4.8000000000000001E-2</v>
      </c>
      <c r="AG17">
        <v>4.8000000000000001E-2</v>
      </c>
      <c r="AH17">
        <v>4.9000000000000002E-2</v>
      </c>
      <c r="AK17">
        <v>0.05</v>
      </c>
      <c r="AL17">
        <v>4.8000000000000001E-2</v>
      </c>
      <c r="AM17">
        <v>0.14499999999999999</v>
      </c>
      <c r="AN17">
        <v>5.7000000000000002E-2</v>
      </c>
      <c r="AO17">
        <v>5.3999999999999999E-2</v>
      </c>
    </row>
    <row r="18" spans="1:41">
      <c r="A18">
        <v>16</v>
      </c>
      <c r="B18">
        <v>8.5000000000000006E-2</v>
      </c>
      <c r="C18" s="1">
        <v>6.6000000000000005E-5</v>
      </c>
      <c r="D18" s="1">
        <v>6.0999999999999999E-5</v>
      </c>
      <c r="E18" s="1">
        <v>6.0999999999999999E-5</v>
      </c>
      <c r="F18" s="1">
        <v>6.0000000000000002E-5</v>
      </c>
      <c r="G18" s="1"/>
      <c r="I18">
        <v>1.165</v>
      </c>
      <c r="J18" s="1">
        <v>9.0000000000000006E-5</v>
      </c>
      <c r="K18" s="1">
        <v>8.5000000000000006E-5</v>
      </c>
      <c r="L18" s="1">
        <v>7.6000000000000004E-5</v>
      </c>
      <c r="M18" s="1">
        <v>8.0000000000000007E-5</v>
      </c>
      <c r="N18" s="1"/>
      <c r="P18">
        <v>8.6999999999999994E-2</v>
      </c>
      <c r="Q18" s="1">
        <v>8.2000000000000001E-5</v>
      </c>
      <c r="R18" s="1">
        <v>7.7000000000000001E-5</v>
      </c>
      <c r="S18" s="1">
        <v>7.7000000000000001E-5</v>
      </c>
      <c r="T18" s="1">
        <v>7.7000000000000001E-5</v>
      </c>
      <c r="U18" s="1"/>
      <c r="W18">
        <v>6.6000000000000003E-2</v>
      </c>
      <c r="X18">
        <v>0.06</v>
      </c>
      <c r="Y18">
        <v>6.2E-2</v>
      </c>
      <c r="Z18">
        <v>6.2E-2</v>
      </c>
      <c r="AA18">
        <v>6.5000000000000002E-2</v>
      </c>
      <c r="AD18">
        <v>14.6</v>
      </c>
      <c r="AE18">
        <v>0.30099999999999999</v>
      </c>
      <c r="AF18">
        <v>5.3999999999999999E-2</v>
      </c>
      <c r="AG18">
        <v>5.1999999999999998E-2</v>
      </c>
      <c r="AH18">
        <v>5.1999999999999998E-2</v>
      </c>
      <c r="AK18">
        <v>5.1999999999999998E-2</v>
      </c>
      <c r="AL18">
        <v>4.9000000000000002E-2</v>
      </c>
      <c r="AM18">
        <v>9.2070000000000007</v>
      </c>
      <c r="AN18">
        <v>0.83699999999999997</v>
      </c>
      <c r="AO18">
        <v>5.8999999999999997E-2</v>
      </c>
    </row>
    <row r="19" spans="1:41" hidden="1">
      <c r="A19">
        <v>17</v>
      </c>
      <c r="B19">
        <v>6.5000000000000002E-2</v>
      </c>
      <c r="C19" s="1">
        <v>8.7000000000000001E-5</v>
      </c>
      <c r="D19" s="1">
        <v>6.2000000000000003E-5</v>
      </c>
      <c r="E19">
        <v>3.8049999999999998E-3</v>
      </c>
      <c r="F19" s="1">
        <v>7.4999999999999993E-5</v>
      </c>
      <c r="G19" s="1"/>
      <c r="I19">
        <v>7.9000000000000001E-2</v>
      </c>
      <c r="J19" s="1">
        <v>8.1000000000000004E-5</v>
      </c>
      <c r="K19" s="1">
        <v>8.2000000000000001E-5</v>
      </c>
      <c r="L19">
        <v>8.7740000000000005E-3</v>
      </c>
      <c r="M19" s="1">
        <v>7.4999999999999993E-5</v>
      </c>
      <c r="N19" s="1"/>
      <c r="P19">
        <v>0.08</v>
      </c>
      <c r="Q19" s="1">
        <v>8.0000000000000007E-5</v>
      </c>
      <c r="R19" s="1">
        <v>8.5000000000000006E-5</v>
      </c>
      <c r="S19">
        <v>4.26E-4</v>
      </c>
      <c r="T19" s="1">
        <v>7.8999999999999996E-5</v>
      </c>
      <c r="U19" s="1"/>
      <c r="W19">
        <v>7.9000000000000001E-2</v>
      </c>
      <c r="X19">
        <v>4.8000000000000001E-2</v>
      </c>
      <c r="Y19">
        <v>4.9000000000000002E-2</v>
      </c>
      <c r="Z19">
        <v>0.22600000000000001</v>
      </c>
      <c r="AA19">
        <v>0.05</v>
      </c>
      <c r="AD19">
        <v>4.8000000000000001E-2</v>
      </c>
      <c r="AE19">
        <v>4.7E-2</v>
      </c>
      <c r="AF19">
        <v>4.8000000000000001E-2</v>
      </c>
      <c r="AG19">
        <v>0.25800000000000001</v>
      </c>
      <c r="AH19">
        <v>4.9000000000000002E-2</v>
      </c>
      <c r="AK19">
        <v>5.6000000000000001E-2</v>
      </c>
      <c r="AL19">
        <v>6.2E-2</v>
      </c>
      <c r="AM19">
        <v>5.2999999999999999E-2</v>
      </c>
      <c r="AN19">
        <v>6.4000000000000001E-2</v>
      </c>
      <c r="AO19">
        <v>5.6000000000000001E-2</v>
      </c>
    </row>
    <row r="20" spans="1:41" hidden="1">
      <c r="A20">
        <v>18</v>
      </c>
      <c r="B20">
        <v>6.0999999999999999E-2</v>
      </c>
      <c r="C20" s="1">
        <v>8.6000000000000003E-5</v>
      </c>
      <c r="D20" s="1">
        <v>5.8999999999999998E-5</v>
      </c>
      <c r="E20" s="1">
        <v>5.5999999999999999E-5</v>
      </c>
      <c r="F20" s="1">
        <v>7.6000000000000004E-5</v>
      </c>
      <c r="G20" s="1"/>
      <c r="H20" s="1"/>
      <c r="I20">
        <v>7.6999999999999999E-2</v>
      </c>
      <c r="J20" s="1">
        <v>7.6000000000000004E-5</v>
      </c>
      <c r="K20" s="1">
        <v>6.8999999999999997E-5</v>
      </c>
      <c r="L20" s="1">
        <v>7.2999999999999999E-5</v>
      </c>
      <c r="M20" s="1">
        <v>7.2999999999999999E-5</v>
      </c>
      <c r="N20" s="1"/>
      <c r="P20">
        <v>8.5000000000000006E-2</v>
      </c>
      <c r="Q20" s="1">
        <v>8.2000000000000001E-5</v>
      </c>
      <c r="R20" s="1">
        <v>7.7000000000000001E-5</v>
      </c>
      <c r="S20" s="1">
        <v>8.2999999999999998E-5</v>
      </c>
      <c r="T20" s="1">
        <v>7.7000000000000001E-5</v>
      </c>
      <c r="U20" s="1"/>
      <c r="W20">
        <v>5.6000000000000001E-2</v>
      </c>
      <c r="X20">
        <v>0.05</v>
      </c>
      <c r="Y20">
        <v>4.8000000000000001E-2</v>
      </c>
      <c r="Z20">
        <v>4.8000000000000001E-2</v>
      </c>
      <c r="AA20">
        <v>4.8000000000000001E-2</v>
      </c>
      <c r="AD20">
        <v>0.05</v>
      </c>
      <c r="AE20">
        <v>4.8000000000000001E-2</v>
      </c>
      <c r="AF20">
        <v>5.7000000000000002E-2</v>
      </c>
      <c r="AG20">
        <v>4.9000000000000002E-2</v>
      </c>
      <c r="AH20">
        <v>9.0999999999999998E-2</v>
      </c>
      <c r="AK20">
        <v>0.13800000000000001</v>
      </c>
      <c r="AL20">
        <v>5.5E-2</v>
      </c>
      <c r="AM20">
        <v>5.2999999999999999E-2</v>
      </c>
      <c r="AN20">
        <v>5.1999999999999998E-2</v>
      </c>
      <c r="AO20">
        <v>4.9000000000000002E-2</v>
      </c>
    </row>
    <row r="21" spans="1:41" hidden="1">
      <c r="A21">
        <v>19</v>
      </c>
      <c r="B21">
        <v>5.8000000000000003E-2</v>
      </c>
      <c r="C21" s="1">
        <v>6.2000000000000003E-5</v>
      </c>
      <c r="D21" s="1">
        <v>6.6000000000000005E-5</v>
      </c>
      <c r="E21" s="1">
        <v>2.1000000000000001E-4</v>
      </c>
      <c r="F21" s="1">
        <v>5.5999999999999999E-5</v>
      </c>
      <c r="G21" s="1"/>
      <c r="H21" s="1"/>
      <c r="I21">
        <v>7.5999999999999998E-2</v>
      </c>
      <c r="J21">
        <v>2.1000000000000001E-4</v>
      </c>
      <c r="K21" s="1">
        <v>6.9999999999999994E-5</v>
      </c>
      <c r="L21" s="1">
        <v>7.2999999999999999E-5</v>
      </c>
      <c r="M21" s="1">
        <v>7.6000000000000004E-5</v>
      </c>
      <c r="N21" s="1"/>
      <c r="P21">
        <v>8.1000000000000003E-2</v>
      </c>
      <c r="Q21" s="1">
        <v>8.0000000000000007E-5</v>
      </c>
      <c r="R21" s="1">
        <v>8.1000000000000004E-5</v>
      </c>
      <c r="S21" s="1">
        <v>8.3999999999999995E-5</v>
      </c>
      <c r="T21" s="1">
        <v>7.7999999999999999E-5</v>
      </c>
      <c r="U21" s="1"/>
      <c r="W21">
        <v>4.9000000000000002E-2</v>
      </c>
      <c r="X21">
        <v>0.05</v>
      </c>
      <c r="Y21">
        <v>5.1999999999999998E-2</v>
      </c>
      <c r="Z21">
        <v>5.1999999999999998E-2</v>
      </c>
      <c r="AA21">
        <v>4.7E-2</v>
      </c>
      <c r="AD21">
        <v>9.6000000000000002E-2</v>
      </c>
      <c r="AE21">
        <v>5.1999999999999998E-2</v>
      </c>
      <c r="AF21">
        <v>5.1999999999999998E-2</v>
      </c>
      <c r="AG21">
        <v>4.9000000000000002E-2</v>
      </c>
      <c r="AH21">
        <v>7.9000000000000001E-2</v>
      </c>
      <c r="AK21">
        <v>5.0999999999999997E-2</v>
      </c>
      <c r="AL21">
        <v>4.9000000000000002E-2</v>
      </c>
      <c r="AM21">
        <v>4.9000000000000002E-2</v>
      </c>
      <c r="AN21">
        <v>10.068</v>
      </c>
      <c r="AO21">
        <v>5.0999999999999997E-2</v>
      </c>
    </row>
    <row r="22" spans="1:41" hidden="1">
      <c r="A22">
        <v>20</v>
      </c>
      <c r="B22">
        <v>5.8000000000000003E-2</v>
      </c>
      <c r="C22" s="1">
        <v>5.5999999999999999E-5</v>
      </c>
      <c r="D22" s="1">
        <v>5.3999999999999998E-5</v>
      </c>
      <c r="E22" s="1">
        <v>5.3999999999999998E-5</v>
      </c>
      <c r="F22" s="1">
        <v>5.3000000000000001E-5</v>
      </c>
      <c r="G22" s="1"/>
      <c r="H22" s="1"/>
      <c r="I22">
        <v>7.9000000000000001E-2</v>
      </c>
      <c r="J22" s="1">
        <v>7.8999999999999996E-5</v>
      </c>
      <c r="K22" s="1">
        <v>7.6000000000000004E-5</v>
      </c>
      <c r="L22" s="1">
        <v>7.2000000000000002E-5</v>
      </c>
      <c r="M22" s="1">
        <v>7.2000000000000002E-5</v>
      </c>
      <c r="N22" s="1"/>
      <c r="P22">
        <v>8.7999999999999995E-2</v>
      </c>
      <c r="Q22" s="1">
        <v>7.1000000000000005E-5</v>
      </c>
      <c r="R22" s="1">
        <v>6.7000000000000002E-5</v>
      </c>
      <c r="S22" s="1">
        <v>6.4999999999999994E-5</v>
      </c>
      <c r="T22">
        <v>6.5600000000000001E-4</v>
      </c>
      <c r="W22">
        <v>0.05</v>
      </c>
      <c r="X22">
        <v>18.936</v>
      </c>
      <c r="Y22">
        <v>6.4000000000000001E-2</v>
      </c>
      <c r="Z22">
        <v>0.219</v>
      </c>
      <c r="AA22">
        <v>7.0000000000000007E-2</v>
      </c>
      <c r="AD22">
        <v>6.9000000000000006E-2</v>
      </c>
      <c r="AE22">
        <v>7.8E-2</v>
      </c>
      <c r="AF22">
        <v>4.9000000000000002E-2</v>
      </c>
      <c r="AG22">
        <v>4.8000000000000001E-2</v>
      </c>
      <c r="AH22">
        <v>4.8000000000000001E-2</v>
      </c>
      <c r="AK22">
        <v>5.6000000000000001E-2</v>
      </c>
      <c r="AL22">
        <v>4.9000000000000002E-2</v>
      </c>
      <c r="AM22">
        <v>5.8999999999999997E-2</v>
      </c>
      <c r="AN22">
        <v>5.8999999999999997E-2</v>
      </c>
      <c r="AO22">
        <v>6.9000000000000006E-2</v>
      </c>
    </row>
    <row r="23" spans="1:41" hidden="1">
      <c r="A23">
        <v>21</v>
      </c>
      <c r="B23">
        <v>9.0999999999999998E-2</v>
      </c>
      <c r="C23" s="1">
        <v>7.7000000000000001E-5</v>
      </c>
      <c r="D23" s="1">
        <v>5.5999999999999999E-5</v>
      </c>
      <c r="E23" s="1">
        <v>5.3999999999999998E-5</v>
      </c>
      <c r="F23" s="1">
        <v>5.3000000000000001E-5</v>
      </c>
      <c r="G23" s="1"/>
      <c r="H23" s="1"/>
      <c r="I23">
        <v>0.20499999999999999</v>
      </c>
      <c r="J23" s="1">
        <v>7.2999999999999999E-5</v>
      </c>
      <c r="K23" s="1">
        <v>6.9999999999999994E-5</v>
      </c>
      <c r="L23" s="1">
        <v>6.6000000000000005E-5</v>
      </c>
      <c r="M23" s="1">
        <v>6.6000000000000005E-5</v>
      </c>
      <c r="N23" s="1"/>
      <c r="P23">
        <v>0.433</v>
      </c>
      <c r="Q23" s="1">
        <v>7.6000000000000004E-5</v>
      </c>
      <c r="R23">
        <v>1.01E-4</v>
      </c>
      <c r="S23" s="1">
        <v>6.9999999999999994E-5</v>
      </c>
      <c r="T23" s="1">
        <v>6.9999999999999994E-5</v>
      </c>
      <c r="U23" s="1"/>
      <c r="W23">
        <v>6.2E-2</v>
      </c>
      <c r="X23">
        <v>5.5E-2</v>
      </c>
      <c r="Y23">
        <v>5.2999999999999999E-2</v>
      </c>
      <c r="Z23">
        <v>5.2999999999999999E-2</v>
      </c>
      <c r="AA23">
        <v>0.06</v>
      </c>
      <c r="AD23">
        <v>0.05</v>
      </c>
      <c r="AE23">
        <v>0.16700000000000001</v>
      </c>
      <c r="AF23">
        <v>4.8000000000000001E-2</v>
      </c>
      <c r="AG23">
        <v>4.8000000000000001E-2</v>
      </c>
      <c r="AH23">
        <v>4.8000000000000001E-2</v>
      </c>
      <c r="AK23">
        <v>0.05</v>
      </c>
      <c r="AL23">
        <v>7.2999999999999995E-2</v>
      </c>
      <c r="AM23">
        <v>4.8000000000000001E-2</v>
      </c>
      <c r="AN23">
        <v>0.113</v>
      </c>
      <c r="AO23">
        <v>0.80300000000000005</v>
      </c>
    </row>
    <row r="24" spans="1:41" hidden="1">
      <c r="A24">
        <v>22</v>
      </c>
      <c r="B24">
        <v>5.7000000000000002E-2</v>
      </c>
      <c r="C24" s="1">
        <v>5.5000000000000002E-5</v>
      </c>
      <c r="D24" s="1">
        <v>5.3000000000000001E-5</v>
      </c>
      <c r="E24" s="1">
        <v>5.3000000000000001E-5</v>
      </c>
      <c r="F24" s="1">
        <v>5.3999999999999998E-5</v>
      </c>
      <c r="G24" s="1"/>
      <c r="H24" s="1"/>
      <c r="I24">
        <v>7.0999999999999994E-2</v>
      </c>
      <c r="J24" s="1">
        <v>6.9999999999999994E-5</v>
      </c>
      <c r="K24" s="1">
        <v>6.2000000000000003E-5</v>
      </c>
      <c r="L24">
        <v>1.7000000000000001E-4</v>
      </c>
      <c r="M24">
        <v>2.7900000000000001E-4</v>
      </c>
      <c r="P24">
        <v>7.3999999999999996E-2</v>
      </c>
      <c r="Q24" s="1">
        <v>7.2999999999999999E-5</v>
      </c>
      <c r="R24" s="1">
        <v>6.9999999999999994E-5</v>
      </c>
      <c r="S24" s="1">
        <v>6.9999999999999994E-5</v>
      </c>
      <c r="T24" s="1">
        <v>9.8999999999999994E-5</v>
      </c>
      <c r="U24" s="1"/>
      <c r="W24">
        <v>5.2999999999999999E-2</v>
      </c>
      <c r="X24">
        <v>4.9000000000000002E-2</v>
      </c>
      <c r="Y24">
        <v>4.9000000000000002E-2</v>
      </c>
      <c r="Z24">
        <v>4.0330000000000004</v>
      </c>
      <c r="AA24">
        <v>5.7000000000000002E-2</v>
      </c>
      <c r="AD24">
        <v>5.0999999999999997E-2</v>
      </c>
      <c r="AE24">
        <v>5.1999999999999998E-2</v>
      </c>
      <c r="AF24">
        <v>4.9000000000000002E-2</v>
      </c>
      <c r="AG24">
        <v>4.7E-2</v>
      </c>
      <c r="AH24">
        <v>4.9000000000000002E-2</v>
      </c>
      <c r="AK24">
        <v>6.6000000000000003E-2</v>
      </c>
      <c r="AL24">
        <v>5.6000000000000001E-2</v>
      </c>
      <c r="AM24">
        <v>5.0999999999999997E-2</v>
      </c>
      <c r="AN24">
        <v>5.0999999999999997E-2</v>
      </c>
      <c r="AO24">
        <v>4.9000000000000002E-2</v>
      </c>
    </row>
    <row r="25" spans="1:41" hidden="1">
      <c r="A25">
        <v>23</v>
      </c>
      <c r="B25">
        <v>5.5E-2</v>
      </c>
      <c r="C25" s="1">
        <v>5.5000000000000002E-5</v>
      </c>
      <c r="D25" s="1">
        <v>5.3999999999999998E-5</v>
      </c>
      <c r="E25" s="1">
        <v>5.3000000000000001E-5</v>
      </c>
      <c r="F25" s="1">
        <v>5.1999999999999997E-5</v>
      </c>
      <c r="G25" s="1"/>
      <c r="I25">
        <v>6.6000000000000003E-2</v>
      </c>
      <c r="J25" s="1">
        <v>7.1000000000000005E-5</v>
      </c>
      <c r="K25" s="1">
        <v>7.1000000000000005E-5</v>
      </c>
      <c r="L25" s="1">
        <v>6.6000000000000005E-5</v>
      </c>
      <c r="M25" s="1">
        <v>6.7999999999999999E-5</v>
      </c>
      <c r="N25" s="1"/>
      <c r="P25">
        <v>7.9000000000000001E-2</v>
      </c>
      <c r="Q25" s="1">
        <v>9.0000000000000006E-5</v>
      </c>
      <c r="R25" s="1">
        <v>6.3999999999999997E-5</v>
      </c>
      <c r="S25" s="1">
        <v>6.7999999999999999E-5</v>
      </c>
      <c r="T25" s="1">
        <v>6.8999999999999997E-5</v>
      </c>
      <c r="U25" s="1"/>
      <c r="W25">
        <v>5.6000000000000001E-2</v>
      </c>
      <c r="X25">
        <v>5.3999999999999999E-2</v>
      </c>
      <c r="Y25">
        <v>5.3999999999999999E-2</v>
      </c>
      <c r="Z25">
        <v>5.1999999999999998E-2</v>
      </c>
      <c r="AA25">
        <v>0.16300000000000001</v>
      </c>
      <c r="AD25">
        <v>0.13400000000000001</v>
      </c>
      <c r="AE25">
        <v>4.8000000000000001E-2</v>
      </c>
      <c r="AF25">
        <v>4.8000000000000001E-2</v>
      </c>
      <c r="AG25">
        <v>4.8000000000000001E-2</v>
      </c>
      <c r="AH25">
        <v>0.05</v>
      </c>
      <c r="AK25">
        <v>5.8000000000000003E-2</v>
      </c>
      <c r="AL25">
        <v>5.6000000000000001E-2</v>
      </c>
      <c r="AM25">
        <v>0.05</v>
      </c>
      <c r="AN25">
        <v>4.8000000000000001E-2</v>
      </c>
      <c r="AO25">
        <v>4.9000000000000002E-2</v>
      </c>
    </row>
    <row r="26" spans="1:41" hidden="1">
      <c r="A26">
        <v>24</v>
      </c>
      <c r="B26">
        <v>5.5E-2</v>
      </c>
      <c r="C26" s="1">
        <v>5.5000000000000002E-5</v>
      </c>
      <c r="D26" s="1">
        <v>5.1999999999999997E-5</v>
      </c>
      <c r="E26" s="1">
        <v>5.3000000000000001E-5</v>
      </c>
      <c r="F26" s="1">
        <v>5.1999999999999997E-5</v>
      </c>
      <c r="G26" s="1"/>
      <c r="I26">
        <v>7.0999999999999994E-2</v>
      </c>
      <c r="J26" s="1">
        <v>6.8999999999999997E-5</v>
      </c>
      <c r="K26">
        <v>2.12E-4</v>
      </c>
      <c r="L26" s="1">
        <v>6.3E-5</v>
      </c>
      <c r="M26" s="1">
        <v>8.2000000000000001E-5</v>
      </c>
      <c r="N26" s="1"/>
      <c r="P26">
        <v>6.4000000000000001E-2</v>
      </c>
      <c r="Q26" s="1">
        <v>6.7999999999999999E-5</v>
      </c>
      <c r="R26">
        <v>1.415E-3</v>
      </c>
      <c r="S26" s="1">
        <v>6.7000000000000002E-5</v>
      </c>
      <c r="T26" s="1">
        <v>6.0000000000000002E-5</v>
      </c>
      <c r="U26" s="1"/>
      <c r="W26">
        <v>5.3999999999999999E-2</v>
      </c>
      <c r="X26">
        <v>5.5E-2</v>
      </c>
      <c r="Y26">
        <v>0.05</v>
      </c>
      <c r="Z26">
        <v>4.8000000000000001E-2</v>
      </c>
      <c r="AA26">
        <v>4.9000000000000002E-2</v>
      </c>
      <c r="AD26">
        <v>0.05</v>
      </c>
      <c r="AE26">
        <v>0.05</v>
      </c>
      <c r="AF26">
        <v>4.9000000000000002E-2</v>
      </c>
      <c r="AG26">
        <v>4.8000000000000001E-2</v>
      </c>
      <c r="AH26">
        <v>0.14799999999999999</v>
      </c>
      <c r="AK26">
        <v>5.0999999999999997E-2</v>
      </c>
      <c r="AL26">
        <v>0.05</v>
      </c>
      <c r="AM26">
        <v>4.9000000000000002E-2</v>
      </c>
      <c r="AN26">
        <v>0.17699999999999999</v>
      </c>
      <c r="AO26">
        <v>5.0999999999999997E-2</v>
      </c>
    </row>
    <row r="27" spans="1:41" hidden="1">
      <c r="A27">
        <v>25</v>
      </c>
      <c r="B27">
        <v>0.38700000000000001</v>
      </c>
      <c r="C27" s="1">
        <v>9.1000000000000003E-5</v>
      </c>
      <c r="D27" s="1">
        <v>5.3999999999999998E-5</v>
      </c>
      <c r="E27" s="1">
        <v>5.3999999999999998E-5</v>
      </c>
      <c r="F27">
        <v>5.8320000000000004E-3</v>
      </c>
      <c r="H27" s="1"/>
      <c r="I27">
        <v>7.0000000000000007E-2</v>
      </c>
      <c r="J27" s="1">
        <v>6.6000000000000005E-5</v>
      </c>
      <c r="K27" s="1">
        <v>6.4999999999999994E-5</v>
      </c>
      <c r="L27" s="1">
        <v>5.3000000000000001E-5</v>
      </c>
      <c r="M27" s="1">
        <v>5.3000000000000001E-5</v>
      </c>
      <c r="N27" s="1"/>
      <c r="P27">
        <v>6.5000000000000002E-2</v>
      </c>
      <c r="Q27">
        <v>2.0799999999999999E-4</v>
      </c>
      <c r="R27">
        <v>1.2210000000000001E-3</v>
      </c>
      <c r="S27" s="1">
        <v>9.1000000000000003E-5</v>
      </c>
      <c r="T27" s="1">
        <v>6.7999999999999999E-5</v>
      </c>
      <c r="U27" s="1"/>
      <c r="W27">
        <v>5.0999999999999997E-2</v>
      </c>
      <c r="X27">
        <v>5.3999999999999999E-2</v>
      </c>
      <c r="Y27">
        <v>0.16400000000000001</v>
      </c>
      <c r="Z27">
        <v>0.157</v>
      </c>
      <c r="AA27">
        <v>0.05</v>
      </c>
      <c r="AD27">
        <v>7.2999999999999995E-2</v>
      </c>
      <c r="AE27">
        <v>4.9000000000000002E-2</v>
      </c>
      <c r="AF27">
        <v>0.05</v>
      </c>
      <c r="AG27">
        <v>0.69799999999999995</v>
      </c>
      <c r="AH27">
        <v>4.9000000000000002E-2</v>
      </c>
      <c r="AK27">
        <v>5.1999999999999998E-2</v>
      </c>
      <c r="AL27">
        <v>4.9000000000000002E-2</v>
      </c>
      <c r="AM27">
        <v>4.9000000000000002E-2</v>
      </c>
      <c r="AN27">
        <v>4.8000000000000001E-2</v>
      </c>
      <c r="AO27">
        <v>4.9000000000000002E-2</v>
      </c>
    </row>
    <row r="28" spans="1:41" hidden="1">
      <c r="A28">
        <v>26</v>
      </c>
      <c r="B28">
        <v>0.313</v>
      </c>
      <c r="C28" s="1">
        <v>5.8999999999999998E-5</v>
      </c>
      <c r="D28" s="1">
        <v>6.0000000000000002E-5</v>
      </c>
      <c r="E28" s="1">
        <v>5.5999999999999999E-5</v>
      </c>
      <c r="F28" s="1">
        <v>5.3999999999999998E-5</v>
      </c>
      <c r="G28" s="1"/>
      <c r="H28" s="1"/>
      <c r="I28">
        <v>5.7000000000000002E-2</v>
      </c>
      <c r="J28" s="1">
        <v>7.1000000000000005E-5</v>
      </c>
      <c r="K28" s="1">
        <v>5.3999999999999998E-5</v>
      </c>
      <c r="L28" s="1">
        <v>5.3000000000000001E-5</v>
      </c>
      <c r="M28" s="1">
        <v>5.3000000000000001E-5</v>
      </c>
      <c r="N28" s="1"/>
      <c r="P28">
        <v>6.2E-2</v>
      </c>
      <c r="Q28" s="1">
        <v>6.0999999999999999E-5</v>
      </c>
      <c r="R28" s="1">
        <v>5.8E-5</v>
      </c>
      <c r="S28" s="1">
        <v>5.7000000000000003E-5</v>
      </c>
      <c r="T28" s="1">
        <v>6.0999999999999999E-5</v>
      </c>
      <c r="U28" s="1"/>
      <c r="W28">
        <v>5.7000000000000002E-2</v>
      </c>
      <c r="X28">
        <v>0.05</v>
      </c>
      <c r="Y28">
        <v>5.1999999999999998E-2</v>
      </c>
      <c r="Z28">
        <v>8.2000000000000003E-2</v>
      </c>
      <c r="AA28">
        <v>5.8999999999999997E-2</v>
      </c>
      <c r="AD28">
        <v>5.0999999999999997E-2</v>
      </c>
      <c r="AE28">
        <v>4.8000000000000001E-2</v>
      </c>
      <c r="AF28">
        <v>0.154</v>
      </c>
      <c r="AG28">
        <v>4.9000000000000002E-2</v>
      </c>
      <c r="AH28">
        <v>4.9000000000000002E-2</v>
      </c>
      <c r="AK28">
        <v>5.0999999999999997E-2</v>
      </c>
      <c r="AL28">
        <v>4.8000000000000001E-2</v>
      </c>
      <c r="AM28">
        <v>0.151</v>
      </c>
      <c r="AN28">
        <v>4.9000000000000002E-2</v>
      </c>
      <c r="AO28">
        <v>4.9000000000000002E-2</v>
      </c>
    </row>
    <row r="29" spans="1:41" hidden="1">
      <c r="A29">
        <v>27</v>
      </c>
      <c r="B29">
        <v>5.6000000000000001E-2</v>
      </c>
      <c r="C29" s="1">
        <v>5.5000000000000002E-5</v>
      </c>
      <c r="D29" s="1">
        <v>5.3999999999999998E-5</v>
      </c>
      <c r="E29" s="1">
        <v>5.3000000000000001E-5</v>
      </c>
      <c r="F29" s="1">
        <v>5.1999999999999997E-5</v>
      </c>
      <c r="G29" s="1"/>
      <c r="H29" s="1"/>
      <c r="I29">
        <v>5.7000000000000002E-2</v>
      </c>
      <c r="J29" s="1">
        <v>5.5999999999999999E-5</v>
      </c>
      <c r="K29" s="1">
        <v>5.3000000000000001E-5</v>
      </c>
      <c r="L29" s="1">
        <v>5.1999999999999997E-5</v>
      </c>
      <c r="M29">
        <v>3.0600000000000001E-4</v>
      </c>
      <c r="P29">
        <v>5.8000000000000003E-2</v>
      </c>
      <c r="Q29" s="1">
        <v>6.0999999999999999E-5</v>
      </c>
      <c r="R29" s="1">
        <v>5.8E-5</v>
      </c>
      <c r="S29" s="1">
        <v>5.3999999999999998E-5</v>
      </c>
      <c r="T29" s="1">
        <v>5.3999999999999998E-5</v>
      </c>
      <c r="U29" s="1"/>
      <c r="W29">
        <v>0.14199999999999999</v>
      </c>
      <c r="X29">
        <v>0.05</v>
      </c>
      <c r="Y29">
        <v>4.9000000000000002E-2</v>
      </c>
      <c r="Z29">
        <v>4.8000000000000001E-2</v>
      </c>
      <c r="AA29">
        <v>5.2999999999999999E-2</v>
      </c>
      <c r="AD29">
        <v>5.0999999999999997E-2</v>
      </c>
      <c r="AE29">
        <v>5.5E-2</v>
      </c>
      <c r="AF29">
        <v>4.9000000000000002E-2</v>
      </c>
      <c r="AG29">
        <v>5.0999999999999997E-2</v>
      </c>
      <c r="AH29">
        <v>4.8000000000000001E-2</v>
      </c>
      <c r="AK29">
        <v>5.0999999999999997E-2</v>
      </c>
      <c r="AL29">
        <v>5.3999999999999999E-2</v>
      </c>
      <c r="AM29">
        <v>0.05</v>
      </c>
      <c r="AN29">
        <v>4.8000000000000001E-2</v>
      </c>
      <c r="AO29">
        <v>4.9000000000000002E-2</v>
      </c>
    </row>
    <row r="30" spans="1:41" hidden="1">
      <c r="A30">
        <v>28</v>
      </c>
      <c r="B30">
        <v>5.7000000000000002E-2</v>
      </c>
      <c r="C30" s="1">
        <v>5.5000000000000002E-5</v>
      </c>
      <c r="D30" s="1">
        <v>5.3000000000000001E-5</v>
      </c>
      <c r="E30" s="1">
        <v>5.3000000000000001E-5</v>
      </c>
      <c r="F30" s="1">
        <v>5.3000000000000001E-5</v>
      </c>
      <c r="G30" s="1"/>
      <c r="H30" s="1"/>
      <c r="I30">
        <v>7.625</v>
      </c>
      <c r="J30">
        <v>4.7199999999999998E-4</v>
      </c>
      <c r="K30" s="1">
        <v>5.8E-5</v>
      </c>
      <c r="L30" s="1">
        <v>5.5000000000000002E-5</v>
      </c>
      <c r="M30" s="1">
        <v>5.5000000000000002E-5</v>
      </c>
      <c r="N30" s="1"/>
      <c r="P30">
        <v>5.6000000000000001E-2</v>
      </c>
      <c r="Q30" s="1">
        <v>5.5999999999999999E-5</v>
      </c>
      <c r="R30" s="1">
        <v>5.3000000000000001E-5</v>
      </c>
      <c r="S30">
        <v>3.1500000000000001E-4</v>
      </c>
      <c r="T30" s="1">
        <v>5.3999999999999998E-5</v>
      </c>
      <c r="U30" s="1"/>
      <c r="W30">
        <v>5.6000000000000001E-2</v>
      </c>
      <c r="X30">
        <v>4.9000000000000002E-2</v>
      </c>
      <c r="Y30">
        <v>5.3999999999999999E-2</v>
      </c>
      <c r="Z30">
        <v>5.7000000000000002E-2</v>
      </c>
      <c r="AA30">
        <v>5.8999999999999997E-2</v>
      </c>
      <c r="AD30">
        <v>5.1999999999999998E-2</v>
      </c>
      <c r="AE30">
        <v>4.8000000000000001E-2</v>
      </c>
      <c r="AF30">
        <v>8.9719999999999995</v>
      </c>
      <c r="AG30">
        <v>0.873</v>
      </c>
      <c r="AH30">
        <v>0.105</v>
      </c>
      <c r="AK30">
        <v>5.1999999999999998E-2</v>
      </c>
      <c r="AL30">
        <v>0.05</v>
      </c>
      <c r="AM30">
        <v>5.8000000000000003E-2</v>
      </c>
      <c r="AN30">
        <v>5.2999999999999999E-2</v>
      </c>
      <c r="AO30">
        <v>4.9000000000000002E-2</v>
      </c>
    </row>
    <row r="31" spans="1:41" hidden="1">
      <c r="A31">
        <v>29</v>
      </c>
      <c r="B31">
        <v>5.7000000000000002E-2</v>
      </c>
      <c r="C31">
        <v>1.76E-4</v>
      </c>
      <c r="D31" s="1">
        <v>5.5999999999999999E-5</v>
      </c>
      <c r="E31" s="1">
        <v>5.5000000000000002E-5</v>
      </c>
      <c r="F31" s="1">
        <v>5.1999999999999997E-5</v>
      </c>
      <c r="G31" s="1"/>
      <c r="H31" s="1"/>
      <c r="I31">
        <v>5.7000000000000002E-2</v>
      </c>
      <c r="J31" s="1">
        <v>5.5000000000000002E-5</v>
      </c>
      <c r="K31">
        <v>6.5750000000000001E-3</v>
      </c>
      <c r="L31" s="1">
        <v>5.7000000000000003E-5</v>
      </c>
      <c r="M31" s="1">
        <v>5.8E-5</v>
      </c>
      <c r="N31" s="1"/>
      <c r="P31">
        <v>6.3E-2</v>
      </c>
      <c r="Q31" s="1">
        <v>5.7000000000000003E-5</v>
      </c>
      <c r="R31" s="1">
        <v>5.8999999999999998E-5</v>
      </c>
      <c r="S31" s="1">
        <v>5.3999999999999998E-5</v>
      </c>
      <c r="T31" s="1">
        <v>8.2999999999999998E-5</v>
      </c>
      <c r="U31" s="1"/>
      <c r="W31">
        <v>5.8000000000000003E-2</v>
      </c>
      <c r="X31">
        <v>0.05</v>
      </c>
      <c r="Y31">
        <v>4.9000000000000002E-2</v>
      </c>
      <c r="Z31">
        <v>4.9000000000000002E-2</v>
      </c>
      <c r="AA31">
        <v>4.8000000000000001E-2</v>
      </c>
      <c r="AD31">
        <v>0.115</v>
      </c>
      <c r="AE31">
        <v>0.107</v>
      </c>
      <c r="AF31">
        <v>0.105</v>
      </c>
      <c r="AG31">
        <v>8.8999999999999996E-2</v>
      </c>
      <c r="AH31">
        <v>0.09</v>
      </c>
      <c r="AK31">
        <v>0.05</v>
      </c>
      <c r="AL31">
        <v>4.8000000000000001E-2</v>
      </c>
      <c r="AM31">
        <v>0.05</v>
      </c>
      <c r="AN31">
        <v>5.3999999999999999E-2</v>
      </c>
      <c r="AO31">
        <v>5.3999999999999999E-2</v>
      </c>
    </row>
    <row r="32" spans="1:41" hidden="1">
      <c r="A32">
        <v>30</v>
      </c>
      <c r="B32">
        <v>5.6000000000000001E-2</v>
      </c>
      <c r="C32" s="1">
        <v>5.5000000000000002E-5</v>
      </c>
      <c r="D32" s="1">
        <v>5.3000000000000001E-5</v>
      </c>
      <c r="E32" s="1">
        <v>5.1999999999999997E-5</v>
      </c>
      <c r="F32" s="1">
        <v>5.3000000000000001E-5</v>
      </c>
      <c r="G32" s="1"/>
      <c r="H32" s="1"/>
      <c r="I32">
        <v>6.0999999999999999E-2</v>
      </c>
      <c r="J32" s="1">
        <v>6.0999999999999999E-5</v>
      </c>
      <c r="K32" s="1">
        <v>5.7000000000000003E-5</v>
      </c>
      <c r="L32" s="1">
        <v>5.8E-5</v>
      </c>
      <c r="M32" s="1">
        <v>8.2999999999999998E-5</v>
      </c>
      <c r="N32" s="1"/>
      <c r="P32">
        <v>5.7000000000000002E-2</v>
      </c>
      <c r="Q32">
        <v>2.6200000000000003E-4</v>
      </c>
      <c r="R32">
        <v>9.859999999999999E-4</v>
      </c>
      <c r="S32" s="1">
        <v>5.5000000000000002E-5</v>
      </c>
      <c r="T32" s="1">
        <v>6.0000000000000002E-5</v>
      </c>
      <c r="U32" s="1"/>
      <c r="W32">
        <v>5.0999999999999997E-2</v>
      </c>
      <c r="X32">
        <v>4.8000000000000001E-2</v>
      </c>
      <c r="Y32">
        <v>5.2999999999999999E-2</v>
      </c>
      <c r="Z32">
        <v>4.8000000000000001E-2</v>
      </c>
      <c r="AA32">
        <v>4.9000000000000002E-2</v>
      </c>
      <c r="AD32">
        <v>9.6000000000000002E-2</v>
      </c>
      <c r="AE32">
        <v>0.08</v>
      </c>
      <c r="AF32">
        <v>7.9000000000000001E-2</v>
      </c>
      <c r="AG32">
        <v>7.6999999999999999E-2</v>
      </c>
      <c r="AH32">
        <v>7.8E-2</v>
      </c>
      <c r="AK32">
        <v>5.6000000000000001E-2</v>
      </c>
      <c r="AL32">
        <v>4.9000000000000002E-2</v>
      </c>
      <c r="AM32">
        <v>4.7E-2</v>
      </c>
      <c r="AN32">
        <v>4.8000000000000001E-2</v>
      </c>
      <c r="AO32">
        <v>1.429</v>
      </c>
    </row>
    <row r="33" spans="1:41" hidden="1">
      <c r="A33">
        <v>31</v>
      </c>
      <c r="B33">
        <v>30.164000000000001</v>
      </c>
      <c r="C33">
        <v>4.2000000000000002E-4</v>
      </c>
      <c r="D33" s="1">
        <v>5.5000000000000002E-5</v>
      </c>
      <c r="E33" s="1">
        <v>5.5999999999999999E-5</v>
      </c>
      <c r="F33" s="1">
        <v>6.0000000000000002E-5</v>
      </c>
      <c r="G33" s="1"/>
      <c r="H33" s="1"/>
      <c r="I33">
        <v>0.54400000000000004</v>
      </c>
      <c r="J33" s="1">
        <v>5.7000000000000003E-5</v>
      </c>
      <c r="K33">
        <v>1.34E-4</v>
      </c>
      <c r="L33" s="1">
        <v>5.3999999999999998E-5</v>
      </c>
      <c r="M33">
        <v>4.7600000000000002E-4</v>
      </c>
      <c r="P33">
        <v>6.0999999999999999E-2</v>
      </c>
      <c r="Q33" s="1">
        <v>5.5000000000000002E-5</v>
      </c>
      <c r="R33">
        <v>7.7260000000000002E-3</v>
      </c>
      <c r="S33" s="1">
        <v>5.5000000000000002E-5</v>
      </c>
      <c r="T33" s="1">
        <v>5.3999999999999998E-5</v>
      </c>
      <c r="U33" s="1"/>
      <c r="W33">
        <v>0.05</v>
      </c>
      <c r="X33">
        <v>4.8000000000000001E-2</v>
      </c>
      <c r="Y33">
        <v>4.8000000000000001E-2</v>
      </c>
      <c r="Z33">
        <v>4.8000000000000001E-2</v>
      </c>
      <c r="AA33">
        <v>5.1999999999999998E-2</v>
      </c>
      <c r="AD33">
        <v>8.7999999999999995E-2</v>
      </c>
      <c r="AE33">
        <v>7.8E-2</v>
      </c>
      <c r="AF33">
        <v>7.9000000000000001E-2</v>
      </c>
      <c r="AG33">
        <v>7.5999999999999998E-2</v>
      </c>
      <c r="AH33">
        <v>7.5999999999999998E-2</v>
      </c>
      <c r="AK33">
        <v>5.1999999999999998E-2</v>
      </c>
      <c r="AL33">
        <v>4.9000000000000002E-2</v>
      </c>
      <c r="AM33">
        <v>0.05</v>
      </c>
      <c r="AN33">
        <v>4.8000000000000001E-2</v>
      </c>
      <c r="AO33">
        <v>4.8000000000000001E-2</v>
      </c>
    </row>
    <row r="34" spans="1:41" hidden="1">
      <c r="A34">
        <v>32</v>
      </c>
      <c r="B34">
        <v>5.6000000000000001E-2</v>
      </c>
      <c r="C34" s="1">
        <v>5.5999999999999999E-5</v>
      </c>
      <c r="D34" s="1">
        <v>5.8E-5</v>
      </c>
      <c r="E34" s="1">
        <v>2.81E-4</v>
      </c>
      <c r="F34" s="1">
        <v>5.5999999999999999E-5</v>
      </c>
      <c r="G34" s="1"/>
      <c r="H34" s="1"/>
      <c r="I34">
        <v>5.8000000000000003E-2</v>
      </c>
      <c r="J34" s="1">
        <v>5.5000000000000002E-5</v>
      </c>
      <c r="K34" s="1">
        <v>5.1999999999999997E-5</v>
      </c>
      <c r="L34">
        <v>2.5999999999999998E-4</v>
      </c>
      <c r="M34" s="1">
        <v>9.8999999999999994E-5</v>
      </c>
      <c r="N34" s="1"/>
      <c r="P34">
        <v>5.6000000000000001E-2</v>
      </c>
      <c r="Q34" s="1">
        <v>5.5999999999999999E-5</v>
      </c>
      <c r="R34" s="1">
        <v>5.3000000000000001E-5</v>
      </c>
      <c r="S34" s="1">
        <v>5.1999999999999997E-5</v>
      </c>
      <c r="T34" s="1">
        <v>5.1999999999999997E-5</v>
      </c>
      <c r="U34" s="1"/>
      <c r="W34">
        <v>5.1999999999999998E-2</v>
      </c>
      <c r="X34">
        <v>9.6000000000000002E-2</v>
      </c>
      <c r="Y34">
        <v>5.5E-2</v>
      </c>
      <c r="Z34">
        <v>5.2999999999999999E-2</v>
      </c>
      <c r="AA34">
        <v>4.8000000000000001E-2</v>
      </c>
      <c r="AD34">
        <v>7.3999999999999996E-2</v>
      </c>
      <c r="AE34">
        <v>7.8E-2</v>
      </c>
      <c r="AF34">
        <v>7.1999999999999995E-2</v>
      </c>
      <c r="AG34">
        <v>7.1999999999999995E-2</v>
      </c>
      <c r="AH34">
        <v>0.106</v>
      </c>
      <c r="AK34">
        <v>7.3999999999999996E-2</v>
      </c>
      <c r="AL34">
        <v>4.8000000000000001E-2</v>
      </c>
      <c r="AM34">
        <v>4.8000000000000001E-2</v>
      </c>
      <c r="AN34">
        <v>0.05</v>
      </c>
      <c r="AO34">
        <v>4.8000000000000001E-2</v>
      </c>
    </row>
    <row r="35" spans="1:41" hidden="1">
      <c r="A35">
        <v>33</v>
      </c>
      <c r="B35">
        <v>5.7000000000000002E-2</v>
      </c>
      <c r="C35" s="1">
        <v>5.7000000000000003E-5</v>
      </c>
      <c r="D35" s="1">
        <v>5.3000000000000001E-5</v>
      </c>
      <c r="E35" s="1">
        <v>3.5300000000000002E-4</v>
      </c>
      <c r="F35" s="1">
        <v>5.3000000000000001E-5</v>
      </c>
      <c r="G35" s="1"/>
      <c r="H35" s="1"/>
      <c r="I35">
        <v>0.06</v>
      </c>
      <c r="J35" s="1">
        <v>7.7000000000000001E-5</v>
      </c>
      <c r="K35" s="1">
        <v>6.0999999999999999E-5</v>
      </c>
      <c r="L35" s="1">
        <v>5.8E-5</v>
      </c>
      <c r="M35" s="1">
        <v>5.1999999999999997E-5</v>
      </c>
      <c r="N35" s="1"/>
      <c r="P35">
        <v>5.8999999999999997E-2</v>
      </c>
      <c r="Q35" s="1">
        <v>5.5000000000000002E-5</v>
      </c>
      <c r="R35" s="1">
        <v>5.3000000000000001E-5</v>
      </c>
      <c r="S35" s="1">
        <v>5.3000000000000001E-5</v>
      </c>
      <c r="T35" s="1">
        <v>5.8E-5</v>
      </c>
      <c r="U35" s="1"/>
      <c r="W35">
        <v>5.8000000000000003E-2</v>
      </c>
      <c r="X35">
        <v>5.7000000000000002E-2</v>
      </c>
      <c r="Y35">
        <v>4.9000000000000002E-2</v>
      </c>
      <c r="Z35">
        <v>4.8000000000000001E-2</v>
      </c>
      <c r="AA35">
        <v>11.065</v>
      </c>
      <c r="AD35">
        <v>7.5999999999999998E-2</v>
      </c>
      <c r="AE35">
        <v>7.4999999999999997E-2</v>
      </c>
      <c r="AF35">
        <v>0.14899999999999999</v>
      </c>
      <c r="AG35">
        <v>7.1999999999999995E-2</v>
      </c>
      <c r="AH35">
        <v>7.6999999999999999E-2</v>
      </c>
      <c r="AK35">
        <v>5.0999999999999997E-2</v>
      </c>
      <c r="AL35">
        <v>0.17799999999999999</v>
      </c>
      <c r="AM35">
        <v>5.1999999999999998E-2</v>
      </c>
      <c r="AN35">
        <v>5.6000000000000001E-2</v>
      </c>
      <c r="AO35">
        <v>5.2999999999999999E-2</v>
      </c>
    </row>
    <row r="36" spans="1:41" hidden="1">
      <c r="A36">
        <v>34</v>
      </c>
      <c r="B36">
        <v>5.5E-2</v>
      </c>
      <c r="C36" s="1">
        <v>5.3999999999999998E-5</v>
      </c>
      <c r="D36" s="1">
        <v>5.3000000000000001E-5</v>
      </c>
      <c r="E36" s="1">
        <v>3.7339999999999999E-3</v>
      </c>
      <c r="F36" s="1">
        <v>5.5000000000000002E-5</v>
      </c>
      <c r="G36" s="1"/>
      <c r="H36" s="1"/>
      <c r="I36">
        <v>5.8999999999999997E-2</v>
      </c>
      <c r="J36" s="1">
        <v>5.5999999999999999E-5</v>
      </c>
      <c r="K36" s="1">
        <v>5.8E-5</v>
      </c>
      <c r="L36" s="1">
        <v>8.7000000000000001E-5</v>
      </c>
      <c r="M36" s="1">
        <v>8.0000000000000007E-5</v>
      </c>
      <c r="N36" s="1"/>
      <c r="P36">
        <v>5.5E-2</v>
      </c>
      <c r="Q36" s="1">
        <v>5.5999999999999999E-5</v>
      </c>
      <c r="R36" s="1">
        <v>5.3999999999999998E-5</v>
      </c>
      <c r="S36" s="1">
        <v>5.3999999999999998E-5</v>
      </c>
      <c r="T36">
        <v>2.5900000000000001E-4</v>
      </c>
      <c r="W36">
        <v>0.60199999999999998</v>
      </c>
      <c r="X36">
        <v>5.6000000000000001E-2</v>
      </c>
      <c r="Y36">
        <v>5.1999999999999998E-2</v>
      </c>
      <c r="Z36">
        <v>5.6000000000000001E-2</v>
      </c>
      <c r="AA36">
        <v>5.2999999999999999E-2</v>
      </c>
      <c r="AD36">
        <v>6.8659999999999997</v>
      </c>
      <c r="AE36">
        <v>0.435</v>
      </c>
      <c r="AF36">
        <v>9.2999999999999999E-2</v>
      </c>
      <c r="AG36">
        <v>9.0999999999999998E-2</v>
      </c>
      <c r="AH36">
        <v>9.8000000000000004E-2</v>
      </c>
      <c r="AK36">
        <v>5.8000000000000003E-2</v>
      </c>
      <c r="AL36">
        <v>4.9000000000000002E-2</v>
      </c>
      <c r="AM36">
        <v>9.67</v>
      </c>
      <c r="AN36">
        <v>0.10299999999999999</v>
      </c>
      <c r="AO36">
        <v>0.10100000000000001</v>
      </c>
    </row>
    <row r="37" spans="1:41" hidden="1">
      <c r="A37">
        <v>35</v>
      </c>
      <c r="B37">
        <v>5.7000000000000002E-2</v>
      </c>
      <c r="C37" s="1">
        <v>5.5999999999999999E-5</v>
      </c>
      <c r="D37" s="1">
        <v>5.3000000000000001E-5</v>
      </c>
      <c r="E37" s="1">
        <v>5.3000000000000001E-5</v>
      </c>
      <c r="F37">
        <v>2.3599999999999999E-4</v>
      </c>
      <c r="H37" s="1"/>
      <c r="I37">
        <v>0.16</v>
      </c>
      <c r="J37" s="1">
        <v>5.8999999999999998E-5</v>
      </c>
      <c r="K37">
        <v>1.76E-4</v>
      </c>
      <c r="L37" s="1">
        <v>5.5000000000000002E-5</v>
      </c>
      <c r="M37" s="1">
        <v>5.3999999999999998E-5</v>
      </c>
      <c r="N37" s="1"/>
      <c r="P37">
        <v>6.0999999999999999E-2</v>
      </c>
      <c r="Q37" s="1">
        <v>6.0999999999999999E-5</v>
      </c>
      <c r="R37" s="1">
        <v>5.8999999999999998E-5</v>
      </c>
      <c r="S37" s="1">
        <v>6.0999999999999999E-5</v>
      </c>
      <c r="T37" s="1">
        <v>8.5000000000000006E-5</v>
      </c>
      <c r="U37" s="1"/>
      <c r="W37">
        <v>5.3999999999999999E-2</v>
      </c>
      <c r="X37">
        <v>5.1999999999999998E-2</v>
      </c>
      <c r="Y37">
        <v>5.0999999999999997E-2</v>
      </c>
      <c r="Z37">
        <v>0.34799999999999998</v>
      </c>
      <c r="AA37">
        <v>5.0999999999999997E-2</v>
      </c>
      <c r="AD37">
        <v>0.10299999999999999</v>
      </c>
      <c r="AE37">
        <v>9.7000000000000003E-2</v>
      </c>
      <c r="AF37">
        <v>9.7000000000000003E-2</v>
      </c>
      <c r="AG37">
        <v>9.4E-2</v>
      </c>
      <c r="AH37">
        <v>0.08</v>
      </c>
      <c r="AK37">
        <v>0.104</v>
      </c>
      <c r="AL37">
        <v>9.1999999999999998E-2</v>
      </c>
      <c r="AM37">
        <v>0.09</v>
      </c>
      <c r="AN37">
        <v>0.105</v>
      </c>
      <c r="AO37">
        <v>8.1000000000000003E-2</v>
      </c>
    </row>
    <row r="38" spans="1:41" hidden="1">
      <c r="A38">
        <v>36</v>
      </c>
      <c r="B38">
        <v>6.3E-2</v>
      </c>
      <c r="C38" s="1">
        <v>6.3E-5</v>
      </c>
      <c r="D38" s="1">
        <v>5.7000000000000003E-5</v>
      </c>
      <c r="E38" s="1">
        <v>5.8E-5</v>
      </c>
      <c r="F38" s="1">
        <v>6.0000000000000002E-5</v>
      </c>
      <c r="G38" s="1"/>
      <c r="H38" s="1"/>
      <c r="I38">
        <v>5.8000000000000003E-2</v>
      </c>
      <c r="J38" s="1">
        <v>5.5999999999999999E-5</v>
      </c>
      <c r="K38" s="1">
        <v>5.3999999999999998E-5</v>
      </c>
      <c r="L38" s="1">
        <v>5.1999999999999997E-5</v>
      </c>
      <c r="M38" s="1">
        <v>5.1999999999999997E-5</v>
      </c>
      <c r="N38" s="1"/>
      <c r="P38">
        <v>5.8000000000000003E-2</v>
      </c>
      <c r="Q38">
        <v>1.8799999999999999E-4</v>
      </c>
      <c r="R38" s="1">
        <v>5.7000000000000003E-5</v>
      </c>
      <c r="S38" s="1">
        <v>5.8E-5</v>
      </c>
      <c r="T38" s="1">
        <v>5.3000000000000001E-5</v>
      </c>
      <c r="U38" s="1"/>
      <c r="W38">
        <v>5.1999999999999998E-2</v>
      </c>
      <c r="X38">
        <v>0.05</v>
      </c>
      <c r="Y38">
        <v>4.9000000000000002E-2</v>
      </c>
      <c r="Z38">
        <v>0.28199999999999997</v>
      </c>
      <c r="AA38">
        <v>5.0999999999999997E-2</v>
      </c>
      <c r="AD38">
        <v>9.0999999999999998E-2</v>
      </c>
      <c r="AE38">
        <v>8.1000000000000003E-2</v>
      </c>
      <c r="AF38">
        <v>8.5000000000000006E-2</v>
      </c>
      <c r="AG38">
        <v>0.1</v>
      </c>
      <c r="AH38">
        <v>7.2999999999999995E-2</v>
      </c>
      <c r="AK38">
        <v>0.22500000000000001</v>
      </c>
      <c r="AL38">
        <v>9.6000000000000002E-2</v>
      </c>
      <c r="AM38">
        <v>8.1000000000000003E-2</v>
      </c>
      <c r="AN38">
        <v>7.9000000000000001E-2</v>
      </c>
      <c r="AO38">
        <v>8.7999999999999995E-2</v>
      </c>
    </row>
    <row r="39" spans="1:41" hidden="1">
      <c r="A39">
        <v>37</v>
      </c>
      <c r="B39">
        <v>6.3E-2</v>
      </c>
      <c r="C39" s="1">
        <v>6.0000000000000002E-5</v>
      </c>
      <c r="D39" s="1">
        <v>5.8E-5</v>
      </c>
      <c r="E39" s="1">
        <v>5.8999999999999998E-5</v>
      </c>
      <c r="F39" s="1">
        <v>1.47E-4</v>
      </c>
      <c r="G39" s="1"/>
      <c r="H39" s="1"/>
      <c r="I39">
        <v>5.5E-2</v>
      </c>
      <c r="J39" s="1">
        <v>5.5999999999999999E-5</v>
      </c>
      <c r="K39" s="1">
        <v>5.3999999999999998E-5</v>
      </c>
      <c r="L39" s="1">
        <v>9.5000000000000005E-5</v>
      </c>
      <c r="M39">
        <v>2.0000000000000001E-4</v>
      </c>
      <c r="P39">
        <v>0.06</v>
      </c>
      <c r="Q39" s="1">
        <v>6.0000000000000002E-5</v>
      </c>
      <c r="R39" s="1">
        <v>6.0000000000000002E-5</v>
      </c>
      <c r="S39" s="1">
        <v>5.7000000000000003E-5</v>
      </c>
      <c r="T39" s="1">
        <v>5.7000000000000003E-5</v>
      </c>
      <c r="U39" s="1"/>
      <c r="W39">
        <v>7.1999999999999995E-2</v>
      </c>
      <c r="X39">
        <v>8.7999999999999995E-2</v>
      </c>
      <c r="Y39">
        <v>4.9000000000000002E-2</v>
      </c>
      <c r="Z39">
        <v>4.8000000000000001E-2</v>
      </c>
      <c r="AA39">
        <v>4.9000000000000002E-2</v>
      </c>
      <c r="AD39">
        <v>9.1999999999999998E-2</v>
      </c>
      <c r="AE39">
        <v>7.1999999999999995E-2</v>
      </c>
      <c r="AF39">
        <v>7.3999999999999996E-2</v>
      </c>
      <c r="AG39">
        <v>0.23599999999999999</v>
      </c>
      <c r="AH39">
        <v>7.0000000000000007E-2</v>
      </c>
      <c r="AK39">
        <v>7.1999999999999995E-2</v>
      </c>
      <c r="AL39">
        <v>7.8E-2</v>
      </c>
      <c r="AM39">
        <v>7.4999999999999997E-2</v>
      </c>
      <c r="AN39">
        <v>9.0999999999999998E-2</v>
      </c>
      <c r="AO39">
        <v>0.129</v>
      </c>
    </row>
    <row r="40" spans="1:41" hidden="1">
      <c r="A40">
        <v>38</v>
      </c>
      <c r="B40">
        <v>6.0999999999999999E-2</v>
      </c>
      <c r="C40" s="1">
        <v>6.0000000000000002E-5</v>
      </c>
      <c r="D40" s="1">
        <v>5.8E-5</v>
      </c>
      <c r="E40" s="1">
        <v>6.0000000000000002E-5</v>
      </c>
      <c r="F40" s="1">
        <v>5.7000000000000003E-5</v>
      </c>
      <c r="G40" s="1"/>
      <c r="H40" s="1"/>
      <c r="I40">
        <v>5.7000000000000002E-2</v>
      </c>
      <c r="J40">
        <v>7.3300000000000004E-4</v>
      </c>
      <c r="K40" s="1">
        <v>5.5999999999999999E-5</v>
      </c>
      <c r="L40" s="1">
        <v>5.3999999999999998E-5</v>
      </c>
      <c r="M40" s="1">
        <v>5.1999999999999997E-5</v>
      </c>
      <c r="N40" s="1"/>
      <c r="P40">
        <v>6.3E-2</v>
      </c>
      <c r="Q40" s="1">
        <v>6.3E-5</v>
      </c>
      <c r="R40" s="1">
        <v>5.7000000000000003E-5</v>
      </c>
      <c r="S40" s="1">
        <v>5.7000000000000003E-5</v>
      </c>
      <c r="T40" s="1">
        <v>5.7000000000000003E-5</v>
      </c>
      <c r="U40" s="1"/>
      <c r="W40">
        <v>5.0999999999999997E-2</v>
      </c>
      <c r="X40">
        <v>4.9000000000000002E-2</v>
      </c>
      <c r="Y40">
        <v>4.9000000000000002E-2</v>
      </c>
      <c r="Z40">
        <v>4.8000000000000001E-2</v>
      </c>
      <c r="AA40">
        <v>0.05</v>
      </c>
      <c r="AD40">
        <v>7.9000000000000001E-2</v>
      </c>
      <c r="AE40">
        <v>7.5999999999999998E-2</v>
      </c>
      <c r="AF40">
        <v>7.0999999999999994E-2</v>
      </c>
      <c r="AG40">
        <v>6.8000000000000005E-2</v>
      </c>
      <c r="AH40">
        <v>6.9000000000000006E-2</v>
      </c>
      <c r="AK40">
        <v>7.3999999999999996E-2</v>
      </c>
      <c r="AL40">
        <v>7.0000000000000007E-2</v>
      </c>
      <c r="AM40">
        <v>6.9000000000000006E-2</v>
      </c>
      <c r="AN40">
        <v>6.8000000000000005E-2</v>
      </c>
      <c r="AO40">
        <v>6.7000000000000004E-2</v>
      </c>
    </row>
    <row r="41" spans="1:41" hidden="1">
      <c r="A41">
        <v>39</v>
      </c>
      <c r="B41">
        <v>5.5E-2</v>
      </c>
      <c r="C41" s="1">
        <v>6.0000000000000002E-5</v>
      </c>
      <c r="D41" s="1">
        <v>5.8E-5</v>
      </c>
      <c r="E41" s="1">
        <v>6.2000000000000003E-5</v>
      </c>
      <c r="F41" s="1">
        <v>5.8E-5</v>
      </c>
      <c r="G41" s="1"/>
      <c r="H41" s="1"/>
      <c r="I41">
        <v>5.5E-2</v>
      </c>
      <c r="J41">
        <v>2.1480000000000002E-3</v>
      </c>
      <c r="K41" s="1">
        <v>5.8E-5</v>
      </c>
      <c r="L41" s="1">
        <v>6.0000000000000002E-5</v>
      </c>
      <c r="M41" s="1">
        <v>6.0000000000000002E-5</v>
      </c>
      <c r="N41" s="1"/>
      <c r="P41">
        <v>6.0999999999999999E-2</v>
      </c>
      <c r="Q41" s="1">
        <v>6.0000000000000002E-5</v>
      </c>
      <c r="R41" s="1">
        <v>6.0000000000000002E-5</v>
      </c>
      <c r="S41" s="1">
        <v>6.0000000000000002E-5</v>
      </c>
      <c r="T41" s="1">
        <v>5.8999999999999998E-5</v>
      </c>
      <c r="U41" s="1"/>
      <c r="W41">
        <v>5.0999999999999997E-2</v>
      </c>
      <c r="X41">
        <v>4.8000000000000001E-2</v>
      </c>
      <c r="Y41">
        <v>4.8000000000000001E-2</v>
      </c>
      <c r="Z41">
        <v>4.7E-2</v>
      </c>
      <c r="AA41">
        <v>4.9000000000000002E-2</v>
      </c>
      <c r="AD41">
        <v>7.2999999999999995E-2</v>
      </c>
      <c r="AE41">
        <v>6.8000000000000005E-2</v>
      </c>
      <c r="AF41">
        <v>6.9000000000000006E-2</v>
      </c>
      <c r="AG41">
        <v>0.23400000000000001</v>
      </c>
      <c r="AH41">
        <v>7.0000000000000007E-2</v>
      </c>
      <c r="AK41">
        <v>7.0999999999999994E-2</v>
      </c>
      <c r="AL41">
        <v>6.8000000000000005E-2</v>
      </c>
      <c r="AM41">
        <v>7.0999999999999994E-2</v>
      </c>
      <c r="AN41">
        <v>9.1999999999999998E-2</v>
      </c>
      <c r="AO41">
        <v>9.5000000000000001E-2</v>
      </c>
    </row>
    <row r="42" spans="1:41" hidden="1">
      <c r="A42">
        <v>40</v>
      </c>
      <c r="B42">
        <v>0.06</v>
      </c>
      <c r="C42" s="1">
        <v>6.0000000000000002E-5</v>
      </c>
      <c r="D42" s="1">
        <v>5.8E-5</v>
      </c>
      <c r="E42" s="1">
        <v>5.8E-5</v>
      </c>
      <c r="F42" s="1">
        <v>5.7000000000000003E-5</v>
      </c>
      <c r="G42" s="1"/>
      <c r="H42" s="1"/>
      <c r="I42">
        <v>0.06</v>
      </c>
      <c r="J42" s="1">
        <v>6.0999999999999999E-5</v>
      </c>
      <c r="K42" s="1">
        <v>5.3999999999999998E-5</v>
      </c>
      <c r="L42" s="1">
        <v>5.3000000000000001E-5</v>
      </c>
      <c r="M42" s="1">
        <v>5.3000000000000001E-5</v>
      </c>
      <c r="N42" s="1"/>
      <c r="P42">
        <v>0.06</v>
      </c>
      <c r="Q42" s="1">
        <v>5.5000000000000002E-5</v>
      </c>
      <c r="R42" s="1">
        <v>5.3000000000000001E-5</v>
      </c>
      <c r="S42" s="1">
        <v>5.3000000000000001E-5</v>
      </c>
      <c r="T42" s="1">
        <v>5.3000000000000001E-5</v>
      </c>
      <c r="U42" s="1"/>
      <c r="W42">
        <v>4.9000000000000002E-2</v>
      </c>
      <c r="X42">
        <v>4.9000000000000002E-2</v>
      </c>
      <c r="Y42">
        <v>4.8000000000000001E-2</v>
      </c>
      <c r="Z42">
        <v>0.05</v>
      </c>
      <c r="AA42">
        <v>6.7000000000000004E-2</v>
      </c>
      <c r="AD42">
        <v>7.3999999999999996E-2</v>
      </c>
      <c r="AE42">
        <v>0.51800000000000002</v>
      </c>
      <c r="AF42">
        <v>7.1999999999999995E-2</v>
      </c>
      <c r="AG42">
        <v>6.8000000000000005E-2</v>
      </c>
      <c r="AH42">
        <v>5.718</v>
      </c>
      <c r="AK42">
        <v>7.0999999999999994E-2</v>
      </c>
      <c r="AL42">
        <v>6.8000000000000005E-2</v>
      </c>
      <c r="AM42">
        <v>6.8000000000000005E-2</v>
      </c>
      <c r="AN42">
        <v>6.7000000000000004E-2</v>
      </c>
      <c r="AO42">
        <v>6.9039999999999999</v>
      </c>
    </row>
    <row r="43" spans="1:41" hidden="1">
      <c r="A43">
        <v>41</v>
      </c>
      <c r="B43">
        <v>5.8999999999999997E-2</v>
      </c>
      <c r="C43">
        <v>1.44E-4</v>
      </c>
      <c r="D43" s="1">
        <v>5.3999999999999998E-5</v>
      </c>
      <c r="E43" s="1">
        <v>5.8E-5</v>
      </c>
      <c r="F43" s="1">
        <v>5.3000000000000001E-5</v>
      </c>
      <c r="G43" s="1"/>
      <c r="I43">
        <v>5.5E-2</v>
      </c>
      <c r="J43">
        <v>4.1899999999999999E-4</v>
      </c>
      <c r="K43" s="1">
        <v>5.7000000000000003E-5</v>
      </c>
      <c r="L43" s="1">
        <v>5.3000000000000001E-5</v>
      </c>
      <c r="M43">
        <v>4.7699999999999999E-4</v>
      </c>
      <c r="P43">
        <v>5.8999999999999997E-2</v>
      </c>
      <c r="Q43" s="1">
        <v>5.5999999999999999E-5</v>
      </c>
      <c r="R43" s="1">
        <v>5.3000000000000001E-5</v>
      </c>
      <c r="S43" s="1">
        <v>9.2E-5</v>
      </c>
      <c r="T43">
        <v>1.6819999999999999E-3</v>
      </c>
      <c r="W43">
        <v>5.0999999999999997E-2</v>
      </c>
      <c r="X43">
        <v>4.8000000000000001E-2</v>
      </c>
      <c r="Y43">
        <v>4.9000000000000002E-2</v>
      </c>
      <c r="Z43">
        <v>0.05</v>
      </c>
      <c r="AA43">
        <v>4.9000000000000002E-2</v>
      </c>
      <c r="AD43">
        <v>0.14799999999999999</v>
      </c>
      <c r="AE43">
        <v>7.3999999999999996E-2</v>
      </c>
      <c r="AF43">
        <v>6.9000000000000006E-2</v>
      </c>
      <c r="AG43">
        <v>6.7000000000000004E-2</v>
      </c>
      <c r="AH43">
        <v>5.843</v>
      </c>
      <c r="AK43">
        <v>0.106</v>
      </c>
      <c r="AL43">
        <v>0.10199999999999999</v>
      </c>
      <c r="AM43">
        <v>9.2999999999999999E-2</v>
      </c>
      <c r="AN43">
        <v>9.0999999999999998E-2</v>
      </c>
      <c r="AO43">
        <v>0.09</v>
      </c>
    </row>
    <row r="44" spans="1:41" hidden="1">
      <c r="A44">
        <v>42</v>
      </c>
      <c r="B44">
        <v>5.5E-2</v>
      </c>
      <c r="C44" s="1">
        <v>5.8999999999999998E-5</v>
      </c>
      <c r="D44" s="1">
        <v>8.1790000000000005E-3</v>
      </c>
      <c r="E44" s="1">
        <v>7.9699999999999997E-4</v>
      </c>
      <c r="F44" s="1">
        <v>7.6000000000000004E-5</v>
      </c>
      <c r="G44" s="1"/>
      <c r="H44" s="1"/>
      <c r="I44">
        <v>5.8000000000000003E-2</v>
      </c>
      <c r="J44" s="1">
        <v>5.5999999999999999E-5</v>
      </c>
      <c r="K44" s="1">
        <v>5.3999999999999998E-5</v>
      </c>
      <c r="L44" s="1">
        <v>5.1999999999999997E-5</v>
      </c>
      <c r="M44" s="1">
        <v>5.3000000000000001E-5</v>
      </c>
      <c r="N44" s="1"/>
      <c r="P44">
        <v>7.6999999999999999E-2</v>
      </c>
      <c r="Q44" s="1">
        <v>8.7999999999999998E-5</v>
      </c>
      <c r="R44" s="1">
        <v>7.4999999999999993E-5</v>
      </c>
      <c r="S44" s="1">
        <v>9.6000000000000002E-5</v>
      </c>
      <c r="T44" s="1">
        <v>5.8999999999999998E-5</v>
      </c>
      <c r="U44" s="1"/>
      <c r="W44">
        <v>0.05</v>
      </c>
      <c r="X44">
        <v>4.9000000000000002E-2</v>
      </c>
      <c r="Y44">
        <v>0.125</v>
      </c>
      <c r="Z44">
        <v>5.3999999999999999E-2</v>
      </c>
      <c r="AA44">
        <v>8.7999999999999995E-2</v>
      </c>
      <c r="AD44">
        <v>7.3999999999999996E-2</v>
      </c>
      <c r="AE44">
        <v>6.9000000000000006E-2</v>
      </c>
      <c r="AF44">
        <v>0.154</v>
      </c>
      <c r="AG44">
        <v>0.20300000000000001</v>
      </c>
      <c r="AH44">
        <v>6.5000000000000002E-2</v>
      </c>
      <c r="AK44">
        <v>9.4E-2</v>
      </c>
      <c r="AL44">
        <v>9.0999999999999998E-2</v>
      </c>
      <c r="AM44">
        <v>9.6000000000000002E-2</v>
      </c>
      <c r="AN44">
        <v>7.8E-2</v>
      </c>
      <c r="AO44">
        <v>8.2000000000000003E-2</v>
      </c>
    </row>
    <row r="45" spans="1:41" hidden="1">
      <c r="A45">
        <v>43</v>
      </c>
      <c r="B45">
        <v>8.2000000000000003E-2</v>
      </c>
      <c r="C45" s="1">
        <v>5.5999999999999999E-5</v>
      </c>
      <c r="D45" s="1">
        <v>5.3999999999999998E-5</v>
      </c>
      <c r="E45" s="1">
        <v>5.3000000000000001E-5</v>
      </c>
      <c r="F45" s="1">
        <v>5.3000000000000001E-5</v>
      </c>
      <c r="G45" s="1"/>
      <c r="H45" s="1"/>
      <c r="I45">
        <v>1.718</v>
      </c>
      <c r="J45" s="1">
        <v>5.8E-5</v>
      </c>
      <c r="K45" s="1">
        <v>5.8E-5</v>
      </c>
      <c r="L45" s="1">
        <v>5.3000000000000001E-5</v>
      </c>
      <c r="M45" s="1">
        <v>6.0999999999999999E-5</v>
      </c>
      <c r="N45" s="1"/>
      <c r="P45">
        <v>8.2000000000000003E-2</v>
      </c>
      <c r="Q45">
        <v>6.9700000000000003E-4</v>
      </c>
      <c r="R45" s="1">
        <v>5.8999999999999998E-5</v>
      </c>
      <c r="S45" s="1">
        <v>5.5000000000000002E-5</v>
      </c>
      <c r="T45" s="1">
        <v>5.3999999999999998E-5</v>
      </c>
      <c r="U45" s="1"/>
      <c r="W45">
        <v>5.0999999999999997E-2</v>
      </c>
      <c r="X45">
        <v>4.9000000000000002E-2</v>
      </c>
      <c r="Y45">
        <v>4.9000000000000002E-2</v>
      </c>
      <c r="Z45">
        <v>0.86099999999999999</v>
      </c>
      <c r="AA45">
        <v>5.1999999999999998E-2</v>
      </c>
      <c r="AD45">
        <v>6.5000000000000002E-2</v>
      </c>
      <c r="AE45">
        <v>7.4999999999999997E-2</v>
      </c>
      <c r="AF45">
        <v>9.6000000000000002E-2</v>
      </c>
      <c r="AG45">
        <v>0.30599999999999999</v>
      </c>
      <c r="AH45">
        <v>6.3E-2</v>
      </c>
      <c r="AK45">
        <v>8.3000000000000004E-2</v>
      </c>
      <c r="AL45">
        <v>7.9000000000000001E-2</v>
      </c>
      <c r="AM45">
        <v>7.6999999999999999E-2</v>
      </c>
      <c r="AN45">
        <v>8.1000000000000003E-2</v>
      </c>
      <c r="AO45">
        <v>7.8E-2</v>
      </c>
    </row>
    <row r="46" spans="1:41" hidden="1">
      <c r="A46">
        <v>44</v>
      </c>
      <c r="B46">
        <v>8.5000000000000006E-2</v>
      </c>
      <c r="C46" s="1">
        <v>5.5000000000000002E-5</v>
      </c>
      <c r="D46" s="1">
        <v>2.3699999999999999E-4</v>
      </c>
      <c r="E46" s="1">
        <v>5.5999999999999999E-5</v>
      </c>
      <c r="F46" s="1">
        <v>5.3000000000000001E-5</v>
      </c>
      <c r="G46" s="1"/>
      <c r="H46" s="1"/>
      <c r="I46">
        <v>5.6000000000000001E-2</v>
      </c>
      <c r="J46" s="1">
        <v>5.5999999999999999E-5</v>
      </c>
      <c r="K46">
        <v>5.4400000000000004E-3</v>
      </c>
      <c r="L46">
        <v>5.4500000000000002E-4</v>
      </c>
      <c r="M46" s="1">
        <v>6.0000000000000002E-5</v>
      </c>
      <c r="N46" s="1"/>
      <c r="P46">
        <v>5.7000000000000002E-2</v>
      </c>
      <c r="Q46">
        <v>8.5000000000000006E-3</v>
      </c>
      <c r="R46">
        <v>4.5800000000000002E-4</v>
      </c>
      <c r="S46" s="1">
        <v>6.4999999999999994E-5</v>
      </c>
      <c r="T46" s="1">
        <v>6.7999999999999999E-5</v>
      </c>
      <c r="U46" s="1"/>
      <c r="W46">
        <v>5.2999999999999999E-2</v>
      </c>
      <c r="X46">
        <v>4.9000000000000002E-2</v>
      </c>
      <c r="Y46">
        <v>9.1999999999999998E-2</v>
      </c>
      <c r="Z46">
        <v>8.827</v>
      </c>
      <c r="AA46">
        <v>0.86299999999999999</v>
      </c>
      <c r="AD46">
        <v>7.2999999999999995E-2</v>
      </c>
      <c r="AE46">
        <v>7.0999999999999994E-2</v>
      </c>
      <c r="AF46">
        <v>6.6000000000000003E-2</v>
      </c>
      <c r="AG46">
        <v>6.7000000000000004E-2</v>
      </c>
      <c r="AH46">
        <v>6.7000000000000004E-2</v>
      </c>
      <c r="AK46">
        <v>9.0999999999999998E-2</v>
      </c>
      <c r="AL46">
        <v>7.0999999999999994E-2</v>
      </c>
      <c r="AM46">
        <v>7.5999999999999998E-2</v>
      </c>
      <c r="AN46">
        <v>7.4999999999999997E-2</v>
      </c>
      <c r="AO46">
        <v>6.9000000000000006E-2</v>
      </c>
    </row>
    <row r="47" spans="1:41" hidden="1">
      <c r="A47">
        <v>45</v>
      </c>
      <c r="B47">
        <v>5.6000000000000001E-2</v>
      </c>
      <c r="C47" s="1">
        <v>5.7000000000000003E-5</v>
      </c>
      <c r="D47" s="1">
        <v>5.3000000000000001E-5</v>
      </c>
      <c r="E47" s="1">
        <v>5.3000000000000001E-5</v>
      </c>
      <c r="F47" s="1">
        <v>5.1999999999999997E-5</v>
      </c>
      <c r="G47" s="1"/>
      <c r="H47" s="1"/>
      <c r="I47">
        <v>6.8000000000000005E-2</v>
      </c>
      <c r="J47" s="1">
        <v>6.0999999999999999E-5</v>
      </c>
      <c r="K47">
        <v>1.392E-3</v>
      </c>
      <c r="L47" s="1">
        <v>6.2000000000000003E-5</v>
      </c>
      <c r="M47" s="1">
        <v>5.5000000000000002E-5</v>
      </c>
      <c r="N47" s="1"/>
      <c r="P47">
        <v>6.6000000000000003E-2</v>
      </c>
      <c r="Q47" s="1">
        <v>6.0999999999999999E-5</v>
      </c>
      <c r="R47" s="1">
        <v>5.8E-5</v>
      </c>
      <c r="S47" s="1">
        <v>5.8999999999999998E-5</v>
      </c>
      <c r="T47" s="1">
        <v>6.0999999999999999E-5</v>
      </c>
      <c r="U47" s="1"/>
      <c r="W47">
        <v>5.6000000000000001E-2</v>
      </c>
      <c r="X47">
        <v>5.2999999999999999E-2</v>
      </c>
      <c r="Y47">
        <v>5.2999999999999999E-2</v>
      </c>
      <c r="Z47">
        <v>5.8000000000000003E-2</v>
      </c>
      <c r="AA47">
        <v>5.2999999999999999E-2</v>
      </c>
      <c r="AD47">
        <v>7.0000000000000007E-2</v>
      </c>
      <c r="AE47">
        <v>6.7000000000000004E-2</v>
      </c>
      <c r="AF47">
        <v>7.0000000000000007E-2</v>
      </c>
      <c r="AG47">
        <v>0.06</v>
      </c>
      <c r="AH47">
        <v>6.0999999999999999E-2</v>
      </c>
      <c r="AK47">
        <v>7.0999999999999994E-2</v>
      </c>
      <c r="AL47">
        <v>8.1000000000000003E-2</v>
      </c>
      <c r="AM47">
        <v>7.4999999999999997E-2</v>
      </c>
      <c r="AN47">
        <v>7.9000000000000001E-2</v>
      </c>
      <c r="AO47">
        <v>7.9000000000000001E-2</v>
      </c>
    </row>
    <row r="48" spans="1:41" hidden="1">
      <c r="A48">
        <v>46</v>
      </c>
      <c r="B48">
        <v>0.187</v>
      </c>
      <c r="C48">
        <v>1.2400000000000001E-4</v>
      </c>
      <c r="D48" s="1">
        <v>6.2000000000000003E-5</v>
      </c>
      <c r="E48" s="1">
        <v>5.8999999999999998E-5</v>
      </c>
      <c r="F48" s="1">
        <v>5.8E-5</v>
      </c>
      <c r="G48" s="1"/>
      <c r="H48" s="1"/>
      <c r="I48">
        <v>5.8000000000000003E-2</v>
      </c>
      <c r="J48" s="1">
        <v>5.5999999999999999E-5</v>
      </c>
      <c r="K48" s="1">
        <v>5.3999999999999998E-5</v>
      </c>
      <c r="L48" s="1">
        <v>5.3000000000000001E-5</v>
      </c>
      <c r="M48" s="1">
        <v>5.3000000000000001E-5</v>
      </c>
      <c r="N48" s="1"/>
      <c r="P48">
        <v>0.06</v>
      </c>
      <c r="Q48" s="1">
        <v>6.3E-5</v>
      </c>
      <c r="R48" s="1">
        <v>6.0000000000000002E-5</v>
      </c>
      <c r="S48" s="1">
        <v>5.3999999999999998E-5</v>
      </c>
      <c r="T48" s="1">
        <v>5.3000000000000001E-5</v>
      </c>
      <c r="U48" s="1"/>
      <c r="W48">
        <v>0.05</v>
      </c>
      <c r="X48">
        <v>0.185</v>
      </c>
      <c r="Y48">
        <v>5.8000000000000003E-2</v>
      </c>
      <c r="Z48">
        <v>4.8000000000000001E-2</v>
      </c>
      <c r="AA48">
        <v>4.9000000000000002E-2</v>
      </c>
      <c r="AD48">
        <v>0.19700000000000001</v>
      </c>
      <c r="AE48">
        <v>5.8000000000000003E-2</v>
      </c>
      <c r="AF48">
        <v>8.2000000000000003E-2</v>
      </c>
      <c r="AG48">
        <v>5.7000000000000002E-2</v>
      </c>
      <c r="AH48">
        <v>0.11899999999999999</v>
      </c>
      <c r="AK48">
        <v>7.2999999999999995E-2</v>
      </c>
      <c r="AL48">
        <v>7.8E-2</v>
      </c>
      <c r="AM48">
        <v>7.0999999999999994E-2</v>
      </c>
      <c r="AN48">
        <v>7.3999999999999996E-2</v>
      </c>
      <c r="AO48">
        <v>6.9000000000000006E-2</v>
      </c>
    </row>
    <row r="49" spans="1:41" hidden="1">
      <c r="A49">
        <v>47</v>
      </c>
      <c r="B49">
        <v>0.06</v>
      </c>
      <c r="C49" s="1">
        <v>6.0999999999999999E-5</v>
      </c>
      <c r="D49" s="1">
        <v>5.8E-5</v>
      </c>
      <c r="E49" s="1">
        <v>6.0999999999999999E-5</v>
      </c>
      <c r="F49" s="1">
        <v>1.66E-4</v>
      </c>
      <c r="G49" s="1"/>
      <c r="H49" s="1"/>
      <c r="I49">
        <v>0.104</v>
      </c>
      <c r="J49" s="1">
        <v>9.0000000000000006E-5</v>
      </c>
      <c r="K49">
        <v>4.5710000000000004E-3</v>
      </c>
      <c r="L49" s="1">
        <v>5.5999999999999999E-5</v>
      </c>
      <c r="M49" s="1">
        <v>7.7999999999999999E-5</v>
      </c>
      <c r="N49" s="1"/>
      <c r="P49">
        <v>0.39400000000000002</v>
      </c>
      <c r="Q49">
        <v>1E-4</v>
      </c>
      <c r="R49" s="1">
        <v>6.8999999999999997E-5</v>
      </c>
      <c r="S49" s="1">
        <v>5.8999999999999998E-5</v>
      </c>
      <c r="T49" s="1">
        <v>5.5000000000000002E-5</v>
      </c>
      <c r="U49" s="1"/>
      <c r="W49">
        <v>5.0999999999999997E-2</v>
      </c>
      <c r="X49">
        <v>4.9000000000000002E-2</v>
      </c>
      <c r="Y49">
        <v>5.1999999999999998E-2</v>
      </c>
      <c r="Z49">
        <v>5.1999999999999998E-2</v>
      </c>
      <c r="AA49">
        <v>5.6000000000000001E-2</v>
      </c>
      <c r="AD49">
        <v>0.13</v>
      </c>
      <c r="AE49">
        <v>6.3E-2</v>
      </c>
      <c r="AF49">
        <v>5.7000000000000002E-2</v>
      </c>
      <c r="AG49">
        <v>5.5E-2</v>
      </c>
      <c r="AH49">
        <v>5.6000000000000001E-2</v>
      </c>
      <c r="AK49">
        <v>8.1000000000000003E-2</v>
      </c>
      <c r="AL49">
        <v>7.0000000000000007E-2</v>
      </c>
      <c r="AM49">
        <v>7.8E-2</v>
      </c>
      <c r="AN49">
        <v>6.9000000000000006E-2</v>
      </c>
      <c r="AO49">
        <v>7.1999999999999995E-2</v>
      </c>
    </row>
    <row r="50" spans="1:41" hidden="1">
      <c r="A50">
        <v>48</v>
      </c>
      <c r="B50">
        <v>5.7000000000000002E-2</v>
      </c>
      <c r="C50" s="1">
        <v>5.8999999999999998E-5</v>
      </c>
      <c r="D50" s="1">
        <v>6.0000000000000002E-5</v>
      </c>
      <c r="E50" s="1">
        <v>5.3000000000000001E-5</v>
      </c>
      <c r="F50" s="1">
        <v>5.7000000000000003E-5</v>
      </c>
      <c r="G50" s="1"/>
      <c r="H50" s="1"/>
      <c r="I50">
        <v>6.0999999999999999E-2</v>
      </c>
      <c r="J50" s="1">
        <v>5.8999999999999998E-5</v>
      </c>
      <c r="K50" s="1">
        <v>5.3999999999999998E-5</v>
      </c>
      <c r="L50">
        <v>2.0000000000000001E-4</v>
      </c>
      <c r="M50" s="1">
        <v>6.7999999999999999E-5</v>
      </c>
      <c r="N50" s="1"/>
      <c r="P50">
        <v>5.8000000000000003E-2</v>
      </c>
      <c r="Q50" s="1">
        <v>5.5999999999999999E-5</v>
      </c>
      <c r="R50" s="1">
        <v>6.4999999999999994E-5</v>
      </c>
      <c r="S50" s="1">
        <v>5.3999999999999998E-5</v>
      </c>
      <c r="T50" s="1">
        <v>5.8999999999999998E-5</v>
      </c>
      <c r="U50" s="1"/>
      <c r="W50">
        <v>0.13800000000000001</v>
      </c>
      <c r="X50">
        <v>0.05</v>
      </c>
      <c r="Y50">
        <v>0.05</v>
      </c>
      <c r="Z50">
        <v>5.6000000000000001E-2</v>
      </c>
      <c r="AA50">
        <v>5.3999999999999999E-2</v>
      </c>
      <c r="AD50">
        <v>5.8000000000000003E-2</v>
      </c>
      <c r="AE50">
        <v>5.6000000000000001E-2</v>
      </c>
      <c r="AF50">
        <v>5.5E-2</v>
      </c>
      <c r="AG50">
        <v>5.6000000000000001E-2</v>
      </c>
      <c r="AH50">
        <v>0.109</v>
      </c>
      <c r="AK50">
        <v>7.2999999999999995E-2</v>
      </c>
      <c r="AL50">
        <v>7.5999999999999998E-2</v>
      </c>
      <c r="AM50">
        <v>7.4999999999999997E-2</v>
      </c>
      <c r="AN50">
        <v>7.3999999999999996E-2</v>
      </c>
      <c r="AO50">
        <v>6.8000000000000005E-2</v>
      </c>
    </row>
    <row r="51" spans="1:41" hidden="1">
      <c r="A51">
        <v>49</v>
      </c>
      <c r="B51">
        <v>6.0999999999999999E-2</v>
      </c>
      <c r="C51" s="1">
        <v>6.2000000000000003E-5</v>
      </c>
      <c r="D51" s="1">
        <v>5.8999999999999998E-5</v>
      </c>
      <c r="E51" s="1">
        <v>5.8E-5</v>
      </c>
      <c r="F51" s="1">
        <v>5.8E-5</v>
      </c>
      <c r="G51" s="1"/>
      <c r="H51" s="1"/>
      <c r="I51">
        <v>6.6000000000000003E-2</v>
      </c>
      <c r="J51" s="1">
        <v>7.3999999999999996E-5</v>
      </c>
      <c r="K51" s="1">
        <v>5.5000000000000002E-5</v>
      </c>
      <c r="L51" s="1">
        <v>5.5000000000000002E-5</v>
      </c>
      <c r="M51" s="1">
        <v>5.5000000000000002E-5</v>
      </c>
      <c r="N51" s="1"/>
      <c r="P51">
        <v>5.6000000000000001E-2</v>
      </c>
      <c r="Q51" s="1">
        <v>5.7000000000000003E-5</v>
      </c>
      <c r="R51" s="1">
        <v>5.3000000000000001E-5</v>
      </c>
      <c r="S51" s="1">
        <v>5.7000000000000003E-5</v>
      </c>
      <c r="T51" s="1">
        <v>6.0999999999999999E-5</v>
      </c>
      <c r="U51" s="1"/>
      <c r="W51">
        <v>0.05</v>
      </c>
      <c r="X51">
        <v>4.9000000000000002E-2</v>
      </c>
      <c r="Y51">
        <v>0.35</v>
      </c>
      <c r="Z51">
        <v>9.9000000000000005E-2</v>
      </c>
      <c r="AA51">
        <v>0.05</v>
      </c>
      <c r="AD51">
        <v>6.2E-2</v>
      </c>
      <c r="AE51">
        <v>5.7000000000000002E-2</v>
      </c>
      <c r="AF51">
        <v>5.6000000000000001E-2</v>
      </c>
      <c r="AG51">
        <v>5.5E-2</v>
      </c>
      <c r="AH51">
        <v>5.5E-2</v>
      </c>
      <c r="AK51">
        <v>7.1999999999999995E-2</v>
      </c>
      <c r="AL51">
        <v>6.9000000000000006E-2</v>
      </c>
      <c r="AM51">
        <v>11.199</v>
      </c>
      <c r="AN51">
        <v>0.113</v>
      </c>
      <c r="AO51">
        <v>6.4000000000000001E-2</v>
      </c>
    </row>
    <row r="52" spans="1:41" hidden="1">
      <c r="A52">
        <v>50</v>
      </c>
      <c r="B52">
        <v>0.06</v>
      </c>
      <c r="C52" s="1">
        <v>6.0000000000000002E-5</v>
      </c>
      <c r="D52" s="1">
        <v>5.8E-5</v>
      </c>
      <c r="E52" s="1">
        <v>5.7000000000000003E-5</v>
      </c>
      <c r="F52" s="1">
        <v>6.0000000000000002E-5</v>
      </c>
      <c r="G52" s="1"/>
      <c r="H52" s="1"/>
      <c r="I52">
        <v>5.5E-2</v>
      </c>
      <c r="J52">
        <v>9.8299999999999993E-4</v>
      </c>
      <c r="K52" s="1">
        <v>6.7999999999999999E-5</v>
      </c>
      <c r="L52" s="1">
        <v>7.2000000000000002E-5</v>
      </c>
      <c r="M52" s="1">
        <v>6.2000000000000003E-5</v>
      </c>
      <c r="N52" s="1"/>
      <c r="P52">
        <v>5.7000000000000002E-2</v>
      </c>
      <c r="Q52" s="1">
        <v>5.5999999999999999E-5</v>
      </c>
      <c r="R52" s="1">
        <v>5.3000000000000001E-5</v>
      </c>
      <c r="S52">
        <v>1.84E-4</v>
      </c>
      <c r="T52" s="1">
        <v>5.7000000000000003E-5</v>
      </c>
      <c r="U52" s="1"/>
      <c r="W52">
        <v>5.0999999999999997E-2</v>
      </c>
      <c r="X52">
        <v>5.3999999999999999E-2</v>
      </c>
      <c r="Y52">
        <v>5.5E-2</v>
      </c>
      <c r="Z52">
        <v>5.5E-2</v>
      </c>
      <c r="AA52">
        <v>5.3999999999999999E-2</v>
      </c>
      <c r="AD52">
        <v>5.7000000000000002E-2</v>
      </c>
      <c r="AE52">
        <v>6.0999999999999999E-2</v>
      </c>
      <c r="AF52">
        <v>0.95399999999999996</v>
      </c>
      <c r="AG52">
        <v>0.13</v>
      </c>
      <c r="AH52">
        <v>5.0999999999999997E-2</v>
      </c>
      <c r="AK52">
        <v>0.189</v>
      </c>
      <c r="AL52">
        <v>0.104</v>
      </c>
      <c r="AM52">
        <v>6.4000000000000001E-2</v>
      </c>
      <c r="AN52">
        <v>6.2E-2</v>
      </c>
      <c r="AO52">
        <v>6.0999999999999999E-2</v>
      </c>
    </row>
    <row r="53" spans="1:41" hidden="1">
      <c r="A53">
        <v>51</v>
      </c>
      <c r="B53">
        <v>6.0999999999999999E-2</v>
      </c>
      <c r="C53">
        <v>1.5699999999999999E-4</v>
      </c>
      <c r="D53" s="1">
        <v>5.5999999999999999E-5</v>
      </c>
      <c r="E53" s="1">
        <v>7.6000000000000004E-5</v>
      </c>
      <c r="F53" s="1">
        <v>5.3000000000000001E-5</v>
      </c>
      <c r="G53" s="1"/>
      <c r="I53">
        <v>0.23699999999999999</v>
      </c>
      <c r="J53" s="1">
        <v>6.0999999999999999E-5</v>
      </c>
      <c r="K53" s="1">
        <v>5.5000000000000002E-5</v>
      </c>
      <c r="L53" s="1">
        <v>5.3000000000000001E-5</v>
      </c>
      <c r="M53" s="1">
        <v>5.3999999999999998E-5</v>
      </c>
      <c r="N53" s="1"/>
      <c r="P53">
        <v>6.6000000000000003E-2</v>
      </c>
      <c r="Q53" s="1">
        <v>6.2000000000000003E-5</v>
      </c>
      <c r="R53" s="1">
        <v>5.8999999999999998E-5</v>
      </c>
      <c r="S53" s="1">
        <v>5.8999999999999998E-5</v>
      </c>
      <c r="T53" s="1">
        <v>5.8999999999999998E-5</v>
      </c>
      <c r="U53" s="1"/>
      <c r="W53">
        <v>5.0999999999999997E-2</v>
      </c>
      <c r="X53">
        <v>4.9000000000000002E-2</v>
      </c>
      <c r="Y53">
        <v>0.13100000000000001</v>
      </c>
      <c r="Z53">
        <v>24.286000000000001</v>
      </c>
      <c r="AA53">
        <v>5.7000000000000002E-2</v>
      </c>
      <c r="AD53">
        <v>5.1999999999999998E-2</v>
      </c>
      <c r="AE53">
        <v>4.8000000000000001E-2</v>
      </c>
      <c r="AF53">
        <v>4.8000000000000001E-2</v>
      </c>
      <c r="AG53">
        <v>4.8000000000000001E-2</v>
      </c>
      <c r="AH53">
        <v>4.8000000000000001E-2</v>
      </c>
      <c r="AK53">
        <v>6.7000000000000004E-2</v>
      </c>
      <c r="AL53">
        <v>6.4000000000000001E-2</v>
      </c>
      <c r="AM53">
        <v>6.3E-2</v>
      </c>
      <c r="AN53">
        <v>0.06</v>
      </c>
      <c r="AO53">
        <v>6.2E-2</v>
      </c>
    </row>
    <row r="54" spans="1:41" hidden="1">
      <c r="A54">
        <v>52</v>
      </c>
      <c r="B54">
        <v>9.0999999999999998E-2</v>
      </c>
      <c r="C54" s="1">
        <v>5.5000000000000002E-5</v>
      </c>
      <c r="D54" s="1">
        <v>5.3000000000000001E-5</v>
      </c>
      <c r="E54" s="1">
        <v>5.3000000000000001E-5</v>
      </c>
      <c r="F54" s="1">
        <v>5.3999999999999998E-5</v>
      </c>
      <c r="G54" s="1"/>
      <c r="H54" s="1"/>
      <c r="I54">
        <v>5.6000000000000001E-2</v>
      </c>
      <c r="J54" s="1">
        <v>5.8E-5</v>
      </c>
      <c r="K54" s="1">
        <v>5.5000000000000002E-5</v>
      </c>
      <c r="L54" s="1">
        <v>5.8E-5</v>
      </c>
      <c r="M54" s="1">
        <v>6.0999999999999999E-5</v>
      </c>
      <c r="N54" s="1"/>
      <c r="P54">
        <v>6.0999999999999999E-2</v>
      </c>
      <c r="Q54" s="1">
        <v>6.3E-5</v>
      </c>
      <c r="R54" s="1">
        <v>5.8E-5</v>
      </c>
      <c r="S54" s="1">
        <v>6.0000000000000002E-5</v>
      </c>
      <c r="T54" s="1">
        <v>5.8E-5</v>
      </c>
      <c r="U54" s="1"/>
      <c r="W54">
        <v>5.8999999999999997E-2</v>
      </c>
      <c r="X54">
        <v>4.9000000000000002E-2</v>
      </c>
      <c r="Y54">
        <v>5.3999999999999999E-2</v>
      </c>
      <c r="Z54">
        <v>5.1999999999999998E-2</v>
      </c>
      <c r="AA54">
        <v>5.2999999999999999E-2</v>
      </c>
      <c r="AD54">
        <v>5.0999999999999997E-2</v>
      </c>
      <c r="AE54">
        <v>4.8000000000000001E-2</v>
      </c>
      <c r="AF54">
        <v>4.8000000000000001E-2</v>
      </c>
      <c r="AG54">
        <v>4.7E-2</v>
      </c>
      <c r="AH54">
        <v>8.7379999999999995</v>
      </c>
      <c r="AK54">
        <v>6.4000000000000001E-2</v>
      </c>
      <c r="AL54">
        <v>6.6000000000000003E-2</v>
      </c>
      <c r="AM54">
        <v>5.5E-2</v>
      </c>
      <c r="AN54">
        <v>6.5330000000000004</v>
      </c>
      <c r="AO54">
        <v>6.2E-2</v>
      </c>
    </row>
    <row r="55" spans="1:41" hidden="1">
      <c r="A55">
        <v>53</v>
      </c>
      <c r="B55">
        <v>5.5E-2</v>
      </c>
      <c r="C55" s="1">
        <v>5.5999999999999999E-5</v>
      </c>
      <c r="D55" s="1">
        <v>5.1999999999999997E-5</v>
      </c>
      <c r="E55" s="1">
        <v>5.1E-5</v>
      </c>
      <c r="F55" s="1">
        <v>5.1999999999999997E-5</v>
      </c>
      <c r="G55" s="1"/>
      <c r="I55">
        <v>6.0999999999999999E-2</v>
      </c>
      <c r="J55" s="1">
        <v>6.2000000000000003E-5</v>
      </c>
      <c r="K55" s="1">
        <v>6.0000000000000002E-5</v>
      </c>
      <c r="L55" s="1">
        <v>5.7000000000000003E-5</v>
      </c>
      <c r="M55" s="1">
        <v>5.7000000000000003E-5</v>
      </c>
      <c r="N55" s="1"/>
      <c r="P55">
        <v>6.3E-2</v>
      </c>
      <c r="Q55" s="1">
        <v>6.2000000000000003E-5</v>
      </c>
      <c r="R55" s="1">
        <v>5.8E-5</v>
      </c>
      <c r="S55" s="1">
        <v>6.0000000000000002E-5</v>
      </c>
      <c r="T55" s="1">
        <v>5.8E-5</v>
      </c>
      <c r="U55" s="1"/>
      <c r="W55">
        <v>5.2999999999999999E-2</v>
      </c>
      <c r="X55">
        <v>5.6000000000000001E-2</v>
      </c>
      <c r="Y55">
        <v>4.8000000000000001E-2</v>
      </c>
      <c r="Z55">
        <v>4.7E-2</v>
      </c>
      <c r="AA55">
        <v>4.9000000000000002E-2</v>
      </c>
      <c r="AD55">
        <v>6.4000000000000001E-2</v>
      </c>
      <c r="AE55">
        <v>8.1000000000000003E-2</v>
      </c>
      <c r="AF55">
        <v>8.5000000000000006E-2</v>
      </c>
      <c r="AG55">
        <v>5.2999999999999999E-2</v>
      </c>
      <c r="AH55">
        <v>0.05</v>
      </c>
      <c r="AK55">
        <v>5.8999999999999997E-2</v>
      </c>
      <c r="AL55">
        <v>6.2E-2</v>
      </c>
      <c r="AM55">
        <v>6.2E-2</v>
      </c>
      <c r="AN55">
        <v>6.0999999999999999E-2</v>
      </c>
      <c r="AO55">
        <v>0.06</v>
      </c>
    </row>
    <row r="56" spans="1:41" hidden="1">
      <c r="A56">
        <v>54</v>
      </c>
      <c r="B56">
        <v>5.6000000000000001E-2</v>
      </c>
      <c r="C56">
        <v>1.4220000000000001E-3</v>
      </c>
      <c r="D56" s="1">
        <v>5.3999999999999998E-5</v>
      </c>
      <c r="E56" s="1">
        <v>1.1055000000000001E-2</v>
      </c>
      <c r="F56" s="1">
        <v>2.8400000000000002E-4</v>
      </c>
      <c r="G56" s="1"/>
      <c r="H56" s="1"/>
      <c r="I56">
        <v>6.8000000000000005E-2</v>
      </c>
      <c r="J56">
        <v>5.8500000000000002E-4</v>
      </c>
      <c r="K56" s="1">
        <v>5.8999999999999998E-5</v>
      </c>
      <c r="L56" s="1">
        <v>5.3999999999999998E-5</v>
      </c>
      <c r="M56" s="1">
        <v>5.3000000000000001E-5</v>
      </c>
      <c r="N56" s="1"/>
      <c r="P56">
        <v>6.2E-2</v>
      </c>
      <c r="Q56" s="1">
        <v>6.0999999999999999E-5</v>
      </c>
      <c r="R56" s="1">
        <v>5.8999999999999998E-5</v>
      </c>
      <c r="S56" s="1">
        <v>5.8E-5</v>
      </c>
      <c r="T56" s="1">
        <v>5.8999999999999998E-5</v>
      </c>
      <c r="U56" s="1"/>
      <c r="W56">
        <v>0.05</v>
      </c>
      <c r="X56">
        <v>6.9000000000000006E-2</v>
      </c>
      <c r="Y56">
        <v>0.28199999999999997</v>
      </c>
      <c r="Z56">
        <v>4.9000000000000002E-2</v>
      </c>
      <c r="AA56">
        <v>4.9000000000000002E-2</v>
      </c>
      <c r="AD56">
        <v>7.3999999999999996E-2</v>
      </c>
      <c r="AE56">
        <v>0.1</v>
      </c>
      <c r="AF56">
        <v>5.8000000000000003E-2</v>
      </c>
      <c r="AG56">
        <v>0.05</v>
      </c>
      <c r="AH56">
        <v>4.9000000000000002E-2</v>
      </c>
      <c r="AK56">
        <v>6.3E-2</v>
      </c>
      <c r="AL56">
        <v>6.2E-2</v>
      </c>
      <c r="AM56">
        <v>0.06</v>
      </c>
      <c r="AN56">
        <v>6.4000000000000001E-2</v>
      </c>
      <c r="AO56">
        <v>5.5E-2</v>
      </c>
    </row>
    <row r="57" spans="1:41" hidden="1">
      <c r="A57">
        <v>55</v>
      </c>
      <c r="B57">
        <v>0.115</v>
      </c>
      <c r="C57">
        <v>1.15E-4</v>
      </c>
      <c r="D57" s="1">
        <v>1.0900000000000001E-4</v>
      </c>
      <c r="E57" s="1">
        <v>1.01E-4</v>
      </c>
      <c r="F57" s="1">
        <v>9.8999999999999994E-5</v>
      </c>
      <c r="G57" s="1"/>
      <c r="H57" s="1"/>
      <c r="I57">
        <v>6.7000000000000004E-2</v>
      </c>
      <c r="J57" s="1">
        <v>6.3999999999999997E-5</v>
      </c>
      <c r="K57" s="1">
        <v>6.0000000000000002E-5</v>
      </c>
      <c r="L57" s="1">
        <v>6.3999999999999997E-5</v>
      </c>
      <c r="M57" s="1">
        <v>6.0000000000000002E-5</v>
      </c>
      <c r="N57" s="1"/>
      <c r="P57">
        <v>6.2E-2</v>
      </c>
      <c r="Q57" s="1">
        <v>6.0000000000000002E-5</v>
      </c>
      <c r="R57" s="1">
        <v>5.8999999999999998E-5</v>
      </c>
      <c r="S57" s="1">
        <v>5.7000000000000003E-5</v>
      </c>
      <c r="T57" s="1">
        <v>5.7000000000000003E-5</v>
      </c>
      <c r="U57" s="1"/>
      <c r="W57">
        <v>5.2999999999999999E-2</v>
      </c>
      <c r="X57">
        <v>4.8000000000000001E-2</v>
      </c>
      <c r="Y57">
        <v>0.05</v>
      </c>
      <c r="Z57">
        <v>5.3999999999999999E-2</v>
      </c>
      <c r="AA57">
        <v>5.2999999999999999E-2</v>
      </c>
      <c r="AD57">
        <v>5.1999999999999998E-2</v>
      </c>
      <c r="AE57">
        <v>4.8000000000000001E-2</v>
      </c>
      <c r="AF57">
        <v>4.9000000000000002E-2</v>
      </c>
      <c r="AG57">
        <v>0.29799999999999999</v>
      </c>
      <c r="AH57">
        <v>5.1999999999999998E-2</v>
      </c>
      <c r="AK57">
        <v>8.4000000000000005E-2</v>
      </c>
      <c r="AL57">
        <v>4.8000000000000001E-2</v>
      </c>
      <c r="AM57">
        <v>4.8000000000000001E-2</v>
      </c>
      <c r="AN57">
        <v>10.766999999999999</v>
      </c>
      <c r="AO57">
        <v>6.6000000000000003E-2</v>
      </c>
    </row>
    <row r="58" spans="1:41" hidden="1">
      <c r="A58">
        <v>56</v>
      </c>
      <c r="B58">
        <v>0.113</v>
      </c>
      <c r="C58">
        <v>2.61E-4</v>
      </c>
      <c r="D58" s="1">
        <v>2.22E-4</v>
      </c>
      <c r="E58" s="1">
        <v>7.0600000000000003E-4</v>
      </c>
      <c r="F58" s="1">
        <v>8.0000000000000007E-5</v>
      </c>
      <c r="G58" s="1"/>
      <c r="H58" s="1"/>
      <c r="I58">
        <v>0.622</v>
      </c>
      <c r="J58" s="1">
        <v>6.0000000000000002E-5</v>
      </c>
      <c r="K58" s="1">
        <v>6.2000000000000003E-5</v>
      </c>
      <c r="L58" s="1">
        <v>5.8999999999999998E-5</v>
      </c>
      <c r="M58" s="1">
        <v>5.1999999999999997E-5</v>
      </c>
      <c r="N58" s="1"/>
      <c r="P58">
        <v>6.0999999999999999E-2</v>
      </c>
      <c r="Q58" s="1">
        <v>5.5999999999999999E-5</v>
      </c>
      <c r="R58" s="1">
        <v>5.8E-5</v>
      </c>
      <c r="S58" s="1">
        <v>5.8999999999999998E-5</v>
      </c>
      <c r="T58" s="1">
        <v>5.3000000000000001E-5</v>
      </c>
      <c r="U58" s="1"/>
      <c r="W58">
        <v>5.7000000000000002E-2</v>
      </c>
      <c r="X58">
        <v>5.3999999999999999E-2</v>
      </c>
      <c r="Y58">
        <v>5.5E-2</v>
      </c>
      <c r="Z58">
        <v>5.2999999999999999E-2</v>
      </c>
      <c r="AA58">
        <v>0.14099999999999999</v>
      </c>
      <c r="AD58">
        <v>6.8000000000000005E-2</v>
      </c>
      <c r="AE58">
        <v>5.2999999999999999E-2</v>
      </c>
      <c r="AF58">
        <v>4.9000000000000002E-2</v>
      </c>
      <c r="AG58">
        <v>4.9000000000000002E-2</v>
      </c>
      <c r="AH58">
        <v>0.05</v>
      </c>
      <c r="AK58">
        <v>6.3E-2</v>
      </c>
      <c r="AL58">
        <v>5.3999999999999999E-2</v>
      </c>
      <c r="AM58">
        <v>5.3999999999999999E-2</v>
      </c>
      <c r="AN58">
        <v>4.9000000000000002E-2</v>
      </c>
      <c r="AO58">
        <v>4.9000000000000002E-2</v>
      </c>
    </row>
    <row r="59" spans="1:41" hidden="1">
      <c r="A59">
        <v>57</v>
      </c>
      <c r="B59">
        <v>8.7999999999999995E-2</v>
      </c>
      <c r="C59" s="1">
        <v>8.1000000000000004E-5</v>
      </c>
      <c r="D59" s="1">
        <v>7.7000000000000001E-5</v>
      </c>
      <c r="E59" s="1">
        <v>7.4999999999999993E-5</v>
      </c>
      <c r="F59" s="1">
        <v>7.4999999999999993E-5</v>
      </c>
      <c r="G59" s="1"/>
      <c r="H59" s="1"/>
      <c r="I59">
        <v>5.6000000000000001E-2</v>
      </c>
      <c r="J59" s="1">
        <v>5.7000000000000003E-5</v>
      </c>
      <c r="K59" s="1">
        <v>5.5000000000000002E-5</v>
      </c>
      <c r="L59">
        <v>5.8600000000000004E-4</v>
      </c>
      <c r="M59">
        <v>1.472E-3</v>
      </c>
      <c r="P59">
        <v>8.7579999999999991</v>
      </c>
      <c r="Q59">
        <v>2.5040000000000001E-3</v>
      </c>
      <c r="R59">
        <v>2.7550000000000001E-3</v>
      </c>
      <c r="S59" s="1">
        <v>5.5000000000000002E-5</v>
      </c>
      <c r="T59">
        <v>3.1809999999999998E-3</v>
      </c>
      <c r="W59">
        <v>5.6000000000000001E-2</v>
      </c>
      <c r="X59">
        <v>5.2999999999999999E-2</v>
      </c>
      <c r="Y59">
        <v>5.1999999999999998E-2</v>
      </c>
      <c r="Z59">
        <v>5.2999999999999999E-2</v>
      </c>
      <c r="AA59">
        <v>4.8000000000000001E-2</v>
      </c>
      <c r="AD59">
        <v>0.05</v>
      </c>
      <c r="AE59">
        <v>4.8000000000000001E-2</v>
      </c>
      <c r="AF59">
        <v>4.8000000000000001E-2</v>
      </c>
      <c r="AG59">
        <v>4.7E-2</v>
      </c>
      <c r="AH59">
        <v>4.9000000000000002E-2</v>
      </c>
      <c r="AK59">
        <v>5.1999999999999998E-2</v>
      </c>
      <c r="AL59">
        <v>5.7000000000000002E-2</v>
      </c>
      <c r="AM59">
        <v>5.6000000000000001E-2</v>
      </c>
      <c r="AN59">
        <v>6.0999999999999999E-2</v>
      </c>
      <c r="AO59">
        <v>5.1999999999999998E-2</v>
      </c>
    </row>
    <row r="60" spans="1:41" hidden="1">
      <c r="A60">
        <v>58</v>
      </c>
      <c r="B60">
        <v>0.13500000000000001</v>
      </c>
      <c r="C60">
        <v>1.5799999999999999E-4</v>
      </c>
      <c r="D60" s="1">
        <v>7.7999999999999999E-5</v>
      </c>
      <c r="E60" s="1">
        <v>7.7000000000000001E-5</v>
      </c>
      <c r="F60" s="1">
        <v>7.7000000000000001E-5</v>
      </c>
      <c r="G60" s="1"/>
      <c r="H60" s="1"/>
      <c r="I60">
        <v>0.29499999999999998</v>
      </c>
      <c r="J60" s="1">
        <v>6.0999999999999999E-5</v>
      </c>
      <c r="K60" s="1">
        <v>5.3999999999999998E-5</v>
      </c>
      <c r="L60" s="1">
        <v>5.3000000000000001E-5</v>
      </c>
      <c r="M60" s="1">
        <v>5.3999999999999998E-5</v>
      </c>
      <c r="N60" s="1"/>
      <c r="P60">
        <v>5.7000000000000002E-2</v>
      </c>
      <c r="Q60" s="1">
        <v>5.5999999999999999E-5</v>
      </c>
      <c r="R60" s="1">
        <v>5.3999999999999998E-5</v>
      </c>
      <c r="S60">
        <v>2.8299999999999999E-4</v>
      </c>
      <c r="T60" s="1">
        <v>9.0000000000000006E-5</v>
      </c>
      <c r="U60" s="1"/>
      <c r="W60">
        <v>4.9000000000000002E-2</v>
      </c>
      <c r="X60">
        <v>4.8000000000000001E-2</v>
      </c>
      <c r="Y60">
        <v>0.16700000000000001</v>
      </c>
      <c r="Z60">
        <v>0.05</v>
      </c>
      <c r="AA60">
        <v>5.8000000000000003E-2</v>
      </c>
      <c r="AD60">
        <v>5.1999999999999998E-2</v>
      </c>
      <c r="AE60">
        <v>0.05</v>
      </c>
      <c r="AF60">
        <v>4.9000000000000002E-2</v>
      </c>
      <c r="AG60">
        <v>4.8000000000000001E-2</v>
      </c>
      <c r="AH60">
        <v>4.8000000000000001E-2</v>
      </c>
      <c r="AK60">
        <v>8.2000000000000003E-2</v>
      </c>
      <c r="AL60">
        <v>0.05</v>
      </c>
      <c r="AM60">
        <v>4.8000000000000001E-2</v>
      </c>
      <c r="AN60">
        <v>6.6000000000000003E-2</v>
      </c>
      <c r="AO60">
        <v>6.9000000000000006E-2</v>
      </c>
    </row>
    <row r="61" spans="1:41" hidden="1">
      <c r="A61">
        <v>59</v>
      </c>
      <c r="B61">
        <v>0.08</v>
      </c>
      <c r="C61" s="1">
        <v>8.0000000000000007E-5</v>
      </c>
      <c r="D61" s="1">
        <v>2.4800000000000001E-4</v>
      </c>
      <c r="E61" s="1">
        <v>7.7999999999999999E-5</v>
      </c>
      <c r="F61" s="1">
        <v>7.3999999999999996E-5</v>
      </c>
      <c r="G61" s="1"/>
      <c r="H61" s="1"/>
      <c r="I61">
        <v>5.6000000000000001E-2</v>
      </c>
      <c r="J61" s="1">
        <v>5.5999999999999999E-5</v>
      </c>
      <c r="K61" s="1">
        <v>5.3000000000000001E-5</v>
      </c>
      <c r="L61" s="1">
        <v>5.1999999999999997E-5</v>
      </c>
      <c r="M61" s="1">
        <v>5.3000000000000001E-5</v>
      </c>
      <c r="N61" s="1"/>
      <c r="P61">
        <v>8.3000000000000004E-2</v>
      </c>
      <c r="Q61" s="1">
        <v>5.8E-5</v>
      </c>
      <c r="R61" s="1">
        <v>6.3E-5</v>
      </c>
      <c r="S61" s="1">
        <v>5.7000000000000003E-5</v>
      </c>
      <c r="T61" s="1">
        <v>5.3999999999999998E-5</v>
      </c>
      <c r="U61" s="1"/>
      <c r="W61">
        <v>5.6000000000000001E-2</v>
      </c>
      <c r="X61">
        <v>4.9000000000000002E-2</v>
      </c>
      <c r="Y61">
        <v>4.8000000000000001E-2</v>
      </c>
      <c r="Z61">
        <v>4.8000000000000001E-2</v>
      </c>
      <c r="AA61">
        <v>4.8000000000000001E-2</v>
      </c>
      <c r="AD61">
        <v>5.1999999999999998E-2</v>
      </c>
      <c r="AE61">
        <v>4.8000000000000001E-2</v>
      </c>
      <c r="AF61">
        <v>4.8000000000000001E-2</v>
      </c>
      <c r="AG61">
        <v>4.7E-2</v>
      </c>
      <c r="AH61">
        <v>4.8000000000000001E-2</v>
      </c>
      <c r="AK61">
        <v>0.25800000000000001</v>
      </c>
      <c r="AL61">
        <v>6.4000000000000001E-2</v>
      </c>
      <c r="AM61">
        <v>6.5000000000000002E-2</v>
      </c>
      <c r="AN61">
        <v>7.4999999999999997E-2</v>
      </c>
      <c r="AO61">
        <v>7.0999999999999994E-2</v>
      </c>
    </row>
    <row r="62" spans="1:41" hidden="1">
      <c r="A62">
        <v>60</v>
      </c>
      <c r="B62">
        <v>0.13200000000000001</v>
      </c>
      <c r="C62" s="1">
        <v>8.2000000000000001E-5</v>
      </c>
      <c r="D62" s="1">
        <v>7.7000000000000001E-5</v>
      </c>
      <c r="E62" s="1">
        <v>7.6000000000000004E-5</v>
      </c>
      <c r="F62" s="1">
        <v>7.3999999999999996E-5</v>
      </c>
      <c r="G62" s="1"/>
      <c r="H62" s="1"/>
      <c r="I62">
        <v>8.0540000000000003</v>
      </c>
      <c r="J62">
        <v>5.8799999999999998E-4</v>
      </c>
      <c r="K62" s="1">
        <v>5.5999999999999999E-5</v>
      </c>
      <c r="L62" s="1">
        <v>5.3999999999999998E-5</v>
      </c>
      <c r="M62" s="1">
        <v>5.8999999999999998E-5</v>
      </c>
      <c r="N62" s="1"/>
      <c r="P62">
        <v>5.6000000000000001E-2</v>
      </c>
      <c r="Q62" s="1">
        <v>5.5999999999999999E-5</v>
      </c>
      <c r="R62" s="1">
        <v>5.3000000000000001E-5</v>
      </c>
      <c r="S62" s="1">
        <v>5.3000000000000001E-5</v>
      </c>
      <c r="T62" s="1">
        <v>5.3000000000000001E-5</v>
      </c>
      <c r="U62" s="1"/>
      <c r="W62">
        <v>5.0999999999999997E-2</v>
      </c>
      <c r="X62">
        <v>0.18099999999999999</v>
      </c>
      <c r="Y62">
        <v>4.9000000000000002E-2</v>
      </c>
      <c r="Z62">
        <v>5.2999999999999999E-2</v>
      </c>
      <c r="AA62">
        <v>4.8000000000000001E-2</v>
      </c>
      <c r="AD62">
        <v>4.9000000000000002E-2</v>
      </c>
      <c r="AE62">
        <v>7.1999999999999995E-2</v>
      </c>
      <c r="AF62">
        <v>4.9000000000000002E-2</v>
      </c>
      <c r="AG62">
        <v>4.7E-2</v>
      </c>
      <c r="AH62">
        <v>4.9000000000000002E-2</v>
      </c>
      <c r="AK62">
        <v>7.2999999999999995E-2</v>
      </c>
      <c r="AL62">
        <v>0.08</v>
      </c>
      <c r="AM62">
        <v>7.1999999999999995E-2</v>
      </c>
      <c r="AN62">
        <v>5.3999999999999999E-2</v>
      </c>
      <c r="AO62">
        <v>6.8000000000000005E-2</v>
      </c>
    </row>
    <row r="63" spans="1:41" hidden="1">
      <c r="A63">
        <v>61</v>
      </c>
      <c r="B63">
        <v>7.9000000000000001E-2</v>
      </c>
      <c r="C63" s="1">
        <v>7.7999999999999999E-5</v>
      </c>
      <c r="D63" s="1">
        <v>7.4999999999999993E-5</v>
      </c>
      <c r="E63" s="1">
        <v>7.6000000000000004E-5</v>
      </c>
      <c r="F63" s="1">
        <v>7.2999999999999999E-5</v>
      </c>
      <c r="G63" s="1"/>
      <c r="H63" s="1"/>
      <c r="I63">
        <v>6.4000000000000001E-2</v>
      </c>
      <c r="J63" s="1">
        <v>5.5000000000000002E-5</v>
      </c>
      <c r="K63" s="1">
        <v>6.3999999999999997E-5</v>
      </c>
      <c r="L63">
        <v>1.84E-4</v>
      </c>
      <c r="M63" s="1">
        <v>5.8E-5</v>
      </c>
      <c r="N63" s="1"/>
      <c r="P63">
        <v>5.5E-2</v>
      </c>
      <c r="Q63" s="1">
        <v>5.5999999999999999E-5</v>
      </c>
      <c r="R63" s="1">
        <v>5.1999999999999997E-5</v>
      </c>
      <c r="S63">
        <v>6.69E-4</v>
      </c>
      <c r="T63" s="1">
        <v>6.0000000000000002E-5</v>
      </c>
      <c r="U63" s="1"/>
      <c r="W63">
        <v>0.05</v>
      </c>
      <c r="X63">
        <v>4.8000000000000001E-2</v>
      </c>
      <c r="Y63">
        <v>5.0999999999999997E-2</v>
      </c>
      <c r="Z63">
        <v>4.7E-2</v>
      </c>
      <c r="AA63">
        <v>5.0999999999999997E-2</v>
      </c>
      <c r="AD63">
        <v>0.05</v>
      </c>
      <c r="AE63">
        <v>4.8000000000000001E-2</v>
      </c>
      <c r="AF63">
        <v>4.9000000000000002E-2</v>
      </c>
      <c r="AG63">
        <v>4.7E-2</v>
      </c>
      <c r="AH63">
        <v>4.9000000000000002E-2</v>
      </c>
      <c r="AK63">
        <v>5.1999999999999998E-2</v>
      </c>
      <c r="AL63">
        <v>5.5E-2</v>
      </c>
      <c r="AM63">
        <v>4.9000000000000002E-2</v>
      </c>
      <c r="AN63">
        <v>5.3999999999999999E-2</v>
      </c>
      <c r="AO63">
        <v>0.64</v>
      </c>
    </row>
    <row r="64" spans="1:41" hidden="1">
      <c r="A64">
        <v>62</v>
      </c>
      <c r="B64">
        <v>0.107</v>
      </c>
      <c r="C64" s="1">
        <v>8.0000000000000007E-5</v>
      </c>
      <c r="D64" s="1">
        <v>7.6000000000000004E-5</v>
      </c>
      <c r="E64" s="1">
        <v>7.3999999999999996E-5</v>
      </c>
      <c r="F64" s="1">
        <v>7.3999999999999996E-5</v>
      </c>
      <c r="G64" s="1"/>
      <c r="H64" s="1"/>
      <c r="I64">
        <v>0.114</v>
      </c>
      <c r="J64">
        <v>3.1199999999999999E-4</v>
      </c>
      <c r="K64" s="1">
        <v>5.7000000000000003E-5</v>
      </c>
      <c r="L64" s="1">
        <v>5.8999999999999998E-5</v>
      </c>
      <c r="M64" s="1">
        <v>5.3000000000000001E-5</v>
      </c>
      <c r="N64" s="1"/>
      <c r="P64">
        <v>6.5000000000000002E-2</v>
      </c>
      <c r="Q64" s="1">
        <v>6.2000000000000003E-5</v>
      </c>
      <c r="R64" s="1">
        <v>5.3000000000000001E-5</v>
      </c>
      <c r="S64" s="1">
        <v>5.7000000000000003E-5</v>
      </c>
      <c r="T64" s="1">
        <v>5.7000000000000003E-5</v>
      </c>
      <c r="U64" s="1"/>
      <c r="W64">
        <v>0.17499999999999999</v>
      </c>
      <c r="X64">
        <v>6.8000000000000005E-2</v>
      </c>
      <c r="Y64">
        <v>0.05</v>
      </c>
      <c r="Z64">
        <v>0.05</v>
      </c>
      <c r="AA64">
        <v>4.8000000000000001E-2</v>
      </c>
      <c r="AD64">
        <v>4.9000000000000002E-2</v>
      </c>
      <c r="AE64">
        <v>4.9000000000000002E-2</v>
      </c>
      <c r="AF64">
        <v>4.8000000000000001E-2</v>
      </c>
      <c r="AG64">
        <v>7.6999999999999999E-2</v>
      </c>
      <c r="AH64">
        <v>4.9000000000000002E-2</v>
      </c>
      <c r="AK64">
        <v>5.6000000000000001E-2</v>
      </c>
      <c r="AL64">
        <v>7.0000000000000007E-2</v>
      </c>
      <c r="AM64">
        <v>0.35</v>
      </c>
      <c r="AN64">
        <v>5.5E-2</v>
      </c>
      <c r="AO64">
        <v>6.8000000000000005E-2</v>
      </c>
    </row>
    <row r="65" spans="1:41" hidden="1">
      <c r="A65">
        <v>63</v>
      </c>
      <c r="B65">
        <v>1.651</v>
      </c>
      <c r="C65" s="1">
        <v>9.1000000000000003E-5</v>
      </c>
      <c r="D65" s="1">
        <v>8.0000000000000007E-5</v>
      </c>
      <c r="E65" s="1">
        <v>8.7999999999999998E-5</v>
      </c>
      <c r="F65" s="1">
        <v>7.8999999999999996E-5</v>
      </c>
      <c r="G65" s="1"/>
      <c r="I65">
        <v>5.5E-2</v>
      </c>
      <c r="J65" s="1">
        <v>6.0000000000000002E-5</v>
      </c>
      <c r="K65" s="1">
        <v>5.1999999999999997E-5</v>
      </c>
      <c r="L65">
        <v>2.9100000000000003E-4</v>
      </c>
      <c r="M65" s="1">
        <v>5.7000000000000003E-5</v>
      </c>
      <c r="N65" s="1"/>
      <c r="P65">
        <v>6.0999999999999999E-2</v>
      </c>
      <c r="Q65" s="1">
        <v>5.8999999999999998E-5</v>
      </c>
      <c r="R65">
        <v>4.75E-4</v>
      </c>
      <c r="S65" s="1">
        <v>5.7000000000000003E-5</v>
      </c>
      <c r="T65" s="1">
        <v>5.3000000000000001E-5</v>
      </c>
      <c r="U65" s="1"/>
      <c r="W65">
        <v>1.282</v>
      </c>
      <c r="X65">
        <v>5.0999999999999997E-2</v>
      </c>
      <c r="Y65">
        <v>0.05</v>
      </c>
      <c r="Z65">
        <v>0.05</v>
      </c>
      <c r="AA65">
        <v>4.8000000000000001E-2</v>
      </c>
      <c r="AD65">
        <v>0.14599999999999999</v>
      </c>
      <c r="AE65">
        <v>5.0999999999999997E-2</v>
      </c>
      <c r="AF65">
        <v>4.8000000000000001E-2</v>
      </c>
      <c r="AG65">
        <v>4.7E-2</v>
      </c>
      <c r="AH65">
        <v>4.9000000000000002E-2</v>
      </c>
      <c r="AK65">
        <v>7.0999999999999994E-2</v>
      </c>
      <c r="AL65">
        <v>6.9000000000000006E-2</v>
      </c>
      <c r="AM65">
        <v>5.7000000000000002E-2</v>
      </c>
      <c r="AN65">
        <v>5.0999999999999997E-2</v>
      </c>
      <c r="AO65">
        <v>5.8000000000000003E-2</v>
      </c>
    </row>
    <row r="66" spans="1:41" hidden="1">
      <c r="A66">
        <v>64</v>
      </c>
      <c r="B66">
        <v>0.08</v>
      </c>
      <c r="C66" s="1">
        <v>8.0000000000000007E-5</v>
      </c>
      <c r="D66" s="1">
        <v>8.3999999999999995E-5</v>
      </c>
      <c r="E66" s="1">
        <v>7.2000000000000002E-5</v>
      </c>
      <c r="F66" s="1">
        <v>1.8100000000000001E-4</v>
      </c>
      <c r="G66" s="1"/>
      <c r="H66" s="1"/>
      <c r="I66">
        <v>0.25</v>
      </c>
      <c r="J66" s="1">
        <v>5.8E-5</v>
      </c>
      <c r="K66" s="1">
        <v>5.3999999999999998E-5</v>
      </c>
      <c r="L66" s="1">
        <v>5.3000000000000001E-5</v>
      </c>
      <c r="M66" s="1">
        <v>5.3000000000000001E-5</v>
      </c>
      <c r="N66" s="1"/>
      <c r="P66">
        <v>5.5E-2</v>
      </c>
      <c r="Q66" s="1">
        <v>5.5000000000000002E-5</v>
      </c>
      <c r="R66">
        <v>5.2400000000000005E-4</v>
      </c>
      <c r="S66">
        <v>7.6880000000000004E-3</v>
      </c>
      <c r="T66" s="1">
        <v>5.8999999999999998E-5</v>
      </c>
      <c r="U66" s="1"/>
      <c r="W66">
        <v>9.8979999999999997</v>
      </c>
      <c r="X66">
        <v>0.34100000000000003</v>
      </c>
      <c r="Y66">
        <v>5.6000000000000001E-2</v>
      </c>
      <c r="Z66">
        <v>5.2999999999999999E-2</v>
      </c>
      <c r="AA66">
        <v>5.6000000000000001E-2</v>
      </c>
      <c r="AD66">
        <v>9.7460000000000004</v>
      </c>
      <c r="AE66">
        <v>0.39100000000000001</v>
      </c>
      <c r="AF66">
        <v>6.0999999999999999E-2</v>
      </c>
      <c r="AG66">
        <v>5.8000000000000003E-2</v>
      </c>
      <c r="AH66">
        <v>5.7000000000000002E-2</v>
      </c>
      <c r="AK66">
        <v>5.6000000000000001E-2</v>
      </c>
      <c r="AL66">
        <v>5.3999999999999999E-2</v>
      </c>
      <c r="AM66">
        <v>4.8000000000000001E-2</v>
      </c>
      <c r="AN66">
        <v>4.9000000000000002E-2</v>
      </c>
      <c r="AO66">
        <v>4.8000000000000001E-2</v>
      </c>
    </row>
    <row r="67" spans="1:41" hidden="1">
      <c r="A67">
        <v>65</v>
      </c>
      <c r="B67">
        <v>7.1999999999999995E-2</v>
      </c>
      <c r="C67" s="1">
        <v>7.7000000000000001E-5</v>
      </c>
      <c r="D67" s="1">
        <v>7.2999999999999999E-5</v>
      </c>
      <c r="E67" s="1">
        <v>6.7000000000000002E-5</v>
      </c>
      <c r="F67" s="1">
        <v>6.6000000000000005E-5</v>
      </c>
      <c r="G67" s="1"/>
      <c r="H67" s="1"/>
      <c r="I67">
        <v>5.5E-2</v>
      </c>
      <c r="J67" s="1">
        <v>5.5999999999999999E-5</v>
      </c>
      <c r="K67">
        <v>3.97E-4</v>
      </c>
      <c r="L67" s="1">
        <v>5.3999999999999998E-5</v>
      </c>
      <c r="M67" s="1">
        <v>5.3000000000000001E-5</v>
      </c>
      <c r="N67" s="1"/>
      <c r="P67">
        <v>5.7000000000000002E-2</v>
      </c>
      <c r="Q67" s="1">
        <v>5.7000000000000003E-5</v>
      </c>
      <c r="R67" s="1">
        <v>5.3999999999999998E-5</v>
      </c>
      <c r="S67" s="1">
        <v>5.5000000000000002E-5</v>
      </c>
      <c r="T67">
        <v>1.0809999999999999E-3</v>
      </c>
      <c r="W67">
        <v>5.5E-2</v>
      </c>
      <c r="X67">
        <v>4.8000000000000001E-2</v>
      </c>
      <c r="Y67">
        <v>6.8000000000000005E-2</v>
      </c>
      <c r="Z67">
        <v>0.191</v>
      </c>
      <c r="AA67">
        <v>0.05</v>
      </c>
      <c r="AD67">
        <v>5.7000000000000002E-2</v>
      </c>
      <c r="AE67">
        <v>5.2999999999999999E-2</v>
      </c>
      <c r="AF67">
        <v>5.5E-2</v>
      </c>
      <c r="AG67">
        <v>5.5E-2</v>
      </c>
      <c r="AH67">
        <v>5.3999999999999999E-2</v>
      </c>
      <c r="AK67">
        <v>5.0999999999999997E-2</v>
      </c>
      <c r="AL67">
        <v>1.6579999999999999</v>
      </c>
      <c r="AM67">
        <v>5.5E-2</v>
      </c>
      <c r="AN67">
        <v>5.2999999999999999E-2</v>
      </c>
      <c r="AO67">
        <v>0.06</v>
      </c>
    </row>
    <row r="68" spans="1:41" hidden="1">
      <c r="A68">
        <v>66</v>
      </c>
      <c r="B68">
        <v>7.8E-2</v>
      </c>
      <c r="C68" s="1">
        <v>7.4999999999999993E-5</v>
      </c>
      <c r="D68" s="1">
        <v>7.2000000000000002E-5</v>
      </c>
      <c r="E68" s="1">
        <v>1.7899999999999999E-4</v>
      </c>
      <c r="F68" s="1">
        <v>6.7999999999999999E-5</v>
      </c>
      <c r="G68" s="1"/>
      <c r="H68" s="1"/>
      <c r="I68">
        <v>5.5E-2</v>
      </c>
      <c r="J68" s="1">
        <v>5.5000000000000002E-5</v>
      </c>
      <c r="K68" s="1">
        <v>5.1999999999999997E-5</v>
      </c>
      <c r="L68" s="1">
        <v>5.3000000000000001E-5</v>
      </c>
      <c r="M68" s="1">
        <v>5.3000000000000001E-5</v>
      </c>
      <c r="N68" s="1"/>
      <c r="P68">
        <v>5.5E-2</v>
      </c>
      <c r="Q68">
        <v>5.22E-4</v>
      </c>
      <c r="R68" s="1">
        <v>5.7000000000000003E-5</v>
      </c>
      <c r="S68" s="1">
        <v>6.4999999999999994E-5</v>
      </c>
      <c r="T68" s="1">
        <v>5.3999999999999998E-5</v>
      </c>
      <c r="U68" s="1"/>
      <c r="W68">
        <v>5.1999999999999998E-2</v>
      </c>
      <c r="X68">
        <v>4.9000000000000002E-2</v>
      </c>
      <c r="Y68">
        <v>4.9000000000000002E-2</v>
      </c>
      <c r="Z68">
        <v>7.4999999999999997E-2</v>
      </c>
      <c r="AA68">
        <v>0.08</v>
      </c>
      <c r="AD68">
        <v>5.6000000000000001E-2</v>
      </c>
      <c r="AE68">
        <v>7.2999999999999995E-2</v>
      </c>
      <c r="AF68">
        <v>4.8000000000000001E-2</v>
      </c>
      <c r="AG68">
        <v>4.8000000000000001E-2</v>
      </c>
      <c r="AH68">
        <v>0.15</v>
      </c>
      <c r="AK68">
        <v>5.6000000000000001E-2</v>
      </c>
      <c r="AL68">
        <v>5.6000000000000001E-2</v>
      </c>
      <c r="AM68">
        <v>9.6000000000000002E-2</v>
      </c>
      <c r="AN68">
        <v>5.7000000000000002E-2</v>
      </c>
      <c r="AO68">
        <v>0.05</v>
      </c>
    </row>
    <row r="69" spans="1:41" hidden="1">
      <c r="A69">
        <v>67</v>
      </c>
      <c r="B69">
        <v>7.0999999999999994E-2</v>
      </c>
      <c r="C69" s="1">
        <v>7.1000000000000005E-5</v>
      </c>
      <c r="D69" s="1">
        <v>6.7000000000000002E-5</v>
      </c>
      <c r="E69" s="1">
        <v>1.372E-3</v>
      </c>
      <c r="F69" s="1">
        <v>6.7000000000000002E-5</v>
      </c>
      <c r="G69" s="1"/>
      <c r="H69" s="1"/>
      <c r="I69">
        <v>0.34499999999999997</v>
      </c>
      <c r="J69" s="1">
        <v>5.8E-5</v>
      </c>
      <c r="K69">
        <v>3.8000000000000002E-4</v>
      </c>
      <c r="L69" s="1">
        <v>5.5999999999999999E-5</v>
      </c>
      <c r="M69" s="1">
        <v>5.3000000000000001E-5</v>
      </c>
      <c r="N69" s="1"/>
      <c r="P69">
        <v>5.6000000000000001E-2</v>
      </c>
      <c r="Q69" s="1">
        <v>5.3999999999999998E-5</v>
      </c>
      <c r="R69" s="1">
        <v>5.3000000000000001E-5</v>
      </c>
      <c r="S69" s="1">
        <v>5.3000000000000001E-5</v>
      </c>
      <c r="T69" s="1">
        <v>5.3000000000000001E-5</v>
      </c>
      <c r="U69" s="1"/>
      <c r="W69">
        <v>5.1999999999999998E-2</v>
      </c>
      <c r="X69">
        <v>4.9000000000000002E-2</v>
      </c>
      <c r="Y69">
        <v>4.9000000000000002E-2</v>
      </c>
      <c r="Z69">
        <v>4.8000000000000001E-2</v>
      </c>
      <c r="AA69">
        <v>4.8000000000000001E-2</v>
      </c>
      <c r="AD69">
        <v>5.5E-2</v>
      </c>
      <c r="AE69">
        <v>0.05</v>
      </c>
      <c r="AF69">
        <v>0.05</v>
      </c>
      <c r="AG69">
        <v>4.9000000000000002E-2</v>
      </c>
      <c r="AH69">
        <v>0.05</v>
      </c>
      <c r="AK69">
        <v>5.1999999999999998E-2</v>
      </c>
      <c r="AL69">
        <v>0.05</v>
      </c>
      <c r="AM69">
        <v>0.05</v>
      </c>
      <c r="AN69">
        <v>0.11600000000000001</v>
      </c>
      <c r="AO69">
        <v>0.495</v>
      </c>
    </row>
    <row r="70" spans="1:41" hidden="1">
      <c r="A70">
        <v>68</v>
      </c>
      <c r="B70">
        <v>6.4000000000000001E-2</v>
      </c>
      <c r="C70">
        <v>1.13E-4</v>
      </c>
      <c r="D70" s="1">
        <v>1.05E-4</v>
      </c>
      <c r="E70" s="1">
        <v>6.3E-5</v>
      </c>
      <c r="F70" s="1">
        <v>6.2000000000000003E-5</v>
      </c>
      <c r="G70" s="1"/>
      <c r="H70" s="1"/>
      <c r="I70">
        <v>5.6000000000000001E-2</v>
      </c>
      <c r="J70" s="1">
        <v>5.5000000000000002E-5</v>
      </c>
      <c r="K70" s="1">
        <v>5.3000000000000001E-5</v>
      </c>
      <c r="L70">
        <v>1.281E-3</v>
      </c>
      <c r="M70">
        <v>1.05E-4</v>
      </c>
      <c r="P70">
        <v>0.60599999999999998</v>
      </c>
      <c r="Q70" s="1">
        <v>5.7000000000000003E-5</v>
      </c>
      <c r="R70" s="1">
        <v>5.8999999999999998E-5</v>
      </c>
      <c r="S70" s="1">
        <v>5.3000000000000001E-5</v>
      </c>
      <c r="T70" s="1">
        <v>5.1999999999999997E-5</v>
      </c>
      <c r="U70" s="1"/>
      <c r="W70">
        <v>0.05</v>
      </c>
      <c r="X70">
        <v>0.06</v>
      </c>
      <c r="Y70">
        <v>4.9000000000000002E-2</v>
      </c>
      <c r="Z70">
        <v>4.9000000000000002E-2</v>
      </c>
      <c r="AA70">
        <v>6.7000000000000004E-2</v>
      </c>
      <c r="AD70">
        <v>5.0999999999999997E-2</v>
      </c>
      <c r="AE70">
        <v>4.9000000000000002E-2</v>
      </c>
      <c r="AF70">
        <v>4.9000000000000002E-2</v>
      </c>
      <c r="AG70">
        <v>4.9000000000000002E-2</v>
      </c>
      <c r="AH70">
        <v>0.17799999999999999</v>
      </c>
      <c r="AK70">
        <v>0.154</v>
      </c>
      <c r="AL70">
        <v>7.0999999999999994E-2</v>
      </c>
      <c r="AM70">
        <v>5.1999999999999998E-2</v>
      </c>
      <c r="AN70">
        <v>5.0999999999999997E-2</v>
      </c>
      <c r="AO70">
        <v>5.1999999999999998E-2</v>
      </c>
    </row>
    <row r="71" spans="1:41" hidden="1">
      <c r="A71">
        <v>69</v>
      </c>
      <c r="B71">
        <v>6.4000000000000001E-2</v>
      </c>
      <c r="C71" s="1">
        <v>6.3999999999999997E-5</v>
      </c>
      <c r="D71" s="1">
        <v>6.0999999999999999E-5</v>
      </c>
      <c r="E71" s="1">
        <v>6.0000000000000002E-5</v>
      </c>
      <c r="F71" s="1">
        <v>6.0000000000000002E-5</v>
      </c>
      <c r="G71" s="1"/>
      <c r="H71" s="1"/>
      <c r="I71">
        <v>6.0999999999999999E-2</v>
      </c>
      <c r="J71">
        <v>1.74E-4</v>
      </c>
      <c r="K71" s="1">
        <v>5.7000000000000003E-5</v>
      </c>
      <c r="L71" s="1">
        <v>7.3999999999999996E-5</v>
      </c>
      <c r="M71" s="1">
        <v>5.8999999999999998E-5</v>
      </c>
      <c r="N71" s="1"/>
      <c r="P71">
        <v>0.06</v>
      </c>
      <c r="Q71" s="1">
        <v>5.8E-5</v>
      </c>
      <c r="R71" s="1">
        <v>5.7000000000000003E-5</v>
      </c>
      <c r="S71">
        <v>5.8200000000000005E-4</v>
      </c>
      <c r="T71" s="1">
        <v>5.5999999999999999E-5</v>
      </c>
      <c r="U71" s="1"/>
      <c r="W71">
        <v>0.14000000000000001</v>
      </c>
      <c r="X71">
        <v>5.5E-2</v>
      </c>
      <c r="Y71">
        <v>5.2999999999999999E-2</v>
      </c>
      <c r="Z71">
        <v>5.2999999999999999E-2</v>
      </c>
      <c r="AA71">
        <v>5.5E-2</v>
      </c>
      <c r="AD71">
        <v>5.1999999999999998E-2</v>
      </c>
      <c r="AE71">
        <v>0.13200000000000001</v>
      </c>
      <c r="AF71">
        <v>4.9000000000000002E-2</v>
      </c>
      <c r="AG71">
        <v>4.7E-2</v>
      </c>
      <c r="AH71">
        <v>4.8000000000000001E-2</v>
      </c>
      <c r="AK71">
        <v>13.013999999999999</v>
      </c>
      <c r="AL71">
        <v>0.20899999999999999</v>
      </c>
      <c r="AM71">
        <v>6.3E-2</v>
      </c>
      <c r="AN71">
        <v>0.05</v>
      </c>
      <c r="AO71">
        <v>5.0999999999999997E-2</v>
      </c>
    </row>
    <row r="72" spans="1:41" hidden="1">
      <c r="A72">
        <v>70</v>
      </c>
      <c r="B72">
        <v>0.159</v>
      </c>
      <c r="C72" s="1">
        <v>6.3E-5</v>
      </c>
      <c r="D72">
        <v>1.291E-2</v>
      </c>
      <c r="E72" s="1">
        <v>7.8600000000000002E-4</v>
      </c>
      <c r="F72" s="1">
        <v>6.3999999999999997E-5</v>
      </c>
      <c r="G72" s="1"/>
      <c r="I72">
        <v>5.5E-2</v>
      </c>
      <c r="J72" s="1">
        <v>5.5000000000000002E-5</v>
      </c>
      <c r="K72">
        <v>1.35E-4</v>
      </c>
      <c r="L72">
        <v>8.1110000000000002E-3</v>
      </c>
      <c r="M72" s="1">
        <v>5.3999999999999998E-5</v>
      </c>
      <c r="N72" s="1"/>
      <c r="P72">
        <v>5.6000000000000001E-2</v>
      </c>
      <c r="Q72" s="1">
        <v>5.5000000000000002E-5</v>
      </c>
      <c r="R72" s="1">
        <v>5.3000000000000001E-5</v>
      </c>
      <c r="S72" s="1">
        <v>5.1999999999999997E-5</v>
      </c>
      <c r="T72" s="1">
        <v>5.1999999999999997E-5</v>
      </c>
      <c r="U72" s="1"/>
      <c r="W72">
        <v>5.6000000000000001E-2</v>
      </c>
      <c r="X72">
        <v>5.2999999999999999E-2</v>
      </c>
      <c r="Y72">
        <v>4.9000000000000002E-2</v>
      </c>
      <c r="Z72">
        <v>4.8000000000000001E-2</v>
      </c>
      <c r="AA72">
        <v>0.13700000000000001</v>
      </c>
      <c r="AD72">
        <v>0.05</v>
      </c>
      <c r="AE72">
        <v>0.05</v>
      </c>
      <c r="AF72">
        <v>0.05</v>
      </c>
      <c r="AG72">
        <v>4.8000000000000001E-2</v>
      </c>
      <c r="AH72">
        <v>0.124</v>
      </c>
      <c r="AK72">
        <v>0.05</v>
      </c>
      <c r="AL72">
        <v>4.9000000000000002E-2</v>
      </c>
      <c r="AM72">
        <v>4.8000000000000001E-2</v>
      </c>
      <c r="AN72">
        <v>0.186</v>
      </c>
      <c r="AO72">
        <v>0.121</v>
      </c>
    </row>
    <row r="73" spans="1:41" hidden="1">
      <c r="A73">
        <v>71</v>
      </c>
      <c r="B73">
        <v>6.9000000000000006E-2</v>
      </c>
      <c r="C73" s="1">
        <v>6.3999999999999997E-5</v>
      </c>
      <c r="D73" s="1">
        <v>5.3000000000000001E-5</v>
      </c>
      <c r="E73">
        <v>1.9799999999999999E-4</v>
      </c>
      <c r="F73" s="1">
        <v>5.5999999999999999E-5</v>
      </c>
      <c r="G73" s="1"/>
      <c r="H73" s="1"/>
      <c r="I73">
        <v>0.10299999999999999</v>
      </c>
      <c r="J73" s="1">
        <v>5.7000000000000003E-5</v>
      </c>
      <c r="K73">
        <v>5.2500000000000003E-3</v>
      </c>
      <c r="L73" s="1">
        <v>5.5000000000000002E-5</v>
      </c>
      <c r="M73" s="1">
        <v>5.3999999999999998E-5</v>
      </c>
      <c r="N73" s="1"/>
      <c r="P73">
        <v>11.538</v>
      </c>
      <c r="Q73" s="1">
        <v>6.2000000000000003E-5</v>
      </c>
      <c r="R73" s="1">
        <v>5.3999999999999998E-5</v>
      </c>
      <c r="S73" s="1">
        <v>5.8999999999999998E-5</v>
      </c>
      <c r="T73" s="1">
        <v>5.3000000000000001E-5</v>
      </c>
      <c r="U73" s="1"/>
      <c r="W73">
        <v>5.0999999999999997E-2</v>
      </c>
      <c r="X73">
        <v>6.8000000000000005E-2</v>
      </c>
      <c r="Y73">
        <v>5.2999999999999999E-2</v>
      </c>
      <c r="Z73">
        <v>0.05</v>
      </c>
      <c r="AA73">
        <v>4.9000000000000002E-2</v>
      </c>
      <c r="AD73">
        <v>1.206</v>
      </c>
      <c r="AE73">
        <v>0.05</v>
      </c>
      <c r="AF73">
        <v>4.9000000000000002E-2</v>
      </c>
      <c r="AG73">
        <v>4.7E-2</v>
      </c>
      <c r="AH73">
        <v>0.05</v>
      </c>
      <c r="AK73">
        <v>5.2999999999999999E-2</v>
      </c>
      <c r="AL73">
        <v>5.3999999999999999E-2</v>
      </c>
      <c r="AM73">
        <v>7.1999999999999995E-2</v>
      </c>
      <c r="AN73">
        <v>0.186</v>
      </c>
      <c r="AO73">
        <v>5.0999999999999997E-2</v>
      </c>
    </row>
    <row r="74" spans="1:41" hidden="1">
      <c r="A74">
        <v>72</v>
      </c>
      <c r="B74">
        <v>6.0999999999999999E-2</v>
      </c>
      <c r="C74">
        <v>1.06E-4</v>
      </c>
      <c r="D74" s="1">
        <v>7.3999999999999996E-5</v>
      </c>
      <c r="E74" s="1">
        <v>7.2000000000000002E-5</v>
      </c>
      <c r="F74" s="1">
        <v>7.2000000000000002E-5</v>
      </c>
      <c r="G74" s="1"/>
      <c r="H74" s="1"/>
      <c r="I74">
        <v>5.6000000000000001E-2</v>
      </c>
      <c r="J74">
        <v>2.0100000000000001E-4</v>
      </c>
      <c r="K74" s="1">
        <v>5.5999999999999999E-5</v>
      </c>
      <c r="L74" s="1">
        <v>5.3000000000000001E-5</v>
      </c>
      <c r="M74" s="1">
        <v>5.3000000000000001E-5</v>
      </c>
      <c r="N74" s="1"/>
      <c r="P74">
        <v>5.5E-2</v>
      </c>
      <c r="Q74" s="1">
        <v>5.5000000000000002E-5</v>
      </c>
      <c r="R74" s="1">
        <v>5.5999999999999999E-5</v>
      </c>
      <c r="S74" s="1">
        <v>6.3E-5</v>
      </c>
      <c r="T74" s="1">
        <v>5.8E-5</v>
      </c>
      <c r="U74" s="1"/>
      <c r="W74">
        <v>6.7000000000000004E-2</v>
      </c>
      <c r="X74">
        <v>5.2999999999999999E-2</v>
      </c>
      <c r="Y74">
        <v>6.3E-2</v>
      </c>
      <c r="Z74">
        <v>4.9000000000000002E-2</v>
      </c>
      <c r="AA74">
        <v>5.5E-2</v>
      </c>
      <c r="AD74">
        <v>5.0999999999999997E-2</v>
      </c>
      <c r="AE74">
        <v>0.05</v>
      </c>
      <c r="AF74">
        <v>4.8000000000000001E-2</v>
      </c>
      <c r="AG74">
        <v>0.13300000000000001</v>
      </c>
      <c r="AH74">
        <v>0.121</v>
      </c>
      <c r="AK74">
        <v>5.0999999999999997E-2</v>
      </c>
      <c r="AL74">
        <v>4.9000000000000002E-2</v>
      </c>
      <c r="AM74">
        <v>0.11</v>
      </c>
      <c r="AN74">
        <v>4.9000000000000002E-2</v>
      </c>
      <c r="AO74">
        <v>4.9000000000000002E-2</v>
      </c>
    </row>
    <row r="75" spans="1:41" hidden="1">
      <c r="A75">
        <v>73</v>
      </c>
      <c r="B75">
        <v>5.8000000000000003E-2</v>
      </c>
      <c r="C75" s="1">
        <v>5.5999999999999999E-5</v>
      </c>
      <c r="D75" s="1">
        <v>5.3999999999999998E-5</v>
      </c>
      <c r="E75" s="1">
        <v>5.3000000000000001E-5</v>
      </c>
      <c r="F75" s="1">
        <v>5.1999999999999997E-5</v>
      </c>
      <c r="G75" s="1"/>
      <c r="H75" s="1"/>
      <c r="I75">
        <v>6.2E-2</v>
      </c>
      <c r="J75" s="1">
        <v>5.5999999999999999E-5</v>
      </c>
      <c r="K75" s="1">
        <v>5.3999999999999998E-5</v>
      </c>
      <c r="L75" s="1">
        <v>5.7000000000000003E-5</v>
      </c>
      <c r="M75" s="1">
        <v>6.0000000000000002E-5</v>
      </c>
      <c r="N75" s="1"/>
      <c r="P75">
        <v>6.0999999999999999E-2</v>
      </c>
      <c r="Q75">
        <v>6.5099999999999999E-4</v>
      </c>
      <c r="R75" s="1">
        <v>5.7000000000000003E-5</v>
      </c>
      <c r="S75" s="1">
        <v>5.3999999999999998E-5</v>
      </c>
      <c r="T75" s="1">
        <v>5.3000000000000001E-5</v>
      </c>
      <c r="U75" s="1"/>
      <c r="W75">
        <v>5.1999999999999998E-2</v>
      </c>
      <c r="X75">
        <v>4.9000000000000002E-2</v>
      </c>
      <c r="Y75">
        <v>4.9000000000000002E-2</v>
      </c>
      <c r="Z75">
        <v>4.8000000000000001E-2</v>
      </c>
      <c r="AA75">
        <v>4.8000000000000001E-2</v>
      </c>
      <c r="AD75">
        <v>5.2999999999999999E-2</v>
      </c>
      <c r="AE75">
        <v>4.9000000000000002E-2</v>
      </c>
      <c r="AF75">
        <v>4.8000000000000001E-2</v>
      </c>
      <c r="AG75">
        <v>4.7E-2</v>
      </c>
      <c r="AH75">
        <v>4.9000000000000002E-2</v>
      </c>
      <c r="AK75">
        <v>5.0999999999999997E-2</v>
      </c>
      <c r="AL75">
        <v>4.9000000000000002E-2</v>
      </c>
      <c r="AM75">
        <v>4.9000000000000002E-2</v>
      </c>
      <c r="AN75">
        <v>4.8000000000000001E-2</v>
      </c>
      <c r="AO75">
        <v>4.8000000000000001E-2</v>
      </c>
    </row>
    <row r="76" spans="1:41" hidden="1">
      <c r="A76">
        <v>74</v>
      </c>
      <c r="B76">
        <v>0.16500000000000001</v>
      </c>
      <c r="C76" s="1">
        <v>5.8E-5</v>
      </c>
      <c r="D76" s="1">
        <v>5.5000000000000002E-5</v>
      </c>
      <c r="E76" s="1">
        <v>5.3999999999999998E-5</v>
      </c>
      <c r="F76" s="1">
        <v>5.3000000000000001E-5</v>
      </c>
      <c r="G76" s="1"/>
      <c r="H76" s="1"/>
      <c r="I76">
        <v>0.61499999999999999</v>
      </c>
      <c r="J76" s="1">
        <v>5.7000000000000003E-5</v>
      </c>
      <c r="K76" s="1">
        <v>6.2000000000000003E-5</v>
      </c>
      <c r="L76" s="1">
        <v>6.0000000000000002E-5</v>
      </c>
      <c r="M76" s="1">
        <v>5.7000000000000003E-5</v>
      </c>
      <c r="N76" s="1"/>
      <c r="P76">
        <v>5.6000000000000001E-2</v>
      </c>
      <c r="Q76" s="1">
        <v>5.5999999999999999E-5</v>
      </c>
      <c r="R76">
        <v>1.6899999999999999E-4</v>
      </c>
      <c r="S76" s="1">
        <v>5.5999999999999999E-5</v>
      </c>
      <c r="T76" s="1">
        <v>6.0999999999999999E-5</v>
      </c>
      <c r="U76" s="1"/>
      <c r="W76">
        <v>0.05</v>
      </c>
      <c r="X76">
        <v>5.3999999999999999E-2</v>
      </c>
      <c r="Y76">
        <v>6.6000000000000003E-2</v>
      </c>
      <c r="Z76">
        <v>7.0999999999999994E-2</v>
      </c>
      <c r="AA76">
        <v>6.8000000000000005E-2</v>
      </c>
      <c r="AD76">
        <v>0.05</v>
      </c>
      <c r="AE76">
        <v>4.8000000000000001E-2</v>
      </c>
      <c r="AF76">
        <v>0.25700000000000001</v>
      </c>
      <c r="AG76">
        <v>4.9000000000000002E-2</v>
      </c>
      <c r="AH76">
        <v>4.8000000000000001E-2</v>
      </c>
      <c r="AK76">
        <v>5.1999999999999998E-2</v>
      </c>
      <c r="AL76">
        <v>4.8000000000000001E-2</v>
      </c>
      <c r="AM76">
        <v>4.8000000000000001E-2</v>
      </c>
      <c r="AN76">
        <v>4.9000000000000002E-2</v>
      </c>
      <c r="AO76">
        <v>7.0000000000000007E-2</v>
      </c>
    </row>
    <row r="77" spans="1:41" hidden="1">
      <c r="A77">
        <v>75</v>
      </c>
      <c r="B77">
        <v>5.5E-2</v>
      </c>
      <c r="C77" s="1">
        <v>5.5000000000000002E-5</v>
      </c>
      <c r="D77" s="1">
        <v>5.1999999999999997E-5</v>
      </c>
      <c r="E77" s="1">
        <v>5.3000000000000001E-5</v>
      </c>
      <c r="F77" s="1">
        <v>7.6000000000000004E-5</v>
      </c>
      <c r="G77" s="1"/>
      <c r="H77" s="1"/>
      <c r="I77">
        <v>5.8999999999999997E-2</v>
      </c>
      <c r="J77" s="1">
        <v>6.0999999999999999E-5</v>
      </c>
      <c r="K77" s="1">
        <v>5.7000000000000003E-5</v>
      </c>
      <c r="L77">
        <v>5.6800000000000004E-4</v>
      </c>
      <c r="M77" s="1">
        <v>5.5999999999999999E-5</v>
      </c>
      <c r="N77" s="1"/>
      <c r="P77">
        <v>6.2E-2</v>
      </c>
      <c r="Q77" s="1">
        <v>5.5999999999999999E-5</v>
      </c>
      <c r="R77" s="1">
        <v>5.8999999999999998E-5</v>
      </c>
      <c r="S77" s="1">
        <v>6.0000000000000002E-5</v>
      </c>
      <c r="T77" s="1">
        <v>5.7000000000000003E-5</v>
      </c>
      <c r="U77" s="1"/>
      <c r="W77">
        <v>5.6000000000000001E-2</v>
      </c>
      <c r="X77">
        <v>4.9000000000000002E-2</v>
      </c>
      <c r="Y77">
        <v>7.8E-2</v>
      </c>
      <c r="Z77">
        <v>1.998</v>
      </c>
      <c r="AA77">
        <v>0.05</v>
      </c>
      <c r="AD77">
        <v>5.0999999999999997E-2</v>
      </c>
      <c r="AE77">
        <v>4.8000000000000001E-2</v>
      </c>
      <c r="AF77">
        <v>2.2749999999999999</v>
      </c>
      <c r="AG77">
        <v>5.3999999999999999E-2</v>
      </c>
      <c r="AH77">
        <v>5.6000000000000001E-2</v>
      </c>
      <c r="AK77">
        <v>0.05</v>
      </c>
      <c r="AL77">
        <v>4.9000000000000002E-2</v>
      </c>
      <c r="AM77">
        <v>4.8000000000000001E-2</v>
      </c>
      <c r="AN77">
        <v>4.7E-2</v>
      </c>
      <c r="AO77">
        <v>7.0000000000000007E-2</v>
      </c>
    </row>
    <row r="78" spans="1:41" hidden="1">
      <c r="A78">
        <v>76</v>
      </c>
      <c r="B78">
        <v>7.6999999999999999E-2</v>
      </c>
      <c r="C78" s="1">
        <v>5.5000000000000002E-5</v>
      </c>
      <c r="D78" s="1">
        <v>5.3000000000000001E-5</v>
      </c>
      <c r="E78" s="1">
        <v>5.1999999999999997E-5</v>
      </c>
      <c r="F78" s="1">
        <v>7.9480000000000002E-3</v>
      </c>
      <c r="G78" s="1"/>
      <c r="H78" s="1"/>
      <c r="I78">
        <v>5.7000000000000002E-2</v>
      </c>
      <c r="J78" s="1">
        <v>5.5000000000000002E-5</v>
      </c>
      <c r="K78" s="1">
        <v>5.3999999999999998E-5</v>
      </c>
      <c r="L78" s="1">
        <v>5.3000000000000001E-5</v>
      </c>
      <c r="M78" s="1">
        <v>5.3000000000000001E-5</v>
      </c>
      <c r="N78" s="1"/>
      <c r="P78">
        <v>6.0999999999999999E-2</v>
      </c>
      <c r="Q78">
        <v>4.5300000000000001E-4</v>
      </c>
      <c r="R78" s="1">
        <v>5.5999999999999999E-5</v>
      </c>
      <c r="S78" s="1">
        <v>5.5000000000000002E-5</v>
      </c>
      <c r="T78" s="1">
        <v>8.7999999999999998E-5</v>
      </c>
      <c r="U78" s="1"/>
      <c r="W78">
        <v>9.8000000000000004E-2</v>
      </c>
      <c r="X78">
        <v>0.05</v>
      </c>
      <c r="Y78">
        <v>4.9000000000000002E-2</v>
      </c>
      <c r="Z78">
        <v>4.9000000000000002E-2</v>
      </c>
      <c r="AA78">
        <v>6.8029999999999999</v>
      </c>
      <c r="AD78">
        <v>0.06</v>
      </c>
      <c r="AE78">
        <v>4.8000000000000001E-2</v>
      </c>
      <c r="AF78">
        <v>7.5999999999999998E-2</v>
      </c>
      <c r="AG78">
        <v>7.1999999999999995E-2</v>
      </c>
      <c r="AH78">
        <v>13.438000000000001</v>
      </c>
      <c r="AK78">
        <v>5.1999999999999998E-2</v>
      </c>
      <c r="AL78">
        <v>4.8000000000000001E-2</v>
      </c>
      <c r="AM78">
        <v>4.9000000000000002E-2</v>
      </c>
      <c r="AN78">
        <v>4.8000000000000001E-2</v>
      </c>
      <c r="AO78">
        <v>4.8000000000000001E-2</v>
      </c>
    </row>
    <row r="79" spans="1:41" hidden="1">
      <c r="A79">
        <v>77</v>
      </c>
      <c r="B79">
        <v>8.2000000000000003E-2</v>
      </c>
      <c r="C79" s="1">
        <v>8.0000000000000007E-5</v>
      </c>
      <c r="D79" s="1">
        <v>5.8E-5</v>
      </c>
      <c r="E79" s="1">
        <v>7.3999999999999996E-5</v>
      </c>
      <c r="F79" s="1">
        <v>9.2E-5</v>
      </c>
      <c r="G79" s="1"/>
      <c r="H79" s="1"/>
      <c r="I79">
        <v>5.5E-2</v>
      </c>
      <c r="J79" s="1">
        <v>5.5000000000000002E-5</v>
      </c>
      <c r="K79">
        <v>5.13E-4</v>
      </c>
      <c r="L79" s="1">
        <v>5.5000000000000002E-5</v>
      </c>
      <c r="M79" s="1">
        <v>5.8E-5</v>
      </c>
      <c r="N79" s="1"/>
      <c r="P79">
        <v>9.1999999999999998E-2</v>
      </c>
      <c r="Q79" s="1">
        <v>6.0000000000000002E-5</v>
      </c>
      <c r="R79" s="1">
        <v>5.3999999999999998E-5</v>
      </c>
      <c r="S79" s="1">
        <v>5.3000000000000001E-5</v>
      </c>
      <c r="T79" s="1">
        <v>5.5999999999999999E-5</v>
      </c>
      <c r="U79" s="1"/>
      <c r="W79">
        <v>0.50600000000000001</v>
      </c>
      <c r="X79">
        <v>5.5E-2</v>
      </c>
      <c r="Y79">
        <v>5.3999999999999999E-2</v>
      </c>
      <c r="Z79">
        <v>5.2999999999999999E-2</v>
      </c>
      <c r="AA79">
        <v>5.0999999999999997E-2</v>
      </c>
      <c r="AD79">
        <v>0.59699999999999998</v>
      </c>
      <c r="AE79">
        <v>5.7000000000000002E-2</v>
      </c>
      <c r="AF79">
        <v>5.5E-2</v>
      </c>
      <c r="AG79">
        <v>5.6000000000000001E-2</v>
      </c>
      <c r="AH79">
        <v>5.2999999999999999E-2</v>
      </c>
      <c r="AK79">
        <v>0.05</v>
      </c>
      <c r="AL79">
        <v>4.9000000000000002E-2</v>
      </c>
      <c r="AM79">
        <v>4.9000000000000002E-2</v>
      </c>
      <c r="AN79">
        <v>4.8000000000000001E-2</v>
      </c>
      <c r="AO79">
        <v>9.0999999999999998E-2</v>
      </c>
    </row>
    <row r="80" spans="1:41" hidden="1">
      <c r="A80">
        <v>78</v>
      </c>
      <c r="B80">
        <v>5.8000000000000003E-2</v>
      </c>
      <c r="C80" s="1">
        <v>5.5000000000000002E-5</v>
      </c>
      <c r="D80" s="1">
        <v>1.36E-4</v>
      </c>
      <c r="E80" s="1">
        <v>5.3999999999999998E-5</v>
      </c>
      <c r="F80" s="1">
        <v>7.2000000000000002E-5</v>
      </c>
      <c r="G80" s="1"/>
      <c r="H80" s="1"/>
      <c r="I80">
        <v>6.0999999999999999E-2</v>
      </c>
      <c r="J80" s="1">
        <v>5.5000000000000002E-5</v>
      </c>
      <c r="K80" s="1">
        <v>5.1999999999999997E-5</v>
      </c>
      <c r="L80" s="1">
        <v>5.1999999999999997E-5</v>
      </c>
      <c r="M80">
        <v>7.3099999999999999E-4</v>
      </c>
      <c r="P80">
        <v>5.6000000000000001E-2</v>
      </c>
      <c r="Q80" s="1">
        <v>5.5000000000000002E-5</v>
      </c>
      <c r="R80" s="1">
        <v>5.3999999999999998E-5</v>
      </c>
      <c r="S80" s="1">
        <v>6.7999999999999999E-5</v>
      </c>
      <c r="T80" s="1">
        <v>6.3E-5</v>
      </c>
      <c r="U80" s="1"/>
      <c r="W80">
        <v>4.9000000000000002E-2</v>
      </c>
      <c r="X80">
        <v>0.188</v>
      </c>
      <c r="Y80">
        <v>7.4999999999999997E-2</v>
      </c>
      <c r="Z80">
        <v>4.9000000000000002E-2</v>
      </c>
      <c r="AA80">
        <v>4.4009999999999998</v>
      </c>
      <c r="AD80">
        <v>5.2999999999999999E-2</v>
      </c>
      <c r="AE80">
        <v>4.8000000000000001E-2</v>
      </c>
      <c r="AF80">
        <v>5.0999999999999997E-2</v>
      </c>
      <c r="AG80">
        <v>0.39200000000000002</v>
      </c>
      <c r="AH80">
        <v>0.05</v>
      </c>
      <c r="AK80">
        <v>0.113</v>
      </c>
      <c r="AL80">
        <v>5.2999999999999999E-2</v>
      </c>
      <c r="AM80">
        <v>0.106</v>
      </c>
      <c r="AN80">
        <v>4.9000000000000002E-2</v>
      </c>
      <c r="AO80">
        <v>4.8000000000000001E-2</v>
      </c>
    </row>
    <row r="81" spans="1:41" hidden="1">
      <c r="A81">
        <v>79</v>
      </c>
      <c r="B81">
        <v>7.4999999999999997E-2</v>
      </c>
      <c r="C81" s="1">
        <v>7.2999999999999999E-5</v>
      </c>
      <c r="D81" s="1">
        <v>6.8999999999999997E-5</v>
      </c>
      <c r="E81" s="1">
        <v>7.1000000000000005E-5</v>
      </c>
      <c r="F81" s="1">
        <v>5.1E-5</v>
      </c>
      <c r="G81" s="1"/>
      <c r="H81" s="1"/>
      <c r="I81">
        <v>0.64700000000000002</v>
      </c>
      <c r="J81" s="1">
        <v>5.8999999999999998E-5</v>
      </c>
      <c r="K81" s="1">
        <v>5.5000000000000002E-5</v>
      </c>
      <c r="L81" s="1">
        <v>5.3000000000000001E-5</v>
      </c>
      <c r="M81" s="1">
        <v>5.1999999999999997E-5</v>
      </c>
      <c r="N81" s="1"/>
      <c r="P81">
        <v>6.0999999999999999E-2</v>
      </c>
      <c r="Q81" s="1">
        <v>5.8999999999999998E-5</v>
      </c>
      <c r="R81" s="1">
        <v>5.8E-5</v>
      </c>
      <c r="S81" s="1">
        <v>5.3999999999999998E-5</v>
      </c>
      <c r="T81" s="1">
        <v>7.4999999999999993E-5</v>
      </c>
      <c r="U81" s="1"/>
      <c r="W81">
        <v>5.1999999999999998E-2</v>
      </c>
      <c r="X81">
        <v>0.05</v>
      </c>
      <c r="Y81">
        <v>5.1999999999999998E-2</v>
      </c>
      <c r="Z81">
        <v>5.0999999999999997E-2</v>
      </c>
      <c r="AA81">
        <v>5.0999999999999997E-2</v>
      </c>
      <c r="AD81">
        <v>5.8999999999999997E-2</v>
      </c>
      <c r="AE81">
        <v>4.9000000000000002E-2</v>
      </c>
      <c r="AF81">
        <v>4.8000000000000001E-2</v>
      </c>
      <c r="AG81">
        <v>4.7E-2</v>
      </c>
      <c r="AH81">
        <v>4.8000000000000001E-2</v>
      </c>
      <c r="AK81">
        <v>5.0999999999999997E-2</v>
      </c>
      <c r="AL81">
        <v>0.13200000000000001</v>
      </c>
      <c r="AM81">
        <v>5.8000000000000003E-2</v>
      </c>
      <c r="AN81">
        <v>4.7E-2</v>
      </c>
      <c r="AO81">
        <v>4.9000000000000002E-2</v>
      </c>
    </row>
    <row r="82" spans="1:41" hidden="1">
      <c r="A82">
        <v>80</v>
      </c>
      <c r="B82">
        <v>7.1999999999999995E-2</v>
      </c>
      <c r="C82">
        <v>2.0699999999999999E-4</v>
      </c>
      <c r="D82" s="1">
        <v>5.3000000000000001E-5</v>
      </c>
      <c r="E82" s="1">
        <v>5.1E-5</v>
      </c>
      <c r="F82" s="1">
        <v>6.9999999999999994E-5</v>
      </c>
      <c r="G82" s="1"/>
      <c r="I82">
        <v>5.6000000000000001E-2</v>
      </c>
      <c r="J82" s="1">
        <v>5.5000000000000002E-5</v>
      </c>
      <c r="K82" s="1">
        <v>5.3000000000000001E-5</v>
      </c>
      <c r="L82" s="1">
        <v>5.3000000000000001E-5</v>
      </c>
      <c r="M82" s="1">
        <v>6.6000000000000005E-5</v>
      </c>
      <c r="N82" s="1"/>
      <c r="P82">
        <v>7.8E-2</v>
      </c>
      <c r="Q82" s="1">
        <v>6.0999999999999999E-5</v>
      </c>
      <c r="R82" s="1">
        <v>6.0000000000000002E-5</v>
      </c>
      <c r="S82" s="1">
        <v>5.3000000000000001E-5</v>
      </c>
      <c r="T82" s="1">
        <v>5.3999999999999998E-5</v>
      </c>
      <c r="U82" s="1"/>
      <c r="W82">
        <v>5.5E-2</v>
      </c>
      <c r="X82">
        <v>0.13500000000000001</v>
      </c>
      <c r="Y82">
        <v>5.1999999999999998E-2</v>
      </c>
      <c r="Z82">
        <v>0.125</v>
      </c>
      <c r="AA82">
        <v>5.2999999999999999E-2</v>
      </c>
      <c r="AD82">
        <v>5.0999999999999997E-2</v>
      </c>
      <c r="AE82">
        <v>0.13900000000000001</v>
      </c>
      <c r="AF82">
        <v>5.3999999999999999E-2</v>
      </c>
      <c r="AG82">
        <v>6.7000000000000004E-2</v>
      </c>
      <c r="AH82">
        <v>5.3999999999999999E-2</v>
      </c>
      <c r="AK82">
        <v>0.05</v>
      </c>
      <c r="AL82">
        <v>4.8000000000000001E-2</v>
      </c>
      <c r="AM82">
        <v>7.4999999999999997E-2</v>
      </c>
      <c r="AN82">
        <v>4.8000000000000001E-2</v>
      </c>
      <c r="AO82">
        <v>4.9000000000000002E-2</v>
      </c>
    </row>
    <row r="83" spans="1:41" hidden="1">
      <c r="A83">
        <v>81</v>
      </c>
      <c r="B83">
        <v>7.3999999999999996E-2</v>
      </c>
      <c r="C83" s="1">
        <v>9.2999999999999997E-5</v>
      </c>
      <c r="D83" s="1">
        <v>7.1000000000000005E-5</v>
      </c>
      <c r="E83" s="1">
        <v>6.8999999999999997E-5</v>
      </c>
      <c r="F83" s="1">
        <v>1.9900000000000001E-4</v>
      </c>
      <c r="G83" s="1"/>
      <c r="H83" s="1"/>
      <c r="I83">
        <v>5.8000000000000003E-2</v>
      </c>
      <c r="J83" s="1">
        <v>5.5999999999999999E-5</v>
      </c>
      <c r="K83" s="1">
        <v>5.3999999999999998E-5</v>
      </c>
      <c r="L83">
        <v>8.1930000000000006E-3</v>
      </c>
      <c r="M83">
        <v>9.6100000000000005E-4</v>
      </c>
      <c r="P83">
        <v>5.7000000000000002E-2</v>
      </c>
      <c r="Q83" s="1">
        <v>6.0999999999999999E-5</v>
      </c>
      <c r="R83" s="1">
        <v>5.8999999999999998E-5</v>
      </c>
      <c r="S83" s="1">
        <v>5.1999999999999997E-5</v>
      </c>
      <c r="T83" s="1">
        <v>5.8E-5</v>
      </c>
      <c r="U83" s="1"/>
      <c r="W83">
        <v>5.0999999999999997E-2</v>
      </c>
      <c r="X83">
        <v>4.8000000000000001E-2</v>
      </c>
      <c r="Y83">
        <v>4.8000000000000001E-2</v>
      </c>
      <c r="Z83">
        <v>4.8000000000000001E-2</v>
      </c>
      <c r="AA83">
        <v>5.3999999999999999E-2</v>
      </c>
      <c r="AD83">
        <v>5.2999999999999999E-2</v>
      </c>
      <c r="AE83">
        <v>4.9000000000000002E-2</v>
      </c>
      <c r="AF83">
        <v>4.9000000000000002E-2</v>
      </c>
      <c r="AG83">
        <v>4.7E-2</v>
      </c>
      <c r="AH83">
        <v>0.05</v>
      </c>
      <c r="AK83">
        <v>5.2999999999999999E-2</v>
      </c>
      <c r="AL83">
        <v>0.05</v>
      </c>
      <c r="AM83">
        <v>4.7E-2</v>
      </c>
      <c r="AN83">
        <v>4.7E-2</v>
      </c>
      <c r="AO83">
        <v>10.227</v>
      </c>
    </row>
    <row r="84" spans="1:41" hidden="1">
      <c r="A84">
        <v>82</v>
      </c>
      <c r="B84">
        <v>5.7000000000000002E-2</v>
      </c>
      <c r="C84" s="1">
        <v>7.1000000000000005E-5</v>
      </c>
      <c r="D84" s="1">
        <v>6.8999999999999997E-5</v>
      </c>
      <c r="E84" s="1">
        <v>6.3999999999999997E-5</v>
      </c>
      <c r="F84" s="1">
        <v>5.3999999999999998E-5</v>
      </c>
      <c r="G84" s="1"/>
      <c r="H84" s="1"/>
      <c r="I84">
        <v>5.8000000000000003E-2</v>
      </c>
      <c r="J84" s="1">
        <v>8.2999999999999998E-5</v>
      </c>
      <c r="K84" s="1">
        <v>5.8999999999999998E-5</v>
      </c>
      <c r="L84" s="1">
        <v>5.7000000000000003E-5</v>
      </c>
      <c r="M84" s="1">
        <v>5.7000000000000003E-5</v>
      </c>
      <c r="N84" s="1"/>
      <c r="P84">
        <v>6.0999999999999999E-2</v>
      </c>
      <c r="Q84" s="1">
        <v>6.0999999999999999E-5</v>
      </c>
      <c r="R84" s="1">
        <v>5.8E-5</v>
      </c>
      <c r="S84" s="1">
        <v>6.0000000000000002E-5</v>
      </c>
      <c r="T84" s="1">
        <v>5.8999999999999998E-5</v>
      </c>
      <c r="U84" s="1"/>
      <c r="W84">
        <v>5.5E-2</v>
      </c>
      <c r="X84">
        <v>0.05</v>
      </c>
      <c r="Y84">
        <v>4.8000000000000001E-2</v>
      </c>
      <c r="Z84">
        <v>4.9000000000000002E-2</v>
      </c>
      <c r="AA84">
        <v>5.1999999999999998E-2</v>
      </c>
      <c r="AD84">
        <v>0.05</v>
      </c>
      <c r="AE84">
        <v>9.4E-2</v>
      </c>
      <c r="AF84">
        <v>4.9000000000000002E-2</v>
      </c>
      <c r="AG84">
        <v>4.8000000000000001E-2</v>
      </c>
      <c r="AH84">
        <v>0.05</v>
      </c>
      <c r="AK84">
        <v>0.38</v>
      </c>
      <c r="AL84">
        <v>5.5E-2</v>
      </c>
      <c r="AM84">
        <v>5.5E-2</v>
      </c>
      <c r="AN84">
        <v>5.2999999999999999E-2</v>
      </c>
      <c r="AO84">
        <v>5.1999999999999998E-2</v>
      </c>
    </row>
    <row r="85" spans="1:41" hidden="1">
      <c r="A85">
        <v>83</v>
      </c>
      <c r="B85">
        <v>6.3E-2</v>
      </c>
      <c r="C85" s="1">
        <v>5.5999999999999999E-5</v>
      </c>
      <c r="D85" s="1">
        <v>5.3000000000000001E-5</v>
      </c>
      <c r="E85" s="1">
        <v>6.3999999999999997E-5</v>
      </c>
      <c r="F85" s="1">
        <v>5.1999999999999997E-5</v>
      </c>
      <c r="G85" s="1"/>
      <c r="H85" s="1"/>
      <c r="I85">
        <v>5.8999999999999997E-2</v>
      </c>
      <c r="J85" s="1">
        <v>6.2000000000000003E-5</v>
      </c>
      <c r="K85" s="1">
        <v>5.1999999999999997E-5</v>
      </c>
      <c r="L85" s="1">
        <v>5.7000000000000003E-5</v>
      </c>
      <c r="M85" s="1">
        <v>5.3999999999999998E-5</v>
      </c>
      <c r="N85" s="1"/>
      <c r="P85">
        <v>6.4000000000000001E-2</v>
      </c>
      <c r="Q85" s="1">
        <v>6.0999999999999999E-5</v>
      </c>
      <c r="R85" s="1">
        <v>5.8999999999999998E-5</v>
      </c>
      <c r="S85" s="1">
        <v>5.8E-5</v>
      </c>
      <c r="T85" s="1">
        <v>6.0000000000000002E-5</v>
      </c>
      <c r="U85" s="1"/>
      <c r="W85">
        <v>0.05</v>
      </c>
      <c r="X85">
        <v>4.8000000000000001E-2</v>
      </c>
      <c r="Y85">
        <v>4.8000000000000001E-2</v>
      </c>
      <c r="Z85">
        <v>0.13600000000000001</v>
      </c>
      <c r="AA85">
        <v>5.0999999999999997E-2</v>
      </c>
      <c r="AD85">
        <v>5.0999999999999997E-2</v>
      </c>
      <c r="AE85">
        <v>4.8000000000000001E-2</v>
      </c>
      <c r="AF85">
        <v>5.0999999999999997E-2</v>
      </c>
      <c r="AG85">
        <v>4.9000000000000002E-2</v>
      </c>
      <c r="AH85">
        <v>0.10100000000000001</v>
      </c>
      <c r="AK85">
        <v>5.5E-2</v>
      </c>
      <c r="AL85">
        <v>5.2999999999999999E-2</v>
      </c>
      <c r="AM85">
        <v>5.5E-2</v>
      </c>
      <c r="AN85">
        <v>4.7E-2</v>
      </c>
      <c r="AO85">
        <v>4.7E-2</v>
      </c>
    </row>
    <row r="86" spans="1:41" hidden="1">
      <c r="A86">
        <v>84</v>
      </c>
      <c r="B86">
        <v>6.0999999999999999E-2</v>
      </c>
      <c r="C86" s="1">
        <v>6.0999999999999999E-5</v>
      </c>
      <c r="D86" s="1">
        <v>5.7000000000000003E-5</v>
      </c>
      <c r="E86" s="1">
        <v>5.3000000000000001E-5</v>
      </c>
      <c r="F86" s="1">
        <v>5.3000000000000001E-5</v>
      </c>
      <c r="G86" s="1"/>
      <c r="H86" s="1"/>
      <c r="I86">
        <v>6.2E-2</v>
      </c>
      <c r="J86" s="1">
        <v>5.8E-5</v>
      </c>
      <c r="K86" s="1">
        <v>9.2E-5</v>
      </c>
      <c r="L86" s="1">
        <v>6.0000000000000002E-5</v>
      </c>
      <c r="M86" s="1">
        <v>5.7000000000000003E-5</v>
      </c>
      <c r="N86" s="1"/>
      <c r="P86">
        <v>6.0999999999999999E-2</v>
      </c>
      <c r="Q86" s="1">
        <v>6.3E-5</v>
      </c>
      <c r="R86" s="1">
        <v>6.0000000000000002E-5</v>
      </c>
      <c r="S86" s="1">
        <v>5.7000000000000003E-5</v>
      </c>
      <c r="T86" s="1">
        <v>5.3000000000000001E-5</v>
      </c>
      <c r="U86" s="1"/>
      <c r="W86">
        <v>0.05</v>
      </c>
      <c r="X86">
        <v>4.9000000000000002E-2</v>
      </c>
      <c r="Y86">
        <v>5.1999999999999998E-2</v>
      </c>
      <c r="Z86">
        <v>5.0999999999999997E-2</v>
      </c>
      <c r="AA86">
        <v>5.3999999999999999E-2</v>
      </c>
      <c r="AD86">
        <v>0.16</v>
      </c>
      <c r="AE86">
        <v>5.2999999999999999E-2</v>
      </c>
      <c r="AF86">
        <v>4.9000000000000002E-2</v>
      </c>
      <c r="AG86">
        <v>4.9000000000000002E-2</v>
      </c>
      <c r="AH86">
        <v>4.9000000000000002E-2</v>
      </c>
      <c r="AK86">
        <v>5.0999999999999997E-2</v>
      </c>
      <c r="AL86">
        <v>4.8000000000000001E-2</v>
      </c>
      <c r="AM86">
        <v>0.157</v>
      </c>
      <c r="AN86">
        <v>4.9000000000000002E-2</v>
      </c>
      <c r="AO86">
        <v>4.9000000000000002E-2</v>
      </c>
    </row>
    <row r="87" spans="1:41" hidden="1">
      <c r="A87">
        <v>85</v>
      </c>
      <c r="B87">
        <v>5.6000000000000001E-2</v>
      </c>
      <c r="C87" s="1">
        <v>5.5999999999999999E-5</v>
      </c>
      <c r="D87" s="1">
        <v>5.3000000000000001E-5</v>
      </c>
      <c r="E87" s="1">
        <v>5.3000000000000001E-5</v>
      </c>
      <c r="F87" s="1">
        <v>5.3000000000000001E-5</v>
      </c>
      <c r="G87" s="1"/>
      <c r="H87" s="1"/>
      <c r="I87">
        <v>6.2E-2</v>
      </c>
      <c r="J87" s="1">
        <v>5.3999999999999998E-5</v>
      </c>
      <c r="K87" s="1">
        <v>5.8E-5</v>
      </c>
      <c r="L87" s="1">
        <v>5.7000000000000003E-5</v>
      </c>
      <c r="M87" s="1">
        <v>5.1999999999999997E-5</v>
      </c>
      <c r="N87" s="1"/>
      <c r="P87">
        <v>5.5E-2</v>
      </c>
      <c r="Q87">
        <v>2.8319999999999999E-3</v>
      </c>
      <c r="R87">
        <v>1.7799999999999999E-4</v>
      </c>
      <c r="S87" s="1">
        <v>8.2000000000000001E-5</v>
      </c>
      <c r="T87" s="1">
        <v>5.1999999999999997E-5</v>
      </c>
      <c r="U87" s="1"/>
      <c r="W87">
        <v>0.05</v>
      </c>
      <c r="X87">
        <v>0.16700000000000001</v>
      </c>
      <c r="Y87">
        <v>7.1999999999999995E-2</v>
      </c>
      <c r="Z87">
        <v>6.7000000000000004E-2</v>
      </c>
      <c r="AA87">
        <v>6.8000000000000005E-2</v>
      </c>
      <c r="AD87">
        <v>5.3999999999999999E-2</v>
      </c>
      <c r="AE87">
        <v>4.9000000000000002E-2</v>
      </c>
      <c r="AF87">
        <v>0.05</v>
      </c>
      <c r="AG87">
        <v>4.7E-2</v>
      </c>
      <c r="AH87">
        <v>4.9000000000000002E-2</v>
      </c>
      <c r="AK87">
        <v>0.05</v>
      </c>
      <c r="AL87">
        <v>0.13100000000000001</v>
      </c>
      <c r="AM87">
        <v>4.8000000000000001E-2</v>
      </c>
      <c r="AN87">
        <v>4.9000000000000002E-2</v>
      </c>
      <c r="AO87">
        <v>4.9000000000000002E-2</v>
      </c>
    </row>
    <row r="88" spans="1:41" hidden="1">
      <c r="A88">
        <v>86</v>
      </c>
      <c r="B88">
        <v>5.6000000000000001E-2</v>
      </c>
      <c r="C88" s="1">
        <v>5.5999999999999999E-5</v>
      </c>
      <c r="D88" s="1">
        <v>5.8E-5</v>
      </c>
      <c r="E88" s="1">
        <v>6.0000000000000002E-5</v>
      </c>
      <c r="F88" s="1">
        <v>5.7000000000000003E-5</v>
      </c>
      <c r="G88" s="1"/>
      <c r="H88" s="1"/>
      <c r="I88">
        <v>0.06</v>
      </c>
      <c r="J88" s="1">
        <v>6.0000000000000002E-5</v>
      </c>
      <c r="K88" s="1">
        <v>5.3999999999999998E-5</v>
      </c>
      <c r="L88" s="1">
        <v>5.8E-5</v>
      </c>
      <c r="M88" s="1">
        <v>5.8E-5</v>
      </c>
      <c r="N88" s="1"/>
      <c r="P88">
        <v>5.5E-2</v>
      </c>
      <c r="Q88" s="1">
        <v>5.5000000000000002E-5</v>
      </c>
      <c r="R88" s="1">
        <v>5.1999999999999997E-5</v>
      </c>
      <c r="S88" s="1">
        <v>5.1999999999999997E-5</v>
      </c>
      <c r="T88" s="1">
        <v>5.5999999999999999E-5</v>
      </c>
      <c r="U88" s="1"/>
      <c r="W88">
        <v>5.1999999999999998E-2</v>
      </c>
      <c r="X88">
        <v>4.9000000000000002E-2</v>
      </c>
      <c r="Y88">
        <v>4.8000000000000001E-2</v>
      </c>
      <c r="Z88">
        <v>4.8000000000000001E-2</v>
      </c>
      <c r="AA88">
        <v>4.8000000000000001E-2</v>
      </c>
      <c r="AD88">
        <v>0.05</v>
      </c>
      <c r="AE88">
        <v>4.9000000000000002E-2</v>
      </c>
      <c r="AF88">
        <v>4.9000000000000002E-2</v>
      </c>
      <c r="AG88">
        <v>4.8000000000000001E-2</v>
      </c>
      <c r="AH88">
        <v>4.8000000000000001E-2</v>
      </c>
      <c r="AK88">
        <v>5.0999999999999997E-2</v>
      </c>
      <c r="AL88">
        <v>0.05</v>
      </c>
      <c r="AM88">
        <v>4.8000000000000001E-2</v>
      </c>
      <c r="AN88">
        <v>4.7E-2</v>
      </c>
      <c r="AO88">
        <v>0.14899999999999999</v>
      </c>
    </row>
    <row r="89" spans="1:41" hidden="1">
      <c r="A89">
        <v>87</v>
      </c>
      <c r="B89">
        <v>6.3E-2</v>
      </c>
      <c r="C89" s="1">
        <v>5.8999999999999998E-5</v>
      </c>
      <c r="D89" s="1">
        <v>5.1999999999999997E-5</v>
      </c>
      <c r="E89" s="1">
        <v>2.9799999999999998E-4</v>
      </c>
      <c r="F89" s="1">
        <v>8.7000000000000001E-5</v>
      </c>
      <c r="G89" s="1"/>
      <c r="H89" s="1"/>
      <c r="I89">
        <v>6.0999999999999999E-2</v>
      </c>
      <c r="J89" s="1">
        <v>6.0999999999999999E-5</v>
      </c>
      <c r="K89" s="1">
        <v>5.8E-5</v>
      </c>
      <c r="L89" s="1">
        <v>6.0000000000000002E-5</v>
      </c>
      <c r="M89" s="1">
        <v>5.8E-5</v>
      </c>
      <c r="N89" s="1"/>
      <c r="P89">
        <v>6.0999999999999999E-2</v>
      </c>
      <c r="Q89" s="1">
        <v>6.3E-5</v>
      </c>
      <c r="R89" s="1">
        <v>6.0000000000000002E-5</v>
      </c>
      <c r="S89" s="1">
        <v>5.8999999999999998E-5</v>
      </c>
      <c r="T89" s="1">
        <v>5.3000000000000001E-5</v>
      </c>
      <c r="U89" s="1"/>
      <c r="W89">
        <v>0.05</v>
      </c>
      <c r="X89">
        <v>4.8000000000000001E-2</v>
      </c>
      <c r="Y89">
        <v>4.9000000000000002E-2</v>
      </c>
      <c r="Z89">
        <v>9.4E-2</v>
      </c>
      <c r="AA89">
        <v>0.21099999999999999</v>
      </c>
      <c r="AD89">
        <v>0.05</v>
      </c>
      <c r="AE89">
        <v>1.556</v>
      </c>
      <c r="AF89">
        <v>0.05</v>
      </c>
      <c r="AG89">
        <v>4.8000000000000001E-2</v>
      </c>
      <c r="AH89">
        <v>0.05</v>
      </c>
      <c r="AK89">
        <v>8.7999999999999995E-2</v>
      </c>
      <c r="AL89">
        <v>7.1999999999999995E-2</v>
      </c>
      <c r="AM89">
        <v>0.05</v>
      </c>
      <c r="AN89">
        <v>7.8E-2</v>
      </c>
      <c r="AO89">
        <v>4.9000000000000002E-2</v>
      </c>
    </row>
    <row r="90" spans="1:41" hidden="1">
      <c r="A90">
        <v>88</v>
      </c>
      <c r="B90">
        <v>6.2E-2</v>
      </c>
      <c r="C90" s="1">
        <v>6.0000000000000002E-5</v>
      </c>
      <c r="D90" s="1">
        <v>5.3999999999999998E-5</v>
      </c>
      <c r="E90" s="1">
        <v>5.3000000000000001E-5</v>
      </c>
      <c r="F90" s="1">
        <v>5.3999999999999998E-5</v>
      </c>
      <c r="G90" s="1"/>
      <c r="H90" s="1"/>
      <c r="I90">
        <v>5.6000000000000001E-2</v>
      </c>
      <c r="J90" s="1">
        <v>5.5000000000000002E-5</v>
      </c>
      <c r="K90">
        <v>1.0477999999999999E-2</v>
      </c>
      <c r="L90">
        <v>9.3199999999999999E-4</v>
      </c>
      <c r="M90">
        <v>1E-4</v>
      </c>
      <c r="P90">
        <v>5.6000000000000001E-2</v>
      </c>
      <c r="Q90" s="1">
        <v>5.5999999999999999E-5</v>
      </c>
      <c r="R90">
        <v>8.3850000000000001E-3</v>
      </c>
      <c r="S90">
        <v>7.7999999999999999E-4</v>
      </c>
      <c r="T90" s="1">
        <v>5.3999999999999998E-5</v>
      </c>
      <c r="U90" s="1"/>
      <c r="W90">
        <v>5.2999999999999999E-2</v>
      </c>
      <c r="X90">
        <v>9.4E-2</v>
      </c>
      <c r="Y90">
        <v>4.9000000000000002E-2</v>
      </c>
      <c r="Z90">
        <v>4.9000000000000002E-2</v>
      </c>
      <c r="AA90">
        <v>10.301</v>
      </c>
      <c r="AD90">
        <v>5.0999999999999997E-2</v>
      </c>
      <c r="AE90">
        <v>4.8000000000000001E-2</v>
      </c>
      <c r="AF90">
        <v>4.8000000000000001E-2</v>
      </c>
      <c r="AG90">
        <v>4.8000000000000001E-2</v>
      </c>
      <c r="AH90">
        <v>8.8999999999999996E-2</v>
      </c>
      <c r="AK90">
        <v>0.05</v>
      </c>
      <c r="AL90">
        <v>4.9000000000000002E-2</v>
      </c>
      <c r="AM90">
        <v>11.51</v>
      </c>
      <c r="AN90">
        <v>5.2999999999999999E-2</v>
      </c>
      <c r="AO90">
        <v>5.5E-2</v>
      </c>
    </row>
    <row r="91" spans="1:41">
      <c r="A91">
        <v>89</v>
      </c>
      <c r="B91">
        <v>5.5E-2</v>
      </c>
      <c r="C91">
        <v>1.0900000000000001E-4</v>
      </c>
      <c r="D91" s="1">
        <v>5.3999999999999998E-5</v>
      </c>
      <c r="E91" s="1">
        <v>5.3000000000000001E-5</v>
      </c>
      <c r="F91" s="1">
        <v>5.3000000000000001E-5</v>
      </c>
      <c r="G91" s="1"/>
      <c r="H91" s="1"/>
      <c r="I91">
        <v>6.3E-2</v>
      </c>
      <c r="J91" s="1">
        <v>8.2000000000000001E-5</v>
      </c>
      <c r="K91" s="1">
        <v>5.7000000000000003E-5</v>
      </c>
      <c r="L91" s="1">
        <v>5.3999999999999998E-5</v>
      </c>
      <c r="M91" s="1">
        <v>5.1999999999999997E-5</v>
      </c>
      <c r="N91" s="1"/>
      <c r="P91">
        <v>5.6000000000000001E-2</v>
      </c>
      <c r="Q91" s="1">
        <v>5.5000000000000002E-5</v>
      </c>
      <c r="R91" s="1">
        <v>5.1999999999999997E-5</v>
      </c>
      <c r="S91" s="1">
        <v>5.1999999999999997E-5</v>
      </c>
      <c r="T91" s="1">
        <v>5.1999999999999997E-5</v>
      </c>
      <c r="U91" s="1"/>
      <c r="W91">
        <v>0.93500000000000005</v>
      </c>
      <c r="X91">
        <v>5.0999999999999997E-2</v>
      </c>
      <c r="Y91">
        <v>4.9000000000000002E-2</v>
      </c>
      <c r="Z91">
        <v>4.8000000000000001E-2</v>
      </c>
      <c r="AA91">
        <v>5.2999999999999999E-2</v>
      </c>
      <c r="AD91">
        <v>0.23300000000000001</v>
      </c>
      <c r="AE91">
        <v>5.7000000000000002E-2</v>
      </c>
      <c r="AF91">
        <v>5.5E-2</v>
      </c>
      <c r="AG91">
        <v>5.2999999999999999E-2</v>
      </c>
      <c r="AH91">
        <v>4.9000000000000002E-2</v>
      </c>
      <c r="AK91">
        <v>0.06</v>
      </c>
      <c r="AL91">
        <v>5.5E-2</v>
      </c>
      <c r="AM91">
        <v>4.8000000000000001E-2</v>
      </c>
      <c r="AN91">
        <v>4.7E-2</v>
      </c>
      <c r="AO91">
        <v>4.7E-2</v>
      </c>
    </row>
    <row r="92" spans="1:41">
      <c r="A92">
        <v>90</v>
      </c>
      <c r="B92">
        <v>6.3E-2</v>
      </c>
      <c r="C92" s="1">
        <v>5.8999999999999998E-5</v>
      </c>
      <c r="D92" s="1">
        <v>5.3999999999999998E-5</v>
      </c>
      <c r="E92" s="1">
        <v>5.8E-5</v>
      </c>
      <c r="F92" s="1">
        <v>5.7000000000000003E-5</v>
      </c>
      <c r="G92" s="1"/>
      <c r="H92" s="1"/>
      <c r="I92">
        <v>0.61399999999999999</v>
      </c>
      <c r="J92" s="1">
        <v>9.0000000000000006E-5</v>
      </c>
      <c r="K92" s="1">
        <v>5.5000000000000002E-5</v>
      </c>
      <c r="L92" s="1">
        <v>5.3000000000000001E-5</v>
      </c>
      <c r="M92" s="1">
        <v>5.1999999999999997E-5</v>
      </c>
      <c r="N92" s="1"/>
      <c r="P92">
        <v>5.7000000000000002E-2</v>
      </c>
      <c r="Q92" s="1">
        <v>5.5000000000000002E-5</v>
      </c>
      <c r="R92" s="1">
        <v>5.3999999999999998E-5</v>
      </c>
      <c r="S92" s="1">
        <v>5.3000000000000001E-5</v>
      </c>
      <c r="T92" s="1">
        <v>5.8E-5</v>
      </c>
      <c r="U92" s="1"/>
      <c r="W92">
        <v>5.5E-2</v>
      </c>
      <c r="X92">
        <v>5.3999999999999999E-2</v>
      </c>
      <c r="Y92">
        <v>5.2999999999999999E-2</v>
      </c>
      <c r="Z92">
        <v>0.14399999999999999</v>
      </c>
      <c r="AA92">
        <v>0.17599999999999999</v>
      </c>
      <c r="AD92">
        <v>0.05</v>
      </c>
      <c r="AE92">
        <v>4.9000000000000002E-2</v>
      </c>
      <c r="AF92">
        <v>4.9000000000000002E-2</v>
      </c>
      <c r="AG92">
        <v>0.13400000000000001</v>
      </c>
      <c r="AH92">
        <v>0.05</v>
      </c>
      <c r="AK92">
        <v>5.3999999999999999E-2</v>
      </c>
      <c r="AL92">
        <v>4.8000000000000001E-2</v>
      </c>
      <c r="AM92">
        <v>5.5E-2</v>
      </c>
      <c r="AN92">
        <v>4.8000000000000001E-2</v>
      </c>
      <c r="AO92">
        <v>7.4999999999999997E-2</v>
      </c>
    </row>
    <row r="93" spans="1:41">
      <c r="A93">
        <v>91</v>
      </c>
      <c r="B93">
        <v>0.06</v>
      </c>
      <c r="C93" s="1">
        <v>6.0999999999999999E-5</v>
      </c>
      <c r="D93" s="1">
        <v>5.8E-5</v>
      </c>
      <c r="E93" s="1">
        <v>5.8999999999999998E-5</v>
      </c>
      <c r="F93" s="1">
        <v>5.8E-5</v>
      </c>
      <c r="G93" s="1"/>
      <c r="H93" s="1"/>
      <c r="I93">
        <v>5.5E-2</v>
      </c>
      <c r="J93" s="1">
        <v>5.5000000000000002E-5</v>
      </c>
      <c r="K93" s="1">
        <v>5.3000000000000001E-5</v>
      </c>
      <c r="L93" s="1">
        <v>5.1999999999999997E-5</v>
      </c>
      <c r="M93">
        <v>5.9299999999999999E-4</v>
      </c>
      <c r="P93">
        <v>5.6000000000000001E-2</v>
      </c>
      <c r="Q93">
        <v>2.0799999999999999E-4</v>
      </c>
      <c r="R93" s="1">
        <v>5.8E-5</v>
      </c>
      <c r="S93" s="1">
        <v>8.5000000000000006E-5</v>
      </c>
      <c r="T93">
        <v>1.13E-4</v>
      </c>
      <c r="W93">
        <v>5.5E-2</v>
      </c>
      <c r="X93">
        <v>5.1999999999999998E-2</v>
      </c>
      <c r="Y93">
        <v>0.05</v>
      </c>
      <c r="Z93">
        <v>4.8000000000000001E-2</v>
      </c>
      <c r="AA93">
        <v>4.9000000000000002E-2</v>
      </c>
      <c r="AD93">
        <v>0.05</v>
      </c>
      <c r="AE93">
        <v>9.7870000000000008</v>
      </c>
      <c r="AF93">
        <v>0.69599999999999995</v>
      </c>
      <c r="AG93">
        <v>0.10100000000000001</v>
      </c>
      <c r="AH93">
        <v>9.2999999999999999E-2</v>
      </c>
      <c r="AK93">
        <v>5.1999999999999998E-2</v>
      </c>
      <c r="AL93">
        <v>4.9000000000000002E-2</v>
      </c>
      <c r="AM93">
        <v>4.9000000000000002E-2</v>
      </c>
      <c r="AN93">
        <v>4.8000000000000001E-2</v>
      </c>
      <c r="AO93">
        <v>0.20899999999999999</v>
      </c>
    </row>
    <row r="94" spans="1:41">
      <c r="A94">
        <v>92</v>
      </c>
      <c r="B94">
        <v>6.0999999999999999E-2</v>
      </c>
      <c r="C94" s="1">
        <v>6.0000000000000002E-5</v>
      </c>
      <c r="D94" s="1">
        <v>5.8E-5</v>
      </c>
      <c r="E94" s="1">
        <v>5.7000000000000003E-5</v>
      </c>
      <c r="F94" s="1">
        <v>5.7000000000000003E-5</v>
      </c>
      <c r="G94" s="1"/>
      <c r="I94">
        <v>5.8000000000000003E-2</v>
      </c>
      <c r="J94" s="1">
        <v>6.0999999999999999E-5</v>
      </c>
      <c r="K94" s="1">
        <v>5.8E-5</v>
      </c>
      <c r="L94" s="1">
        <v>5.5999999999999999E-5</v>
      </c>
      <c r="M94" s="1">
        <v>5.1999999999999997E-5</v>
      </c>
      <c r="N94" s="1"/>
      <c r="P94">
        <v>0.06</v>
      </c>
      <c r="Q94" s="1">
        <v>6.0999999999999999E-5</v>
      </c>
      <c r="R94" s="1">
        <v>6.0000000000000002E-5</v>
      </c>
      <c r="S94" s="1">
        <v>6.0999999999999999E-5</v>
      </c>
      <c r="T94" s="1">
        <v>5.3999999999999998E-5</v>
      </c>
      <c r="U94" s="1"/>
      <c r="W94">
        <v>5.0999999999999997E-2</v>
      </c>
      <c r="X94">
        <v>4.9000000000000002E-2</v>
      </c>
      <c r="Y94">
        <v>0.13500000000000001</v>
      </c>
      <c r="Z94">
        <v>0.08</v>
      </c>
      <c r="AA94">
        <v>0.249</v>
      </c>
      <c r="AD94">
        <v>0.10299999999999999</v>
      </c>
      <c r="AE94">
        <v>9.8000000000000004E-2</v>
      </c>
      <c r="AF94">
        <v>9.5000000000000001E-2</v>
      </c>
      <c r="AG94">
        <v>8.8999999999999996E-2</v>
      </c>
      <c r="AH94">
        <v>9.5000000000000001E-2</v>
      </c>
      <c r="AK94">
        <v>5.0999999999999997E-2</v>
      </c>
      <c r="AL94">
        <v>0.05</v>
      </c>
      <c r="AM94">
        <v>7.9000000000000001E-2</v>
      </c>
      <c r="AN94">
        <v>0.78900000000000003</v>
      </c>
      <c r="AO94">
        <v>4.9000000000000002E-2</v>
      </c>
    </row>
    <row r="95" spans="1:41">
      <c r="A95">
        <v>93</v>
      </c>
      <c r="B95">
        <v>0.06</v>
      </c>
      <c r="C95" s="1">
        <v>5.8999999999999998E-5</v>
      </c>
      <c r="D95" s="1">
        <v>5.7000000000000003E-5</v>
      </c>
      <c r="E95" s="1">
        <v>5.8E-5</v>
      </c>
      <c r="F95" s="1">
        <v>5.3000000000000001E-5</v>
      </c>
      <c r="G95" s="1"/>
      <c r="H95" s="1"/>
      <c r="I95">
        <v>0.06</v>
      </c>
      <c r="J95" s="1">
        <v>5.8999999999999998E-5</v>
      </c>
      <c r="K95" s="1">
        <v>6.0999999999999999E-5</v>
      </c>
      <c r="L95" s="1">
        <v>5.8E-5</v>
      </c>
      <c r="M95" s="1">
        <v>5.7000000000000003E-5</v>
      </c>
      <c r="N95" s="1"/>
      <c r="P95">
        <v>5.6000000000000001E-2</v>
      </c>
      <c r="Q95" s="1">
        <v>6.2000000000000003E-5</v>
      </c>
      <c r="R95" s="1">
        <v>5.8999999999999998E-5</v>
      </c>
      <c r="S95" s="1">
        <v>7.4999999999999993E-5</v>
      </c>
      <c r="T95">
        <v>3.2699999999999998E-4</v>
      </c>
      <c r="W95">
        <v>5.3999999999999999E-2</v>
      </c>
      <c r="X95">
        <v>0.05</v>
      </c>
      <c r="Y95">
        <v>6.0999999999999999E-2</v>
      </c>
      <c r="Z95">
        <v>4.9000000000000002E-2</v>
      </c>
      <c r="AA95">
        <v>5.3999999999999999E-2</v>
      </c>
      <c r="AD95">
        <v>0.105</v>
      </c>
      <c r="AE95">
        <v>8.5000000000000006E-2</v>
      </c>
      <c r="AF95">
        <v>7.9000000000000001E-2</v>
      </c>
      <c r="AG95">
        <v>7.6999999999999999E-2</v>
      </c>
      <c r="AH95">
        <v>7.9000000000000001E-2</v>
      </c>
      <c r="AK95">
        <v>0.05</v>
      </c>
      <c r="AL95">
        <v>4.8000000000000001E-2</v>
      </c>
      <c r="AM95">
        <v>4.9000000000000002E-2</v>
      </c>
      <c r="AN95">
        <v>4.7E-2</v>
      </c>
      <c r="AO95">
        <v>4.8000000000000001E-2</v>
      </c>
    </row>
    <row r="96" spans="1:41">
      <c r="A96">
        <v>94</v>
      </c>
      <c r="B96">
        <v>5.6000000000000001E-2</v>
      </c>
      <c r="C96">
        <v>5.7799999999999995E-4</v>
      </c>
      <c r="D96" s="1">
        <v>5.8E-5</v>
      </c>
      <c r="E96" s="1">
        <v>5.5000000000000002E-5</v>
      </c>
      <c r="F96" s="1">
        <v>5.8E-5</v>
      </c>
      <c r="G96" s="1"/>
      <c r="H96" s="1"/>
      <c r="I96">
        <v>5.8999999999999997E-2</v>
      </c>
      <c r="J96" s="1">
        <v>6.2000000000000003E-5</v>
      </c>
      <c r="K96" s="1">
        <v>5.8E-5</v>
      </c>
      <c r="L96" s="1">
        <v>5.3999999999999998E-5</v>
      </c>
      <c r="M96" s="1">
        <v>5.3000000000000001E-5</v>
      </c>
      <c r="N96" s="1"/>
      <c r="P96">
        <v>5.8999999999999997E-2</v>
      </c>
      <c r="Q96" s="1">
        <v>9.2999999999999997E-5</v>
      </c>
      <c r="R96" s="1">
        <v>5.5999999999999999E-5</v>
      </c>
      <c r="S96" s="1">
        <v>8.5000000000000006E-5</v>
      </c>
      <c r="T96" s="1">
        <v>7.6000000000000004E-5</v>
      </c>
      <c r="U96" s="1"/>
      <c r="W96">
        <v>5.8000000000000003E-2</v>
      </c>
      <c r="X96">
        <v>5.6000000000000001E-2</v>
      </c>
      <c r="Y96">
        <v>5.6000000000000001E-2</v>
      </c>
      <c r="Z96">
        <v>5.2999999999999999E-2</v>
      </c>
      <c r="AA96">
        <v>5.0999999999999997E-2</v>
      </c>
      <c r="AD96">
        <v>0.84399999999999997</v>
      </c>
      <c r="AE96">
        <v>7.0000000000000007E-2</v>
      </c>
      <c r="AF96">
        <v>7.4999999999999997E-2</v>
      </c>
      <c r="AG96">
        <v>7.0000000000000007E-2</v>
      </c>
      <c r="AH96">
        <v>6.9000000000000006E-2</v>
      </c>
      <c r="AK96">
        <v>4.9000000000000002E-2</v>
      </c>
      <c r="AL96">
        <v>4.8000000000000001E-2</v>
      </c>
      <c r="AM96">
        <v>4.9000000000000002E-2</v>
      </c>
      <c r="AN96">
        <v>4.8000000000000001E-2</v>
      </c>
      <c r="AO96">
        <v>0.52700000000000002</v>
      </c>
    </row>
    <row r="97" spans="1:41">
      <c r="A97">
        <v>95</v>
      </c>
      <c r="B97">
        <v>0.06</v>
      </c>
      <c r="C97" s="1">
        <v>6.0000000000000002E-5</v>
      </c>
      <c r="D97" s="1">
        <v>5.3999999999999998E-5</v>
      </c>
      <c r="E97" s="1">
        <v>5.3000000000000001E-5</v>
      </c>
      <c r="F97" s="1">
        <v>5.1999999999999997E-5</v>
      </c>
      <c r="G97" s="1"/>
      <c r="H97" s="1"/>
      <c r="I97">
        <v>5.6000000000000001E-2</v>
      </c>
      <c r="J97" s="1">
        <v>6.7000000000000002E-5</v>
      </c>
      <c r="K97" s="1">
        <v>5.8999999999999998E-5</v>
      </c>
      <c r="L97" s="1">
        <v>5.8E-5</v>
      </c>
      <c r="M97" s="1">
        <v>5.5999999999999999E-5</v>
      </c>
      <c r="N97" s="1"/>
      <c r="P97">
        <v>9.8000000000000004E-2</v>
      </c>
      <c r="Q97" s="1">
        <v>9.6000000000000002E-5</v>
      </c>
      <c r="R97" s="1">
        <v>9.7999999999999997E-5</v>
      </c>
      <c r="S97" s="1">
        <v>5.3000000000000001E-5</v>
      </c>
      <c r="T97" s="1">
        <v>5.1999999999999997E-5</v>
      </c>
      <c r="U97" s="1"/>
      <c r="W97">
        <v>0.05</v>
      </c>
      <c r="X97">
        <v>7.984</v>
      </c>
      <c r="Y97">
        <v>5.1999999999999998E-2</v>
      </c>
      <c r="Z97">
        <v>4.9000000000000002E-2</v>
      </c>
      <c r="AA97">
        <v>4.9000000000000002E-2</v>
      </c>
      <c r="AD97">
        <v>7.8E-2</v>
      </c>
      <c r="AE97">
        <v>6.9000000000000006E-2</v>
      </c>
      <c r="AF97">
        <v>7.0999999999999994E-2</v>
      </c>
      <c r="AG97">
        <v>6.7000000000000004E-2</v>
      </c>
      <c r="AH97">
        <v>6.9000000000000006E-2</v>
      </c>
      <c r="AK97">
        <v>5.1999999999999998E-2</v>
      </c>
      <c r="AL97">
        <v>0.05</v>
      </c>
      <c r="AM97">
        <v>4.8000000000000001E-2</v>
      </c>
      <c r="AN97">
        <v>4.7E-2</v>
      </c>
      <c r="AO97">
        <v>4.8000000000000001E-2</v>
      </c>
    </row>
    <row r="98" spans="1:41">
      <c r="A98">
        <v>96</v>
      </c>
      <c r="B98">
        <v>12.14</v>
      </c>
      <c r="C98" s="1">
        <v>6.3999999999999997E-5</v>
      </c>
      <c r="D98" s="1">
        <v>6.4999999999999994E-5</v>
      </c>
      <c r="E98" s="1">
        <v>5.7000000000000003E-5</v>
      </c>
      <c r="F98" s="1">
        <v>8.6000000000000003E-5</v>
      </c>
      <c r="G98" s="1"/>
      <c r="H98" s="1"/>
      <c r="I98">
        <v>5.3999999999999999E-2</v>
      </c>
      <c r="J98" s="1">
        <v>6.0999999999999999E-5</v>
      </c>
      <c r="K98" s="1">
        <v>5.8999999999999998E-5</v>
      </c>
      <c r="L98" s="1">
        <v>5.7000000000000003E-5</v>
      </c>
      <c r="M98" s="1">
        <v>5.8999999999999998E-5</v>
      </c>
      <c r="N98" s="1"/>
      <c r="P98">
        <v>5.6000000000000001E-2</v>
      </c>
      <c r="Q98" s="1">
        <v>5.8E-5</v>
      </c>
      <c r="R98" s="1">
        <v>5.3000000000000001E-5</v>
      </c>
      <c r="S98" s="1">
        <v>5.3000000000000001E-5</v>
      </c>
      <c r="T98">
        <v>1.35E-4</v>
      </c>
      <c r="W98">
        <v>0.05</v>
      </c>
      <c r="X98">
        <v>4.9000000000000002E-2</v>
      </c>
      <c r="Y98">
        <v>4.8000000000000001E-2</v>
      </c>
      <c r="Z98">
        <v>4.8000000000000001E-2</v>
      </c>
      <c r="AA98">
        <v>5.1999999999999998E-2</v>
      </c>
      <c r="AD98">
        <v>8.1940000000000008</v>
      </c>
      <c r="AE98">
        <v>0.54700000000000004</v>
      </c>
      <c r="AF98">
        <v>0.104</v>
      </c>
      <c r="AG98">
        <v>0.1</v>
      </c>
      <c r="AH98">
        <v>0.107</v>
      </c>
      <c r="AK98">
        <v>5.0999999999999997E-2</v>
      </c>
      <c r="AL98">
        <v>4.9000000000000002E-2</v>
      </c>
      <c r="AM98">
        <v>4.8000000000000001E-2</v>
      </c>
      <c r="AN98">
        <v>4.7E-2</v>
      </c>
      <c r="AO98">
        <v>4.8000000000000001E-2</v>
      </c>
    </row>
    <row r="99" spans="1:41">
      <c r="A99">
        <v>97</v>
      </c>
      <c r="B99">
        <v>5.6000000000000001E-2</v>
      </c>
      <c r="C99">
        <v>1.9599999999999999E-4</v>
      </c>
      <c r="D99" s="1">
        <v>7.2999999999999999E-5</v>
      </c>
      <c r="E99" s="1">
        <v>1.085E-3</v>
      </c>
      <c r="F99" s="1">
        <v>5.1999999999999997E-5</v>
      </c>
      <c r="G99" s="1"/>
      <c r="I99">
        <v>6.2E-2</v>
      </c>
      <c r="J99" s="1">
        <v>6.0000000000000002E-5</v>
      </c>
      <c r="K99" s="1">
        <v>5.8E-5</v>
      </c>
      <c r="L99" s="1">
        <v>5.5999999999999999E-5</v>
      </c>
      <c r="M99" s="1">
        <v>5.7000000000000003E-5</v>
      </c>
      <c r="N99" s="1"/>
      <c r="P99">
        <v>5.8999999999999997E-2</v>
      </c>
      <c r="Q99" s="1">
        <v>5.5000000000000002E-5</v>
      </c>
      <c r="R99" s="1">
        <v>5.1E-5</v>
      </c>
      <c r="S99" s="1">
        <v>5.1999999999999997E-5</v>
      </c>
      <c r="T99" s="1">
        <v>5.3000000000000001E-5</v>
      </c>
      <c r="U99" s="1"/>
      <c r="W99">
        <v>5.5E-2</v>
      </c>
      <c r="X99">
        <v>4.8000000000000001E-2</v>
      </c>
      <c r="Y99">
        <v>4.8000000000000001E-2</v>
      </c>
      <c r="Z99">
        <v>7.3999999999999996E-2</v>
      </c>
      <c r="AA99">
        <v>0.05</v>
      </c>
      <c r="AD99">
        <v>9.2999999999999999E-2</v>
      </c>
      <c r="AE99">
        <v>0.09</v>
      </c>
      <c r="AF99">
        <v>9.8000000000000004E-2</v>
      </c>
      <c r="AG99">
        <v>9.5000000000000001E-2</v>
      </c>
      <c r="AH99">
        <v>9.0999999999999998E-2</v>
      </c>
      <c r="AK99">
        <v>5.0999999999999997E-2</v>
      </c>
      <c r="AL99">
        <v>4.8000000000000001E-2</v>
      </c>
      <c r="AM99">
        <v>4.8000000000000001E-2</v>
      </c>
      <c r="AN99">
        <v>4.8000000000000001E-2</v>
      </c>
      <c r="AO99">
        <v>4.8000000000000001E-2</v>
      </c>
    </row>
    <row r="100" spans="1:41">
      <c r="A100">
        <v>98</v>
      </c>
      <c r="B100">
        <v>5.6000000000000001E-2</v>
      </c>
      <c r="C100" s="1">
        <v>5.5999999999999999E-5</v>
      </c>
      <c r="D100" s="1">
        <v>5.1999999999999997E-5</v>
      </c>
      <c r="E100" s="1">
        <v>5.3000000000000001E-5</v>
      </c>
      <c r="F100" s="1">
        <v>5.3000000000000001E-5</v>
      </c>
      <c r="G100" s="1"/>
      <c r="H100" s="1"/>
      <c r="I100">
        <v>0.06</v>
      </c>
      <c r="J100" s="1">
        <v>6.0999999999999999E-5</v>
      </c>
      <c r="K100" s="1">
        <v>5.8E-5</v>
      </c>
      <c r="L100" s="1">
        <v>5.7000000000000003E-5</v>
      </c>
      <c r="M100" s="1">
        <v>5.8999999999999998E-5</v>
      </c>
      <c r="N100" s="1"/>
      <c r="P100">
        <v>5.5E-2</v>
      </c>
      <c r="Q100">
        <v>9.4439999999999993E-3</v>
      </c>
      <c r="R100" s="1">
        <v>7.2000000000000002E-5</v>
      </c>
      <c r="S100" s="1">
        <v>5.3999999999999998E-5</v>
      </c>
      <c r="T100">
        <v>2.1800000000000001E-4</v>
      </c>
      <c r="W100">
        <v>0.05</v>
      </c>
      <c r="X100">
        <v>7.1999999999999995E-2</v>
      </c>
      <c r="Y100">
        <v>4.8000000000000001E-2</v>
      </c>
      <c r="Z100">
        <v>0.14799999999999999</v>
      </c>
      <c r="AA100">
        <v>5.2999999999999999E-2</v>
      </c>
      <c r="AD100">
        <v>8.1000000000000003E-2</v>
      </c>
      <c r="AE100">
        <v>8.5000000000000006E-2</v>
      </c>
      <c r="AF100">
        <v>8.4000000000000005E-2</v>
      </c>
      <c r="AG100">
        <v>0.82199999999999995</v>
      </c>
      <c r="AH100">
        <v>7.0999999999999994E-2</v>
      </c>
      <c r="AK100">
        <v>0.05</v>
      </c>
      <c r="AL100">
        <v>4.8000000000000001E-2</v>
      </c>
      <c r="AM100">
        <v>4.8000000000000001E-2</v>
      </c>
      <c r="AN100">
        <v>4.9000000000000002E-2</v>
      </c>
      <c r="AO100">
        <v>0.10299999999999999</v>
      </c>
    </row>
    <row r="101" spans="1:41">
      <c r="A101">
        <v>99</v>
      </c>
      <c r="B101">
        <v>8.4000000000000005E-2</v>
      </c>
      <c r="C101" s="1">
        <v>5.5999999999999999E-5</v>
      </c>
      <c r="D101" s="1">
        <v>5.5000000000000002E-5</v>
      </c>
      <c r="E101" s="1">
        <v>5.1999999999999997E-5</v>
      </c>
      <c r="F101" s="1">
        <v>5.1999999999999997E-5</v>
      </c>
      <c r="G101" s="1"/>
      <c r="H101" s="1"/>
      <c r="I101">
        <v>6.0999999999999999E-2</v>
      </c>
      <c r="J101" s="1">
        <v>6.0000000000000002E-5</v>
      </c>
      <c r="K101" s="1">
        <v>5.3000000000000001E-5</v>
      </c>
      <c r="L101" s="1">
        <v>5.5999999999999999E-5</v>
      </c>
      <c r="M101" s="1">
        <v>5.8E-5</v>
      </c>
      <c r="N101" s="1"/>
      <c r="P101">
        <v>6.3E-2</v>
      </c>
      <c r="Q101" s="1">
        <v>6.2000000000000003E-5</v>
      </c>
      <c r="R101" s="1">
        <v>5.8E-5</v>
      </c>
      <c r="S101" s="1">
        <v>5.7000000000000003E-5</v>
      </c>
      <c r="T101" s="1">
        <v>5.8999999999999998E-5</v>
      </c>
      <c r="U101" s="1"/>
      <c r="W101">
        <v>5.8999999999999997E-2</v>
      </c>
      <c r="X101">
        <v>5.2999999999999999E-2</v>
      </c>
      <c r="Y101">
        <v>5.3999999999999999E-2</v>
      </c>
      <c r="Z101">
        <v>5.0999999999999997E-2</v>
      </c>
      <c r="AA101">
        <v>4.8000000000000001E-2</v>
      </c>
      <c r="AD101">
        <v>7.0999999999999994E-2</v>
      </c>
      <c r="AE101">
        <v>7.8E-2</v>
      </c>
      <c r="AF101">
        <v>7.6999999999999999E-2</v>
      </c>
      <c r="AG101">
        <v>7.5999999999999998E-2</v>
      </c>
      <c r="AH101">
        <v>7.5999999999999998E-2</v>
      </c>
      <c r="AK101">
        <v>0.05</v>
      </c>
      <c r="AL101">
        <v>4.8000000000000001E-2</v>
      </c>
      <c r="AM101">
        <v>1.855</v>
      </c>
      <c r="AN101">
        <v>0.05</v>
      </c>
      <c r="AO101">
        <v>4.9000000000000002E-2</v>
      </c>
    </row>
    <row r="102" spans="1:41">
      <c r="A102">
        <v>100</v>
      </c>
      <c r="B102">
        <v>9.0269999999999992</v>
      </c>
      <c r="C102" s="1">
        <v>5.5999999999999999E-5</v>
      </c>
      <c r="D102" s="1">
        <v>5.3999999999999998E-5</v>
      </c>
      <c r="E102" s="1">
        <v>5.8E-5</v>
      </c>
      <c r="F102" s="1">
        <v>5.5000000000000002E-5</v>
      </c>
      <c r="G102" s="1"/>
      <c r="H102" s="1"/>
      <c r="I102">
        <v>0.06</v>
      </c>
      <c r="J102" s="1">
        <v>5.5999999999999999E-5</v>
      </c>
      <c r="K102" s="1">
        <v>5.5000000000000002E-5</v>
      </c>
      <c r="L102" s="1">
        <v>5.3000000000000001E-5</v>
      </c>
      <c r="M102" s="1">
        <v>5.7000000000000003E-5</v>
      </c>
      <c r="N102" s="1"/>
      <c r="P102">
        <v>7.1999999999999995E-2</v>
      </c>
      <c r="Q102" s="1">
        <v>9.0000000000000006E-5</v>
      </c>
      <c r="R102" s="1">
        <v>9.0000000000000006E-5</v>
      </c>
      <c r="S102" s="1">
        <v>5.7000000000000003E-5</v>
      </c>
      <c r="T102" s="1">
        <v>9.0000000000000006E-5</v>
      </c>
      <c r="U102" s="1"/>
      <c r="W102">
        <v>0.05</v>
      </c>
      <c r="X102">
        <v>0.14699999999999999</v>
      </c>
      <c r="Y102">
        <v>5.1999999999999998E-2</v>
      </c>
      <c r="Z102">
        <v>4.8000000000000001E-2</v>
      </c>
      <c r="AA102">
        <v>4.8000000000000001E-2</v>
      </c>
      <c r="AD102">
        <v>7.0999999999999994E-2</v>
      </c>
      <c r="AE102">
        <v>7.5999999999999998E-2</v>
      </c>
      <c r="AF102">
        <v>8.7999999999999995E-2</v>
      </c>
      <c r="AG102">
        <v>7.3999999999999996E-2</v>
      </c>
      <c r="AH102">
        <v>6.9000000000000006E-2</v>
      </c>
      <c r="AK102">
        <v>5.1999999999999998E-2</v>
      </c>
      <c r="AL102">
        <v>5.3999999999999999E-2</v>
      </c>
      <c r="AM102">
        <v>5.2999999999999999E-2</v>
      </c>
      <c r="AN102">
        <v>5.5E-2</v>
      </c>
      <c r="AO102">
        <v>5.2999999999999999E-2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AVERAGE(Encrypt16x167[ECB])</f>
        <v>0.61459000000000019</v>
      </c>
      <c r="C106">
        <f>AVERAGE(Encrypt16x167[CBC])</f>
        <v>1.1755000000000005E-4</v>
      </c>
      <c r="D106">
        <f>AVERAGE(Encrypt16x167[OFB])</f>
        <v>2.8416999999999993E-4</v>
      </c>
      <c r="E106">
        <f>AVERAGE(Encrypt16x167[CFB])</f>
        <v>3.036300000000001E-4</v>
      </c>
      <c r="F106">
        <f>AVERAGE(Encrypt16x167[CTR])</f>
        <v>2.1101999999999991E-4</v>
      </c>
      <c r="H106" s="5" t="s">
        <v>8</v>
      </c>
      <c r="I106" s="6">
        <f>AVERAGE(Encrypt24x166[ECB])</f>
        <v>0.33345999999999998</v>
      </c>
      <c r="J106" s="6">
        <f>AVERAGE(Encrypt24x166[CBC])</f>
        <v>1.3219999999999996E-4</v>
      </c>
      <c r="K106" s="6">
        <f>AVERAGE(Encrypt24x166[OFB])</f>
        <v>4.0962999999999991E-4</v>
      </c>
      <c r="L106" s="6">
        <f>AVERAGE(Encrypt24x166[CFB])</f>
        <v>4.1420000000000015E-4</v>
      </c>
      <c r="M106" s="6">
        <f>AVERAGE(Encrypt24x166[CTR])</f>
        <v>2.4512000000000004E-4</v>
      </c>
      <c r="O106" s="5" t="s">
        <v>8</v>
      </c>
      <c r="P106" s="6">
        <f>AVERAGE(Encrypt32x165[ECB])</f>
        <v>0.28208</v>
      </c>
      <c r="Q106" s="6">
        <f>AVERAGE(Encrypt32x165[CBC])</f>
        <v>3.898599999999999E-4</v>
      </c>
      <c r="R106" s="6">
        <f>AVERAGE(Encrypt32x165[OFB])</f>
        <v>3.0320999999999999E-4</v>
      </c>
      <c r="S106" s="6">
        <f>AVERAGE(Encrypt32x165[CFB])</f>
        <v>2.3950000000000002E-4</v>
      </c>
      <c r="T106" s="6">
        <f>AVERAGE(Encrypt32x165[CTR])</f>
        <v>3.4611999999999995E-4</v>
      </c>
      <c r="V106" s="5" t="s">
        <v>8</v>
      </c>
      <c r="W106" s="6">
        <f>AVERAGE(Decrypt16x164[ECB])</f>
        <v>0.192</v>
      </c>
      <c r="X106" s="6">
        <f>AVERAGE(Decrypt16x164[CBC])</f>
        <v>0.33434999999999976</v>
      </c>
      <c r="Y106" s="6">
        <f>AVERAGE(Decrypt16x164[OFB])</f>
        <v>0.10549999999999995</v>
      </c>
      <c r="Z106" s="6">
        <f>AVERAGE(Decrypt16x164[CFB])</f>
        <v>0.47570999999999991</v>
      </c>
      <c r="AA106" s="7">
        <f>AVERAGE(Decrypt16x164[CTR])</f>
        <v>0.42044999999999982</v>
      </c>
      <c r="AC106" s="5" t="s">
        <v>8</v>
      </c>
      <c r="AD106" s="6">
        <f>AVERAGE(Decrypt24x163[ECB])</f>
        <v>0.49548999999999993</v>
      </c>
      <c r="AE106" s="6">
        <f>AVERAGE(Decrypt24x163[CBC])</f>
        <v>0.19748000000000004</v>
      </c>
      <c r="AF106" s="6">
        <f>AVERAGE(Decrypt24x163[OFB])</f>
        <v>0.19697999999999993</v>
      </c>
      <c r="AG106" s="6">
        <f>AVERAGE(Decrypt24x163[CFB])</f>
        <v>0.14588000000000001</v>
      </c>
      <c r="AH106" s="7">
        <f>AVERAGE(Decrypt24x163[CTR])</f>
        <v>0.40527999999999975</v>
      </c>
      <c r="AJ106" s="5" t="s">
        <v>8</v>
      </c>
      <c r="AK106" s="6">
        <f>AVERAGE(Decrypt32x162[ECB])</f>
        <v>0.24356999999999984</v>
      </c>
      <c r="AL106" s="6">
        <f>AVERAGE(Decrypt32x162[CBC])</f>
        <v>7.853000000000003E-2</v>
      </c>
      <c r="AM106" s="6">
        <f>AVERAGE(Decrypt32x162[OFB])</f>
        <v>0.50809000000000015</v>
      </c>
      <c r="AN106" s="6">
        <f>AVERAGE(Decrypt32x162[CFB])</f>
        <v>0.35026999999999975</v>
      </c>
      <c r="AO106" s="7">
        <f>AVERAGE(Decrypt32x162[CTR])</f>
        <v>0.26935999999999999</v>
      </c>
    </row>
    <row r="107" spans="1:41">
      <c r="A107" t="s">
        <v>10</v>
      </c>
      <c r="B107">
        <f>MIN(Encrypt16x167[ECB])</f>
        <v>5.5E-2</v>
      </c>
      <c r="C107">
        <f>MIN(Encrypt16x167[CBC])</f>
        <v>5.3999999999999998E-5</v>
      </c>
      <c r="D107">
        <f>MIN(Encrypt16x167[OFB])</f>
        <v>5.1999999999999997E-5</v>
      </c>
      <c r="E107">
        <f>MIN(Encrypt16x167[CFB])</f>
        <v>5.1E-5</v>
      </c>
      <c r="F107">
        <f>MIN(Encrypt16x167[CTR])</f>
        <v>5.1E-5</v>
      </c>
      <c r="H107" s="8" t="s">
        <v>10</v>
      </c>
      <c r="I107" s="9">
        <f>MIN(Encrypt24x166[ECB])</f>
        <v>5.3999999999999999E-2</v>
      </c>
      <c r="J107" s="9">
        <f>MIN(Encrypt24x166[CBC])</f>
        <v>5.3999999999999998E-5</v>
      </c>
      <c r="K107" s="9">
        <f>MIN(Encrypt24x166[OFB])</f>
        <v>5.1999999999999997E-5</v>
      </c>
      <c r="L107" s="9">
        <f>MIN(Encrypt24x166[CFB])</f>
        <v>5.1999999999999997E-5</v>
      </c>
      <c r="M107" s="9">
        <f>MIN(Encrypt24x166[CTR])</f>
        <v>5.1999999999999997E-5</v>
      </c>
      <c r="O107" s="8" t="s">
        <v>10</v>
      </c>
      <c r="P107" s="9">
        <f>MIN(Encrypt32x165[ECB])</f>
        <v>5.5E-2</v>
      </c>
      <c r="Q107" s="9">
        <f>MIN(Encrypt32x165[CBC])</f>
        <v>5.3999999999999998E-5</v>
      </c>
      <c r="R107" s="9">
        <f>MIN(Encrypt32x165[OFB])</f>
        <v>5.1E-5</v>
      </c>
      <c r="S107" s="9">
        <f>MIN(Encrypt32x165[CFB])</f>
        <v>5.1999999999999997E-5</v>
      </c>
      <c r="T107" s="9">
        <f>MIN(Encrypt32x165[CTR])</f>
        <v>5.1999999999999997E-5</v>
      </c>
      <c r="V107" s="8" t="s">
        <v>10</v>
      </c>
      <c r="W107" s="9">
        <f>MIN(Decrypt16x164[ECB])</f>
        <v>4.9000000000000002E-2</v>
      </c>
      <c r="X107" s="9">
        <f>MIN(Decrypt16x164[CBC])</f>
        <v>4.8000000000000001E-2</v>
      </c>
      <c r="Y107" s="9">
        <f>MIN(Decrypt16x164[OFB])</f>
        <v>4.8000000000000001E-2</v>
      </c>
      <c r="Z107" s="9">
        <f>MIN(Decrypt16x164[CFB])</f>
        <v>4.7E-2</v>
      </c>
      <c r="AA107" s="10">
        <f>MIN(Decrypt16x164[CTR])</f>
        <v>4.7E-2</v>
      </c>
      <c r="AC107" s="8" t="s">
        <v>10</v>
      </c>
      <c r="AD107" s="9">
        <f>MIN(Decrypt24x163[ECB])</f>
        <v>4.8000000000000001E-2</v>
      </c>
      <c r="AE107" s="9">
        <f>MIN(Decrypt24x163[CBC])</f>
        <v>4.7E-2</v>
      </c>
      <c r="AF107" s="9">
        <f>MIN(Decrypt24x163[OFB])</f>
        <v>4.8000000000000001E-2</v>
      </c>
      <c r="AG107" s="9">
        <f>MIN(Decrypt24x163[CFB])</f>
        <v>4.7E-2</v>
      </c>
      <c r="AH107" s="10">
        <f>MIN(Decrypt24x163[CTR])</f>
        <v>4.7E-2</v>
      </c>
      <c r="AJ107" s="8" t="s">
        <v>10</v>
      </c>
      <c r="AK107" s="9">
        <f>MIN(Decrypt32x162[ECB])</f>
        <v>4.9000000000000002E-2</v>
      </c>
      <c r="AL107" s="9">
        <f>MIN(Decrypt32x162[CBC])</f>
        <v>4.8000000000000001E-2</v>
      </c>
      <c r="AM107" s="9">
        <f>MIN(Decrypt32x162[OFB])</f>
        <v>4.7E-2</v>
      </c>
      <c r="AN107" s="9">
        <f>MIN(Decrypt32x162[CFB])</f>
        <v>4.5999999999999999E-2</v>
      </c>
      <c r="AO107" s="10">
        <f>MIN(Decrypt32x162[CTR])</f>
        <v>4.5999999999999999E-2</v>
      </c>
    </row>
    <row r="108" spans="1:41">
      <c r="A108" t="s">
        <v>11</v>
      </c>
      <c r="B108">
        <f>MAX(Encrypt16x167[ECB])</f>
        <v>30.164000000000001</v>
      </c>
      <c r="C108">
        <f>MAX(Encrypt16x167[CBC])</f>
        <v>1.7750000000000001E-3</v>
      </c>
      <c r="D108">
        <f>MAX(Encrypt16x167[OFB])</f>
        <v>1.291E-2</v>
      </c>
      <c r="E108">
        <f>MAX(Encrypt16x167[CFB])</f>
        <v>1.1055000000000001E-2</v>
      </c>
      <c r="F108">
        <f>MAX(Encrypt16x167[CTR])</f>
        <v>7.9480000000000002E-3</v>
      </c>
      <c r="H108" s="5" t="s">
        <v>11</v>
      </c>
      <c r="I108" s="6">
        <f>MAX(Encrypt24x166[ECB])</f>
        <v>8.0540000000000003</v>
      </c>
      <c r="J108" s="6">
        <f>MAX(Encrypt24x166[CBC])</f>
        <v>2.1480000000000002E-3</v>
      </c>
      <c r="K108" s="6">
        <f>MAX(Encrypt24x166[OFB])</f>
        <v>1.0477999999999999E-2</v>
      </c>
      <c r="L108" s="6">
        <f>MAX(Encrypt24x166[CFB])</f>
        <v>8.7740000000000005E-3</v>
      </c>
      <c r="M108" s="6">
        <f>MAX(Encrypt24x166[CTR])</f>
        <v>1.3408E-2</v>
      </c>
      <c r="O108" s="5" t="s">
        <v>11</v>
      </c>
      <c r="P108" s="6">
        <f>MAX(Encrypt32x165[ECB])</f>
        <v>11.538</v>
      </c>
      <c r="Q108" s="6">
        <f>MAX(Encrypt32x165[CBC])</f>
        <v>9.4439999999999993E-3</v>
      </c>
      <c r="R108" s="6">
        <f>MAX(Encrypt32x165[OFB])</f>
        <v>8.3850000000000001E-3</v>
      </c>
      <c r="S108" s="6">
        <f>MAX(Encrypt32x165[CFB])</f>
        <v>7.6880000000000004E-3</v>
      </c>
      <c r="T108" s="6">
        <f>MAX(Encrypt32x165[CTR])</f>
        <v>2.1111000000000001E-2</v>
      </c>
      <c r="V108" s="5" t="s">
        <v>11</v>
      </c>
      <c r="W108" s="6">
        <f>MAX(Decrypt16x164[ECB])</f>
        <v>9.8979999999999997</v>
      </c>
      <c r="X108" s="6">
        <f>MAX(Decrypt16x164[CBC])</f>
        <v>18.936</v>
      </c>
      <c r="Y108" s="6">
        <f>MAX(Decrypt16x164[OFB])</f>
        <v>3.7410000000000001</v>
      </c>
      <c r="Z108" s="6">
        <f>MAX(Decrypt16x164[CFB])</f>
        <v>24.286000000000001</v>
      </c>
      <c r="AA108" s="7">
        <f>MAX(Decrypt16x164[CTR])</f>
        <v>11.065</v>
      </c>
      <c r="AC108" s="5" t="s">
        <v>11</v>
      </c>
      <c r="AD108" s="6">
        <f>MAX(Decrypt24x163[ECB])</f>
        <v>14.6</v>
      </c>
      <c r="AE108" s="6">
        <f>MAX(Decrypt24x163[CBC])</f>
        <v>9.7870000000000008</v>
      </c>
      <c r="AF108" s="6">
        <f>MAX(Decrypt24x163[OFB])</f>
        <v>8.9719999999999995</v>
      </c>
      <c r="AG108" s="6">
        <f>MAX(Decrypt24x163[CFB])</f>
        <v>4.6219999999999999</v>
      </c>
      <c r="AH108" s="7">
        <f>MAX(Decrypt24x163[CTR])</f>
        <v>13.438000000000001</v>
      </c>
      <c r="AJ108" s="5" t="s">
        <v>11</v>
      </c>
      <c r="AK108" s="6">
        <f>MAX(Decrypt32x162[ECB])</f>
        <v>13.013999999999999</v>
      </c>
      <c r="AL108" s="6">
        <f>MAX(Decrypt32x162[CBC])</f>
        <v>1.6579999999999999</v>
      </c>
      <c r="AM108" s="6">
        <f>MAX(Decrypt32x162[OFB])</f>
        <v>11.51</v>
      </c>
      <c r="AN108" s="6">
        <f>MAX(Decrypt32x162[CFB])</f>
        <v>10.766999999999999</v>
      </c>
      <c r="AO108" s="7">
        <f>MAX(Decrypt32x162[CTR])</f>
        <v>10.227</v>
      </c>
    </row>
    <row r="109" spans="1:41">
      <c r="A109" t="s">
        <v>9</v>
      </c>
      <c r="B109">
        <f>MEDIAN(Encrypt16x167[ECB])</f>
        <v>6.4000000000000001E-2</v>
      </c>
      <c r="C109">
        <f>MEDIAN(Encrypt16x167[CBC])</f>
        <v>6.3999999999999997E-5</v>
      </c>
      <c r="D109">
        <f>MEDIAN(Encrypt16x167[OFB])</f>
        <v>5.8E-5</v>
      </c>
      <c r="E109">
        <f>MEDIAN(Encrypt16x167[CFB])</f>
        <v>6.05E-5</v>
      </c>
      <c r="F109">
        <f>MEDIAN(Encrypt16x167[CTR])</f>
        <v>6.0000000000000002E-5</v>
      </c>
      <c r="H109" s="11" t="s">
        <v>9</v>
      </c>
      <c r="I109" s="12">
        <f>MEDIAN(Encrypt24x166[ECB])</f>
        <v>6.0999999999999999E-2</v>
      </c>
      <c r="J109" s="12">
        <f>MEDIAN(Encrypt24x166[CBC])</f>
        <v>6.0999999999999999E-5</v>
      </c>
      <c r="K109" s="12">
        <f>MEDIAN(Encrypt24x166[OFB])</f>
        <v>5.8E-5</v>
      </c>
      <c r="L109" s="12">
        <f>MEDIAN(Encrypt24x166[CFB])</f>
        <v>5.7000000000000003E-5</v>
      </c>
      <c r="M109" s="12">
        <f>MEDIAN(Encrypt24x166[CTR])</f>
        <v>5.8E-5</v>
      </c>
      <c r="O109" s="11" t="s">
        <v>9</v>
      </c>
      <c r="P109" s="12">
        <f>MEDIAN(Encrypt32x165[ECB])</f>
        <v>6.0999999999999999E-2</v>
      </c>
      <c r="Q109" s="12">
        <f>MEDIAN(Encrypt32x165[CBC])</f>
        <v>6.2000000000000003E-5</v>
      </c>
      <c r="R109" s="12">
        <f>MEDIAN(Encrypt32x165[OFB])</f>
        <v>5.8999999999999998E-5</v>
      </c>
      <c r="S109" s="12">
        <f>MEDIAN(Encrypt32x165[CFB])</f>
        <v>5.8999999999999998E-5</v>
      </c>
      <c r="T109" s="12">
        <f>MEDIAN(Encrypt32x165[CTR])</f>
        <v>5.8999999999999998E-5</v>
      </c>
      <c r="V109" s="11" t="s">
        <v>9</v>
      </c>
      <c r="W109" s="12">
        <f>MEDIAN(Decrypt16x164[ECB])</f>
        <v>5.5E-2</v>
      </c>
      <c r="X109" s="12">
        <f>MEDIAN(Decrypt16x164[CBC])</f>
        <v>5.2999999999999999E-2</v>
      </c>
      <c r="Y109" s="12">
        <f>MEDIAN(Decrypt16x164[OFB])</f>
        <v>5.1999999999999998E-2</v>
      </c>
      <c r="Z109" s="12">
        <f>MEDIAN(Decrypt16x164[CFB])</f>
        <v>5.2999999999999999E-2</v>
      </c>
      <c r="AA109" s="13">
        <f>MEDIAN(Decrypt16x164[CTR])</f>
        <v>5.2999999999999999E-2</v>
      </c>
      <c r="AC109" s="11" t="s">
        <v>9</v>
      </c>
      <c r="AD109" s="12">
        <f>MEDIAN(Decrypt24x163[ECB])</f>
        <v>5.8999999999999997E-2</v>
      </c>
      <c r="AE109" s="12">
        <f>MEDIAN(Decrypt24x163[CBC])</f>
        <v>5.6500000000000002E-2</v>
      </c>
      <c r="AF109" s="12">
        <f>MEDIAN(Decrypt24x163[OFB])</f>
        <v>5.45E-2</v>
      </c>
      <c r="AG109" s="12">
        <f>MEDIAN(Decrypt24x163[CFB])</f>
        <v>5.5E-2</v>
      </c>
      <c r="AH109" s="13">
        <f>MEDIAN(Decrypt24x163[CTR])</f>
        <v>5.45E-2</v>
      </c>
      <c r="AJ109" s="11" t="s">
        <v>9</v>
      </c>
      <c r="AK109" s="12">
        <f>MEDIAN(Decrypt32x162[ECB])</f>
        <v>5.6000000000000001E-2</v>
      </c>
      <c r="AL109" s="12">
        <f>MEDIAN(Decrypt32x162[CBC])</f>
        <v>5.3499999999999999E-2</v>
      </c>
      <c r="AM109" s="12">
        <f>MEDIAN(Decrypt32x162[OFB])</f>
        <v>5.5E-2</v>
      </c>
      <c r="AN109" s="12">
        <f>MEDIAN(Decrypt32x162[CFB])</f>
        <v>5.2999999999999999E-2</v>
      </c>
      <c r="AO109" s="13">
        <f>MEDIAN(Decrypt32x162[CTR])</f>
        <v>5.3999999999999999E-2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10.746</v>
      </c>
      <c r="C3" s="1">
        <v>7.4999999999999993E-5</v>
      </c>
      <c r="D3" s="1">
        <v>6.4999999999999994E-5</v>
      </c>
      <c r="E3" s="1">
        <v>6.7999999999999999E-5</v>
      </c>
      <c r="F3" s="1">
        <v>6.3E-5</v>
      </c>
      <c r="I3">
        <v>9.2999999999999999E-2</v>
      </c>
      <c r="J3" s="1">
        <v>6.4999999999999994E-5</v>
      </c>
      <c r="K3" s="1">
        <v>6.0999999999999999E-5</v>
      </c>
      <c r="L3" s="1">
        <v>6.0000000000000002E-5</v>
      </c>
      <c r="M3" s="1">
        <v>6.0000000000000002E-5</v>
      </c>
      <c r="P3">
        <v>9.5000000000000001E-2</v>
      </c>
      <c r="Q3" s="1">
        <v>6.3999999999999997E-5</v>
      </c>
      <c r="R3" s="1">
        <v>6.6000000000000005E-5</v>
      </c>
      <c r="S3" s="1">
        <v>5.7000000000000003E-5</v>
      </c>
      <c r="T3" s="1">
        <v>5.8E-5</v>
      </c>
      <c r="U3" s="1"/>
      <c r="W3">
        <v>0.13500000000000001</v>
      </c>
      <c r="X3">
        <v>5.6000000000000001E-2</v>
      </c>
      <c r="Y3">
        <v>6.6000000000000003E-2</v>
      </c>
      <c r="Z3">
        <v>6.3E-2</v>
      </c>
      <c r="AA3">
        <v>6.0999999999999999E-2</v>
      </c>
      <c r="AD3">
        <v>0.14899999999999999</v>
      </c>
      <c r="AE3">
        <v>5.5E-2</v>
      </c>
      <c r="AF3">
        <v>6.6000000000000003E-2</v>
      </c>
      <c r="AG3">
        <v>6.0999999999999999E-2</v>
      </c>
      <c r="AH3">
        <v>6.0999999999999999E-2</v>
      </c>
      <c r="AK3">
        <v>0.155</v>
      </c>
      <c r="AL3">
        <v>5.5E-2</v>
      </c>
      <c r="AM3">
        <v>6.8000000000000005E-2</v>
      </c>
      <c r="AN3">
        <v>6.4000000000000001E-2</v>
      </c>
      <c r="AO3">
        <v>6.2E-2</v>
      </c>
    </row>
    <row r="4" spans="1:44">
      <c r="A4">
        <v>2</v>
      </c>
      <c r="B4">
        <v>6.3E-2</v>
      </c>
      <c r="C4" s="1">
        <v>5.5999999999999999E-5</v>
      </c>
      <c r="D4" s="1">
        <v>9.2E-5</v>
      </c>
      <c r="E4" s="1">
        <v>5.3999999999999998E-5</v>
      </c>
      <c r="F4" s="1">
        <v>5.8999999999999998E-5</v>
      </c>
      <c r="I4">
        <v>5.8000000000000003E-2</v>
      </c>
      <c r="J4" s="1">
        <v>5.5999999999999999E-5</v>
      </c>
      <c r="K4" s="1">
        <v>6.0000000000000002E-5</v>
      </c>
      <c r="L4" s="1">
        <v>5.5000000000000002E-5</v>
      </c>
      <c r="M4" s="1">
        <v>5.3999999999999998E-5</v>
      </c>
      <c r="P4">
        <v>5.6000000000000001E-2</v>
      </c>
      <c r="Q4">
        <v>4.4039999999999999E-3</v>
      </c>
      <c r="R4">
        <v>1.34E-4</v>
      </c>
      <c r="S4" s="1">
        <v>8.1000000000000004E-5</v>
      </c>
      <c r="T4" s="1">
        <v>5.3999999999999998E-5</v>
      </c>
      <c r="U4" s="1"/>
      <c r="W4">
        <v>5.5E-2</v>
      </c>
      <c r="X4">
        <v>4.8000000000000001E-2</v>
      </c>
      <c r="Y4">
        <v>0.05</v>
      </c>
      <c r="Z4">
        <v>5.3999999999999999E-2</v>
      </c>
      <c r="AA4">
        <v>0.05</v>
      </c>
      <c r="AD4">
        <v>5.6000000000000001E-2</v>
      </c>
      <c r="AE4">
        <v>4.8000000000000001E-2</v>
      </c>
      <c r="AF4">
        <v>4.9000000000000002E-2</v>
      </c>
      <c r="AG4">
        <v>5.2999999999999999E-2</v>
      </c>
      <c r="AH4">
        <v>0.05</v>
      </c>
      <c r="AK4">
        <v>5.0999999999999997E-2</v>
      </c>
      <c r="AL4">
        <v>5.3999999999999999E-2</v>
      </c>
      <c r="AM4">
        <v>5.7000000000000002E-2</v>
      </c>
      <c r="AN4">
        <v>5.8000000000000003E-2</v>
      </c>
      <c r="AO4">
        <v>5.3999999999999999E-2</v>
      </c>
    </row>
    <row r="5" spans="1:44">
      <c r="A5">
        <v>3</v>
      </c>
      <c r="B5">
        <v>5.7000000000000002E-2</v>
      </c>
      <c r="C5" s="1">
        <v>5.8E-5</v>
      </c>
      <c r="D5" s="1">
        <v>8.5000000000000006E-5</v>
      </c>
      <c r="E5" s="1">
        <v>5.8999999999999998E-5</v>
      </c>
      <c r="F5" s="1">
        <v>5.5999999999999999E-5</v>
      </c>
      <c r="I5">
        <v>5.7000000000000002E-2</v>
      </c>
      <c r="J5" s="1">
        <v>5.8E-5</v>
      </c>
      <c r="K5" s="1">
        <v>5.3999999999999998E-5</v>
      </c>
      <c r="L5" s="1">
        <v>5.5000000000000002E-5</v>
      </c>
      <c r="M5" s="1">
        <v>5.5000000000000002E-5</v>
      </c>
      <c r="P5">
        <v>8.5000000000000006E-2</v>
      </c>
      <c r="Q5" s="1">
        <v>6.0000000000000002E-5</v>
      </c>
      <c r="R5" s="1">
        <v>5.5999999999999999E-5</v>
      </c>
      <c r="S5" s="1">
        <v>5.5000000000000002E-5</v>
      </c>
      <c r="T5" s="1">
        <v>5.5000000000000002E-5</v>
      </c>
      <c r="U5" s="1"/>
      <c r="W5">
        <v>5.0999999999999997E-2</v>
      </c>
      <c r="X5">
        <v>5.3999999999999999E-2</v>
      </c>
      <c r="Y5">
        <v>5.8000000000000003E-2</v>
      </c>
      <c r="Z5">
        <v>5.5E-2</v>
      </c>
      <c r="AA5">
        <v>5.5E-2</v>
      </c>
      <c r="AD5">
        <v>0.05</v>
      </c>
      <c r="AE5">
        <v>4.9000000000000002E-2</v>
      </c>
      <c r="AF5">
        <v>0.05</v>
      </c>
      <c r="AG5">
        <v>4.9000000000000002E-2</v>
      </c>
      <c r="AH5">
        <v>0.05</v>
      </c>
      <c r="AK5">
        <v>6.7000000000000004E-2</v>
      </c>
      <c r="AL5">
        <v>5.3999999999999999E-2</v>
      </c>
      <c r="AM5">
        <v>0.19600000000000001</v>
      </c>
      <c r="AN5">
        <v>5.8999999999999997E-2</v>
      </c>
      <c r="AO5">
        <v>6.5000000000000002E-2</v>
      </c>
    </row>
    <row r="6" spans="1:44" hidden="1">
      <c r="A6">
        <v>4</v>
      </c>
      <c r="B6">
        <v>5.8000000000000003E-2</v>
      </c>
      <c r="C6" s="1">
        <v>5.8999999999999998E-5</v>
      </c>
      <c r="D6">
        <v>1.5300000000000001E-4</v>
      </c>
      <c r="E6" s="1">
        <v>5.5000000000000002E-5</v>
      </c>
      <c r="F6" s="1">
        <v>5.5000000000000002E-5</v>
      </c>
      <c r="I6">
        <v>5.7000000000000002E-2</v>
      </c>
      <c r="J6" s="1">
        <v>5.8999999999999998E-5</v>
      </c>
      <c r="K6" s="1">
        <v>5.5000000000000002E-5</v>
      </c>
      <c r="L6" s="1">
        <v>5.5000000000000002E-5</v>
      </c>
      <c r="M6" s="1">
        <v>5.3999999999999998E-5</v>
      </c>
      <c r="P6">
        <v>5.7000000000000002E-2</v>
      </c>
      <c r="Q6">
        <v>1.8200000000000001E-4</v>
      </c>
      <c r="R6" s="1">
        <v>8.2000000000000001E-5</v>
      </c>
      <c r="S6" s="1">
        <v>6.0999999999999999E-5</v>
      </c>
      <c r="T6" s="1">
        <v>5.3999999999999998E-5</v>
      </c>
      <c r="U6" s="1"/>
      <c r="W6">
        <v>5.6000000000000001E-2</v>
      </c>
      <c r="X6">
        <v>5.8000000000000003E-2</v>
      </c>
      <c r="Y6">
        <v>5.6000000000000001E-2</v>
      </c>
      <c r="Z6">
        <v>5.3999999999999999E-2</v>
      </c>
      <c r="AA6">
        <v>5.5E-2</v>
      </c>
      <c r="AD6">
        <v>5.0999999999999997E-2</v>
      </c>
      <c r="AE6">
        <v>5.6000000000000001E-2</v>
      </c>
      <c r="AF6">
        <v>5.0999999999999997E-2</v>
      </c>
      <c r="AG6">
        <v>4.9000000000000002E-2</v>
      </c>
      <c r="AH6">
        <v>0.05</v>
      </c>
      <c r="AK6">
        <v>0.123</v>
      </c>
      <c r="AL6">
        <v>5.1999999999999998E-2</v>
      </c>
      <c r="AM6">
        <v>5.7000000000000002E-2</v>
      </c>
      <c r="AN6">
        <v>5.1999999999999998E-2</v>
      </c>
      <c r="AO6">
        <v>5.5E-2</v>
      </c>
    </row>
    <row r="7" spans="1:44" hidden="1">
      <c r="A7">
        <v>5</v>
      </c>
      <c r="B7">
        <v>5.8000000000000003E-2</v>
      </c>
      <c r="C7" s="1">
        <v>5.7000000000000003E-5</v>
      </c>
      <c r="D7" s="1">
        <v>5.5000000000000002E-5</v>
      </c>
      <c r="E7" s="1">
        <v>5.5999999999999999E-5</v>
      </c>
      <c r="F7" s="1">
        <v>5.3999999999999998E-5</v>
      </c>
      <c r="I7">
        <v>5.6000000000000001E-2</v>
      </c>
      <c r="J7" s="1">
        <v>5.7000000000000003E-5</v>
      </c>
      <c r="K7" s="1">
        <v>5.3999999999999998E-5</v>
      </c>
      <c r="L7" s="1">
        <v>5.5000000000000002E-5</v>
      </c>
      <c r="M7" s="1">
        <v>5.3999999999999998E-5</v>
      </c>
      <c r="P7">
        <v>6.4000000000000001E-2</v>
      </c>
      <c r="Q7" s="1">
        <v>6.2000000000000003E-5</v>
      </c>
      <c r="R7" s="1">
        <v>5.5999999999999999E-5</v>
      </c>
      <c r="S7" s="1">
        <v>5.8999999999999998E-5</v>
      </c>
      <c r="T7" s="1">
        <v>5.8999999999999998E-5</v>
      </c>
      <c r="U7" s="1"/>
      <c r="W7">
        <v>0.05</v>
      </c>
      <c r="X7">
        <v>0.109</v>
      </c>
      <c r="Y7">
        <v>9.4E-2</v>
      </c>
      <c r="Z7">
        <v>5.8000000000000003E-2</v>
      </c>
      <c r="AA7">
        <v>5.7000000000000002E-2</v>
      </c>
      <c r="AD7">
        <v>5.0999999999999997E-2</v>
      </c>
      <c r="AE7">
        <v>4.9000000000000002E-2</v>
      </c>
      <c r="AF7">
        <v>4.9000000000000002E-2</v>
      </c>
      <c r="AG7">
        <v>5.0999999999999997E-2</v>
      </c>
      <c r="AH7">
        <v>5.0999999999999997E-2</v>
      </c>
      <c r="AK7">
        <v>5.6000000000000001E-2</v>
      </c>
      <c r="AL7">
        <v>0.05</v>
      </c>
      <c r="AM7">
        <v>5.6000000000000001E-2</v>
      </c>
      <c r="AN7">
        <v>5.3999999999999999E-2</v>
      </c>
      <c r="AO7">
        <v>5.8000000000000003E-2</v>
      </c>
    </row>
    <row r="8" spans="1:44" hidden="1">
      <c r="A8">
        <v>6</v>
      </c>
      <c r="B8">
        <v>5.8000000000000003E-2</v>
      </c>
      <c r="C8">
        <v>1.4100000000000001E-4</v>
      </c>
      <c r="D8" s="1">
        <v>6.2000000000000003E-5</v>
      </c>
      <c r="E8" s="1">
        <v>6.0999999999999999E-5</v>
      </c>
      <c r="F8" s="1">
        <v>5.8999999999999998E-5</v>
      </c>
      <c r="I8">
        <v>5.8000000000000003E-2</v>
      </c>
      <c r="J8" s="1">
        <v>5.7000000000000003E-5</v>
      </c>
      <c r="K8" s="1">
        <v>5.5000000000000002E-5</v>
      </c>
      <c r="L8" s="1">
        <v>5.3999999999999998E-5</v>
      </c>
      <c r="M8" s="1">
        <v>5.3999999999999998E-5</v>
      </c>
      <c r="P8">
        <v>5.8999999999999997E-2</v>
      </c>
      <c r="Q8">
        <v>1.66E-4</v>
      </c>
      <c r="R8" s="1">
        <v>5.8E-5</v>
      </c>
      <c r="S8" s="1">
        <v>5.5999999999999999E-5</v>
      </c>
      <c r="T8" s="1">
        <v>5.3999999999999998E-5</v>
      </c>
      <c r="U8" s="1"/>
      <c r="W8">
        <v>5.7000000000000002E-2</v>
      </c>
      <c r="X8">
        <v>5.5E-2</v>
      </c>
      <c r="Y8">
        <v>5.6000000000000001E-2</v>
      </c>
      <c r="Z8">
        <v>5.6000000000000001E-2</v>
      </c>
      <c r="AA8">
        <v>5.6000000000000001E-2</v>
      </c>
      <c r="AD8">
        <v>5.1999999999999998E-2</v>
      </c>
      <c r="AE8">
        <v>5.0999999999999997E-2</v>
      </c>
      <c r="AF8">
        <v>4.9000000000000002E-2</v>
      </c>
      <c r="AG8">
        <v>4.9000000000000002E-2</v>
      </c>
      <c r="AH8">
        <v>5.5E-2</v>
      </c>
      <c r="AK8">
        <v>5.7000000000000002E-2</v>
      </c>
      <c r="AL8">
        <v>0.13700000000000001</v>
      </c>
      <c r="AM8">
        <v>5.0999999999999997E-2</v>
      </c>
      <c r="AN8">
        <v>0.05</v>
      </c>
      <c r="AO8">
        <v>5.0999999999999997E-2</v>
      </c>
    </row>
    <row r="9" spans="1:44" hidden="1">
      <c r="A9">
        <v>7</v>
      </c>
      <c r="B9">
        <v>6.4000000000000001E-2</v>
      </c>
      <c r="C9" s="1">
        <v>6.3E-5</v>
      </c>
      <c r="D9" s="1">
        <v>6.0000000000000002E-5</v>
      </c>
      <c r="E9">
        <v>1.4799999999999999E-4</v>
      </c>
      <c r="F9">
        <v>2.2800000000000001E-4</v>
      </c>
      <c r="I9">
        <v>5.6000000000000001E-2</v>
      </c>
      <c r="J9" s="1">
        <v>5.5999999999999999E-5</v>
      </c>
      <c r="K9" s="1">
        <v>8.1000000000000004E-5</v>
      </c>
      <c r="L9" s="1">
        <v>5.5999999999999999E-5</v>
      </c>
      <c r="M9">
        <v>1.8599999999999999E-4</v>
      </c>
      <c r="P9">
        <v>5.8999999999999997E-2</v>
      </c>
      <c r="Q9" s="1">
        <v>5.7000000000000003E-5</v>
      </c>
      <c r="R9" s="1">
        <v>5.5000000000000002E-5</v>
      </c>
      <c r="S9">
        <v>1.5799999999999999E-4</v>
      </c>
      <c r="T9" s="1">
        <v>5.5000000000000002E-5</v>
      </c>
      <c r="U9" s="1"/>
      <c r="W9">
        <v>5.6000000000000001E-2</v>
      </c>
      <c r="X9">
        <v>5.5E-2</v>
      </c>
      <c r="Y9">
        <v>5.5E-2</v>
      </c>
      <c r="Z9">
        <v>5.7000000000000002E-2</v>
      </c>
      <c r="AA9">
        <v>5.5E-2</v>
      </c>
      <c r="AD9">
        <v>5.6000000000000001E-2</v>
      </c>
      <c r="AE9">
        <v>5.5E-2</v>
      </c>
      <c r="AF9">
        <v>5.5E-2</v>
      </c>
      <c r="AG9">
        <v>5.3999999999999999E-2</v>
      </c>
      <c r="AH9">
        <v>5.3999999999999999E-2</v>
      </c>
      <c r="AK9">
        <v>5.0999999999999997E-2</v>
      </c>
      <c r="AL9">
        <v>4.9000000000000002E-2</v>
      </c>
      <c r="AM9">
        <v>5.5E-2</v>
      </c>
      <c r="AN9">
        <v>5.0999999999999997E-2</v>
      </c>
      <c r="AO9">
        <v>5.0999999999999997E-2</v>
      </c>
    </row>
    <row r="10" spans="1:44" hidden="1">
      <c r="A10">
        <v>8</v>
      </c>
      <c r="B10">
        <v>6.2E-2</v>
      </c>
      <c r="C10" s="1">
        <v>5.8E-5</v>
      </c>
      <c r="D10" s="1">
        <v>7.2999999999999999E-5</v>
      </c>
      <c r="E10" s="1">
        <v>5.5999999999999999E-5</v>
      </c>
      <c r="F10" s="1">
        <v>5.5000000000000002E-5</v>
      </c>
      <c r="I10">
        <v>0.38500000000000001</v>
      </c>
      <c r="J10" s="1">
        <v>6.4999999999999994E-5</v>
      </c>
      <c r="K10" s="1">
        <v>6.0999999999999999E-5</v>
      </c>
      <c r="L10" s="1">
        <v>6.0999999999999999E-5</v>
      </c>
      <c r="M10" s="1">
        <v>5.8999999999999998E-5</v>
      </c>
      <c r="P10">
        <v>5.8000000000000003E-2</v>
      </c>
      <c r="Q10" s="1">
        <v>5.8999999999999998E-5</v>
      </c>
      <c r="R10" s="1">
        <v>5.5000000000000002E-5</v>
      </c>
      <c r="S10" s="1">
        <v>5.5000000000000002E-5</v>
      </c>
      <c r="T10" s="1">
        <v>6.2000000000000003E-5</v>
      </c>
      <c r="U10" s="1"/>
      <c r="W10">
        <v>5.5E-2</v>
      </c>
      <c r="X10">
        <v>4.9000000000000002E-2</v>
      </c>
      <c r="Y10">
        <v>0.19</v>
      </c>
      <c r="Z10">
        <v>5.5E-2</v>
      </c>
      <c r="AA10">
        <v>8.3000000000000004E-2</v>
      </c>
      <c r="AD10">
        <v>5.6000000000000001E-2</v>
      </c>
      <c r="AE10">
        <v>5.2999999999999999E-2</v>
      </c>
      <c r="AF10">
        <v>0.08</v>
      </c>
      <c r="AG10">
        <v>0.05</v>
      </c>
      <c r="AH10">
        <v>0.05</v>
      </c>
      <c r="AK10">
        <v>7.4630000000000001</v>
      </c>
      <c r="AL10">
        <v>0.68700000000000006</v>
      </c>
      <c r="AM10">
        <v>6.6920000000000002</v>
      </c>
      <c r="AN10">
        <v>9.7000000000000003E-2</v>
      </c>
      <c r="AO10">
        <v>0.104</v>
      </c>
    </row>
    <row r="11" spans="1:44" hidden="1">
      <c r="A11">
        <v>9</v>
      </c>
      <c r="B11">
        <v>5.8000000000000003E-2</v>
      </c>
      <c r="C11" s="1">
        <v>5.7000000000000003E-5</v>
      </c>
      <c r="D11" s="1">
        <v>5.5999999999999999E-5</v>
      </c>
      <c r="E11" s="1">
        <v>5.3999999999999998E-5</v>
      </c>
      <c r="F11" s="1">
        <v>5.3999999999999998E-5</v>
      </c>
      <c r="I11">
        <v>6.2E-2</v>
      </c>
      <c r="J11" s="1">
        <v>6.4999999999999994E-5</v>
      </c>
      <c r="K11">
        <v>1.4829999999999999E-3</v>
      </c>
      <c r="L11" s="1">
        <v>5.7000000000000003E-5</v>
      </c>
      <c r="M11" s="1">
        <v>5.5999999999999999E-5</v>
      </c>
      <c r="P11">
        <v>0.06</v>
      </c>
      <c r="Q11" s="1">
        <v>6.3E-5</v>
      </c>
      <c r="R11">
        <v>1.2899999999999999E-4</v>
      </c>
      <c r="S11" s="1">
        <v>6.0000000000000002E-5</v>
      </c>
      <c r="T11" s="1">
        <v>6.0000000000000002E-5</v>
      </c>
      <c r="U11" s="1"/>
      <c r="W11">
        <v>5.7000000000000002E-2</v>
      </c>
      <c r="X11">
        <v>5.3999999999999999E-2</v>
      </c>
      <c r="Y11">
        <v>5.0999999999999997E-2</v>
      </c>
      <c r="Z11">
        <v>5.0999999999999997E-2</v>
      </c>
      <c r="AA11">
        <v>8.8089999999999993</v>
      </c>
      <c r="AD11">
        <v>8.3770000000000007</v>
      </c>
      <c r="AE11">
        <v>0.41299999999999998</v>
      </c>
      <c r="AF11">
        <v>5.6000000000000001E-2</v>
      </c>
      <c r="AG11">
        <v>5.6000000000000001E-2</v>
      </c>
      <c r="AH11">
        <v>5.3999999999999999E-2</v>
      </c>
      <c r="AK11">
        <v>0.105</v>
      </c>
      <c r="AL11">
        <v>9.2999999999999999E-2</v>
      </c>
      <c r="AM11">
        <v>9.5000000000000001E-2</v>
      </c>
      <c r="AN11">
        <v>0.10100000000000001</v>
      </c>
      <c r="AO11">
        <v>9.5000000000000001E-2</v>
      </c>
    </row>
    <row r="12" spans="1:44" hidden="1">
      <c r="A12">
        <v>10</v>
      </c>
      <c r="B12">
        <v>5.8000000000000003E-2</v>
      </c>
      <c r="C12">
        <v>6.0800000000000003E-4</v>
      </c>
      <c r="D12" s="1">
        <v>6.0999999999999999E-5</v>
      </c>
      <c r="E12" s="1">
        <v>5.7000000000000003E-5</v>
      </c>
      <c r="F12" s="1">
        <v>5.5000000000000002E-5</v>
      </c>
      <c r="I12">
        <v>5.7000000000000002E-2</v>
      </c>
      <c r="J12" s="1">
        <v>5.5999999999999999E-5</v>
      </c>
      <c r="K12" s="1">
        <v>5.3999999999999998E-5</v>
      </c>
      <c r="L12" s="1">
        <v>5.5999999999999999E-5</v>
      </c>
      <c r="M12" s="1">
        <v>5.3000000000000001E-5</v>
      </c>
      <c r="P12">
        <v>6.2E-2</v>
      </c>
      <c r="Q12" s="1">
        <v>6.3E-5</v>
      </c>
      <c r="R12" s="1">
        <v>6.0000000000000002E-5</v>
      </c>
      <c r="S12" s="1">
        <v>5.5000000000000002E-5</v>
      </c>
      <c r="T12" s="1">
        <v>5.3999999999999998E-5</v>
      </c>
      <c r="U12" s="1"/>
      <c r="W12">
        <v>0.39</v>
      </c>
      <c r="X12">
        <v>5.1999999999999998E-2</v>
      </c>
      <c r="Y12">
        <v>0.1</v>
      </c>
      <c r="Z12">
        <v>5.2999999999999999E-2</v>
      </c>
      <c r="AA12">
        <v>0.05</v>
      </c>
      <c r="AD12">
        <v>0.05</v>
      </c>
      <c r="AE12">
        <v>0.17100000000000001</v>
      </c>
      <c r="AF12">
        <v>0.08</v>
      </c>
      <c r="AG12">
        <v>5.7000000000000002E-2</v>
      </c>
      <c r="AH12">
        <v>0.05</v>
      </c>
      <c r="AK12">
        <v>9.4E-2</v>
      </c>
      <c r="AL12">
        <v>8.1000000000000003E-2</v>
      </c>
      <c r="AM12">
        <v>8.2000000000000003E-2</v>
      </c>
      <c r="AN12">
        <v>8.1000000000000003E-2</v>
      </c>
      <c r="AO12">
        <v>8.3000000000000004E-2</v>
      </c>
    </row>
    <row r="13" spans="1:44" hidden="1">
      <c r="A13">
        <v>11</v>
      </c>
      <c r="B13">
        <v>5.8000000000000003E-2</v>
      </c>
      <c r="C13" s="1">
        <v>5.8E-5</v>
      </c>
      <c r="D13" s="1">
        <v>5.3999999999999998E-5</v>
      </c>
      <c r="E13" s="1">
        <v>5.5000000000000002E-5</v>
      </c>
      <c r="F13" s="1">
        <v>5.5000000000000002E-5</v>
      </c>
      <c r="I13">
        <v>5.5E-2</v>
      </c>
      <c r="J13" s="1">
        <v>5.7000000000000003E-5</v>
      </c>
      <c r="K13" s="1">
        <v>5.3999999999999998E-5</v>
      </c>
      <c r="L13" s="1">
        <v>5.3999999999999998E-5</v>
      </c>
      <c r="M13" s="1">
        <v>5.3999999999999998E-5</v>
      </c>
      <c r="P13">
        <v>5.8999999999999997E-2</v>
      </c>
      <c r="Q13">
        <v>9.3390000000000001E-3</v>
      </c>
      <c r="R13">
        <v>9.7499999999999996E-4</v>
      </c>
      <c r="S13" s="1">
        <v>8.8999999999999995E-5</v>
      </c>
      <c r="T13" s="1">
        <v>6.0999999999999999E-5</v>
      </c>
      <c r="U13" s="1"/>
      <c r="W13">
        <v>5.5E-2</v>
      </c>
      <c r="X13">
        <v>4.9000000000000002E-2</v>
      </c>
      <c r="Y13">
        <v>5.2999999999999999E-2</v>
      </c>
      <c r="Z13">
        <v>5.7000000000000002E-2</v>
      </c>
      <c r="AA13">
        <v>5.6000000000000001E-2</v>
      </c>
      <c r="AD13">
        <v>5.0999999999999997E-2</v>
      </c>
      <c r="AE13">
        <v>4.9000000000000002E-2</v>
      </c>
      <c r="AF13">
        <v>0.05</v>
      </c>
      <c r="AG13">
        <v>0.05</v>
      </c>
      <c r="AH13">
        <v>5.3999999999999999E-2</v>
      </c>
      <c r="AK13">
        <v>8.4000000000000005E-2</v>
      </c>
      <c r="AL13">
        <v>8.1000000000000003E-2</v>
      </c>
      <c r="AM13">
        <v>8.8999999999999996E-2</v>
      </c>
      <c r="AN13">
        <v>7.9000000000000001E-2</v>
      </c>
      <c r="AO13">
        <v>7.1999999999999995E-2</v>
      </c>
    </row>
    <row r="14" spans="1:44" hidden="1">
      <c r="A14">
        <v>12</v>
      </c>
      <c r="B14">
        <v>5.7000000000000002E-2</v>
      </c>
      <c r="C14" s="1">
        <v>5.7000000000000003E-5</v>
      </c>
      <c r="D14" s="1">
        <v>5.5999999999999999E-5</v>
      </c>
      <c r="E14" s="1">
        <v>5.5999999999999999E-5</v>
      </c>
      <c r="F14">
        <v>1.4899999999999999E-4</v>
      </c>
      <c r="I14">
        <v>5.8000000000000003E-2</v>
      </c>
      <c r="J14" s="1">
        <v>5.7000000000000003E-5</v>
      </c>
      <c r="K14" s="1">
        <v>5.5000000000000002E-5</v>
      </c>
      <c r="L14" s="1">
        <v>5.3999999999999998E-5</v>
      </c>
      <c r="M14" s="1">
        <v>5.5000000000000002E-5</v>
      </c>
      <c r="P14">
        <v>6.2E-2</v>
      </c>
      <c r="Q14" s="1">
        <v>6.3999999999999997E-5</v>
      </c>
      <c r="R14" s="1">
        <v>5.3999999999999998E-5</v>
      </c>
      <c r="S14" s="1">
        <v>5.5999999999999999E-5</v>
      </c>
      <c r="T14">
        <v>1.07E-4</v>
      </c>
      <c r="W14">
        <v>0.182</v>
      </c>
      <c r="X14">
        <v>5.7000000000000002E-2</v>
      </c>
      <c r="Y14">
        <v>5.5E-2</v>
      </c>
      <c r="Z14">
        <v>5.5E-2</v>
      </c>
      <c r="AA14">
        <v>6.0999999999999999E-2</v>
      </c>
      <c r="AD14">
        <v>5.0999999999999997E-2</v>
      </c>
      <c r="AE14">
        <v>0.16300000000000001</v>
      </c>
      <c r="AF14">
        <v>9.4E-2</v>
      </c>
      <c r="AG14">
        <v>5.2999999999999999E-2</v>
      </c>
      <c r="AH14">
        <v>5.1999999999999998E-2</v>
      </c>
      <c r="AK14">
        <v>7.6</v>
      </c>
      <c r="AL14">
        <v>0.14099999999999999</v>
      </c>
      <c r="AM14">
        <v>7.9000000000000001E-2</v>
      </c>
      <c r="AN14">
        <v>0.08</v>
      </c>
      <c r="AO14">
        <v>7.6999999999999999E-2</v>
      </c>
    </row>
    <row r="15" spans="1:44" hidden="1">
      <c r="A15">
        <v>13</v>
      </c>
      <c r="B15">
        <v>5.8000000000000003E-2</v>
      </c>
      <c r="C15" s="1">
        <v>5.8999999999999998E-5</v>
      </c>
      <c r="D15" s="1">
        <v>5.5000000000000002E-5</v>
      </c>
      <c r="E15" s="1">
        <v>5.5000000000000002E-5</v>
      </c>
      <c r="F15" s="1">
        <v>5.5000000000000002E-5</v>
      </c>
      <c r="I15">
        <v>9.6959999999999997</v>
      </c>
      <c r="J15">
        <v>3.6200000000000002E-4</v>
      </c>
      <c r="K15">
        <v>1.17E-4</v>
      </c>
      <c r="L15">
        <v>1.17E-4</v>
      </c>
      <c r="M15" s="1">
        <v>9.0000000000000006E-5</v>
      </c>
      <c r="P15">
        <v>7.9000000000000001E-2</v>
      </c>
      <c r="Q15" s="1">
        <v>5.8E-5</v>
      </c>
      <c r="R15" s="1">
        <v>5.5000000000000002E-5</v>
      </c>
      <c r="S15" s="1">
        <v>5.5000000000000002E-5</v>
      </c>
      <c r="T15" s="1">
        <v>5.5000000000000002E-5</v>
      </c>
      <c r="U15" s="1"/>
      <c r="W15">
        <v>7.3999999999999996E-2</v>
      </c>
      <c r="X15">
        <v>5.0999999999999997E-2</v>
      </c>
      <c r="Y15">
        <v>5.5E-2</v>
      </c>
      <c r="Z15">
        <v>5.7000000000000002E-2</v>
      </c>
      <c r="AA15">
        <v>5.0999999999999997E-2</v>
      </c>
      <c r="AD15">
        <v>5.1999999999999998E-2</v>
      </c>
      <c r="AE15">
        <v>5.3999999999999999E-2</v>
      </c>
      <c r="AF15">
        <v>5.0999999999999997E-2</v>
      </c>
      <c r="AG15">
        <v>0.05</v>
      </c>
      <c r="AH15">
        <v>5.0999999999999997E-2</v>
      </c>
      <c r="AK15">
        <v>7.9000000000000001E-2</v>
      </c>
      <c r="AL15">
        <v>7.8E-2</v>
      </c>
      <c r="AM15">
        <v>7.3999999999999996E-2</v>
      </c>
      <c r="AN15">
        <v>0.108</v>
      </c>
      <c r="AO15">
        <v>7.3999999999999996E-2</v>
      </c>
    </row>
    <row r="16" spans="1:44" hidden="1">
      <c r="A16">
        <v>14</v>
      </c>
      <c r="B16">
        <v>0.10100000000000001</v>
      </c>
      <c r="C16" s="1">
        <v>5.8E-5</v>
      </c>
      <c r="D16">
        <v>1.1805E-2</v>
      </c>
      <c r="E16" s="1">
        <v>7.2000000000000002E-5</v>
      </c>
      <c r="F16" s="1">
        <v>5.5999999999999999E-5</v>
      </c>
      <c r="I16">
        <v>9.2999999999999999E-2</v>
      </c>
      <c r="J16" s="1">
        <v>9.2E-5</v>
      </c>
      <c r="K16" s="1">
        <v>9.0000000000000006E-5</v>
      </c>
      <c r="L16" s="1">
        <v>9.3999999999999994E-5</v>
      </c>
      <c r="M16" s="1">
        <v>9.1000000000000003E-5</v>
      </c>
      <c r="P16">
        <v>5.8000000000000003E-2</v>
      </c>
      <c r="Q16" s="1">
        <v>5.8E-5</v>
      </c>
      <c r="R16" s="1">
        <v>5.5000000000000002E-5</v>
      </c>
      <c r="S16" s="1">
        <v>5.5999999999999999E-5</v>
      </c>
      <c r="T16" s="1">
        <v>5.8E-5</v>
      </c>
      <c r="U16" s="1"/>
      <c r="W16">
        <v>5.6000000000000001E-2</v>
      </c>
      <c r="X16">
        <v>0.05</v>
      </c>
      <c r="Y16">
        <v>5.3999999999999999E-2</v>
      </c>
      <c r="Z16">
        <v>5.7000000000000002E-2</v>
      </c>
      <c r="AA16">
        <v>0.14499999999999999</v>
      </c>
      <c r="AD16">
        <v>5.6000000000000001E-2</v>
      </c>
      <c r="AE16">
        <v>5.2999999999999999E-2</v>
      </c>
      <c r="AF16">
        <v>5.6000000000000001E-2</v>
      </c>
      <c r="AG16">
        <v>5.5E-2</v>
      </c>
      <c r="AH16">
        <v>5.5E-2</v>
      </c>
      <c r="AK16">
        <v>8.3000000000000004E-2</v>
      </c>
      <c r="AL16">
        <v>7.5999999999999998E-2</v>
      </c>
      <c r="AM16">
        <v>7.9000000000000001E-2</v>
      </c>
      <c r="AN16">
        <v>7.1999999999999995E-2</v>
      </c>
      <c r="AO16">
        <v>7.6999999999999999E-2</v>
      </c>
    </row>
    <row r="17" spans="1:41" hidden="1">
      <c r="A17">
        <v>15</v>
      </c>
      <c r="B17">
        <v>5.8000000000000003E-2</v>
      </c>
      <c r="C17" s="1">
        <v>7.3999999999999996E-5</v>
      </c>
      <c r="D17" s="1">
        <v>6.8999999999999997E-5</v>
      </c>
      <c r="E17">
        <v>1.02E-4</v>
      </c>
      <c r="F17">
        <v>2.0599999999999999E-4</v>
      </c>
      <c r="I17">
        <v>0.11</v>
      </c>
      <c r="J17">
        <v>1.06E-4</v>
      </c>
      <c r="K17">
        <v>1.1E-4</v>
      </c>
      <c r="L17" s="1">
        <v>8.3999999999999995E-5</v>
      </c>
      <c r="M17" s="1">
        <v>7.8999999999999996E-5</v>
      </c>
      <c r="P17">
        <v>5.8000000000000003E-2</v>
      </c>
      <c r="Q17" s="1">
        <v>5.7000000000000003E-5</v>
      </c>
      <c r="R17" s="1">
        <v>5.5000000000000002E-5</v>
      </c>
      <c r="S17" s="1">
        <v>5.5000000000000002E-5</v>
      </c>
      <c r="T17" s="1">
        <v>5.5000000000000002E-5</v>
      </c>
      <c r="U17" s="1"/>
      <c r="W17">
        <v>5.6000000000000001E-2</v>
      </c>
      <c r="X17">
        <v>4.9000000000000002E-2</v>
      </c>
      <c r="Y17">
        <v>5.7000000000000002E-2</v>
      </c>
      <c r="Z17">
        <v>0.05</v>
      </c>
      <c r="AA17">
        <v>5.0999999999999997E-2</v>
      </c>
      <c r="AD17">
        <v>5.0999999999999997E-2</v>
      </c>
      <c r="AE17">
        <v>0.05</v>
      </c>
      <c r="AF17">
        <v>0.05</v>
      </c>
      <c r="AG17">
        <v>0.05</v>
      </c>
      <c r="AH17">
        <v>5.1999999999999998E-2</v>
      </c>
      <c r="AK17">
        <v>0.20499999999999999</v>
      </c>
      <c r="AL17">
        <v>7.2999999999999995E-2</v>
      </c>
      <c r="AM17">
        <v>7.9000000000000001E-2</v>
      </c>
      <c r="AN17">
        <v>7.2999999999999995E-2</v>
      </c>
      <c r="AO17">
        <v>7.8E-2</v>
      </c>
    </row>
    <row r="18" spans="1:41" hidden="1">
      <c r="A18">
        <v>16</v>
      </c>
      <c r="B18">
        <v>0.128</v>
      </c>
      <c r="C18">
        <v>1.44E-4</v>
      </c>
      <c r="D18" s="1">
        <v>5.8E-5</v>
      </c>
      <c r="E18" s="1">
        <v>5.5000000000000002E-5</v>
      </c>
      <c r="F18" s="1">
        <v>5.5999999999999999E-5</v>
      </c>
      <c r="I18">
        <v>8.3000000000000004E-2</v>
      </c>
      <c r="J18" s="1">
        <v>8.2000000000000001E-5</v>
      </c>
      <c r="K18">
        <v>3.3300000000000002E-4</v>
      </c>
      <c r="L18">
        <v>1.4899999999999999E-4</v>
      </c>
      <c r="M18" s="1">
        <v>8.0000000000000007E-5</v>
      </c>
      <c r="P18">
        <v>5.7000000000000002E-2</v>
      </c>
      <c r="Q18" s="1">
        <v>5.8999999999999998E-5</v>
      </c>
      <c r="R18">
        <v>1.2999999999999999E-4</v>
      </c>
      <c r="S18" s="1">
        <v>5.5000000000000002E-5</v>
      </c>
      <c r="T18" s="1">
        <v>5.3999999999999998E-5</v>
      </c>
      <c r="U18" s="1"/>
      <c r="W18">
        <v>5.1999999999999998E-2</v>
      </c>
      <c r="X18">
        <v>5.1999999999999998E-2</v>
      </c>
      <c r="Y18">
        <v>5.0999999999999997E-2</v>
      </c>
      <c r="Z18">
        <v>0.108</v>
      </c>
      <c r="AA18">
        <v>5.0999999999999997E-2</v>
      </c>
      <c r="AD18">
        <v>5.5E-2</v>
      </c>
      <c r="AE18">
        <v>5.3999999999999999E-2</v>
      </c>
      <c r="AF18">
        <v>5.5E-2</v>
      </c>
      <c r="AG18">
        <v>5.3999999999999999E-2</v>
      </c>
      <c r="AH18">
        <v>5.5E-2</v>
      </c>
      <c r="AK18">
        <v>7.4999999999999997E-2</v>
      </c>
      <c r="AL18">
        <v>7.6999999999999999E-2</v>
      </c>
      <c r="AM18">
        <v>7.1999999999999995E-2</v>
      </c>
      <c r="AN18">
        <v>0.08</v>
      </c>
      <c r="AO18">
        <v>7.5999999999999998E-2</v>
      </c>
    </row>
    <row r="19" spans="1:41" hidden="1">
      <c r="A19">
        <v>17</v>
      </c>
      <c r="B19">
        <v>5.7000000000000002E-2</v>
      </c>
      <c r="C19" s="1">
        <v>5.7000000000000003E-5</v>
      </c>
      <c r="D19" s="1">
        <v>5.5000000000000002E-5</v>
      </c>
      <c r="E19" s="1">
        <v>5.5000000000000002E-5</v>
      </c>
      <c r="F19">
        <v>1.4200000000000001E-4</v>
      </c>
      <c r="I19">
        <v>8.3000000000000004E-2</v>
      </c>
      <c r="J19" s="1">
        <v>8.2000000000000001E-5</v>
      </c>
      <c r="K19" s="1">
        <v>8.2000000000000001E-5</v>
      </c>
      <c r="L19" s="1">
        <v>7.7999999999999999E-5</v>
      </c>
      <c r="M19" s="1">
        <v>7.7999999999999999E-5</v>
      </c>
      <c r="P19">
        <v>5.6000000000000001E-2</v>
      </c>
      <c r="Q19" s="1">
        <v>5.7000000000000003E-5</v>
      </c>
      <c r="R19" s="1">
        <v>5.5000000000000002E-5</v>
      </c>
      <c r="S19" s="1">
        <v>5.5000000000000002E-5</v>
      </c>
      <c r="T19" s="1">
        <v>5.3999999999999998E-5</v>
      </c>
      <c r="U19" s="1"/>
      <c r="W19">
        <v>5.1999999999999998E-2</v>
      </c>
      <c r="X19">
        <v>6.4240000000000004</v>
      </c>
      <c r="Y19">
        <v>0.81299999999999994</v>
      </c>
      <c r="Z19">
        <v>5.3999999999999999E-2</v>
      </c>
      <c r="AA19">
        <v>5.1999999999999998E-2</v>
      </c>
      <c r="AD19">
        <v>5.6000000000000001E-2</v>
      </c>
      <c r="AE19">
        <v>5.2999999999999999E-2</v>
      </c>
      <c r="AF19">
        <v>0.05</v>
      </c>
      <c r="AG19">
        <v>5.0999999999999997E-2</v>
      </c>
      <c r="AH19">
        <v>0.05</v>
      </c>
      <c r="AK19">
        <v>8.3000000000000004E-2</v>
      </c>
      <c r="AL19">
        <v>7.6999999999999999E-2</v>
      </c>
      <c r="AM19">
        <v>8.5000000000000006E-2</v>
      </c>
      <c r="AN19">
        <v>8.5999999999999993E-2</v>
      </c>
      <c r="AO19">
        <v>8.3000000000000004E-2</v>
      </c>
    </row>
    <row r="20" spans="1:41" hidden="1">
      <c r="A20">
        <v>18</v>
      </c>
      <c r="B20">
        <v>0.129</v>
      </c>
      <c r="C20" s="1">
        <v>5.8999999999999998E-5</v>
      </c>
      <c r="D20">
        <v>5.1400000000000003E-4</v>
      </c>
      <c r="E20">
        <v>1.3969000000000001E-2</v>
      </c>
      <c r="F20">
        <v>1.7649000000000001E-2</v>
      </c>
      <c r="I20">
        <v>8.3000000000000004E-2</v>
      </c>
      <c r="J20">
        <v>2.0699999999999999E-4</v>
      </c>
      <c r="K20" s="1">
        <v>7.8999999999999996E-5</v>
      </c>
      <c r="L20" s="1">
        <v>7.7999999999999999E-5</v>
      </c>
      <c r="M20" s="1">
        <v>7.7999999999999999E-5</v>
      </c>
      <c r="P20">
        <v>5.8000000000000003E-2</v>
      </c>
      <c r="Q20" s="1">
        <v>5.8E-5</v>
      </c>
      <c r="R20" s="1">
        <v>5.5000000000000002E-5</v>
      </c>
      <c r="S20" s="1">
        <v>5.3999999999999998E-5</v>
      </c>
      <c r="T20" s="1">
        <v>5.3000000000000001E-5</v>
      </c>
      <c r="U20" s="1"/>
      <c r="W20">
        <v>5.1999999999999998E-2</v>
      </c>
      <c r="X20">
        <v>2.3330000000000002</v>
      </c>
      <c r="Y20">
        <v>5.6000000000000001E-2</v>
      </c>
      <c r="Z20">
        <v>5.5E-2</v>
      </c>
      <c r="AA20">
        <v>5.8000000000000003E-2</v>
      </c>
      <c r="AD20">
        <v>0.05</v>
      </c>
      <c r="AE20">
        <v>0.13200000000000001</v>
      </c>
      <c r="AF20">
        <v>5.0999999999999997E-2</v>
      </c>
      <c r="AG20">
        <v>0.05</v>
      </c>
      <c r="AH20">
        <v>0.05</v>
      </c>
      <c r="AK20">
        <v>7.2999999999999995E-2</v>
      </c>
      <c r="AL20">
        <v>7.0000000000000007E-2</v>
      </c>
      <c r="AM20">
        <v>7.3999999999999996E-2</v>
      </c>
      <c r="AN20">
        <v>1.0549999999999999</v>
      </c>
      <c r="AO20">
        <v>7.0000000000000007E-2</v>
      </c>
    </row>
    <row r="21" spans="1:41" hidden="1">
      <c r="A21">
        <v>19</v>
      </c>
      <c r="B21">
        <v>8.8999999999999996E-2</v>
      </c>
      <c r="C21" s="1">
        <v>8.5000000000000006E-5</v>
      </c>
      <c r="D21" s="1">
        <v>8.3999999999999995E-5</v>
      </c>
      <c r="E21" s="1">
        <v>8.2000000000000001E-5</v>
      </c>
      <c r="F21" s="1">
        <v>7.8999999999999996E-5</v>
      </c>
      <c r="I21">
        <v>8.5000000000000006E-2</v>
      </c>
      <c r="J21" s="1">
        <v>8.1000000000000004E-5</v>
      </c>
      <c r="K21" s="1">
        <v>7.8999999999999996E-5</v>
      </c>
      <c r="L21" s="1">
        <v>8.2000000000000001E-5</v>
      </c>
      <c r="M21" s="1">
        <v>7.7000000000000001E-5</v>
      </c>
      <c r="P21">
        <v>5.6000000000000001E-2</v>
      </c>
      <c r="Q21">
        <v>6.4710000000000002E-3</v>
      </c>
      <c r="R21">
        <v>7.6499999999999995E-4</v>
      </c>
      <c r="S21" s="1">
        <v>8.5000000000000006E-5</v>
      </c>
      <c r="T21">
        <v>2.2000000000000001E-4</v>
      </c>
      <c r="W21">
        <v>5.2999999999999999E-2</v>
      </c>
      <c r="X21">
        <v>5.8000000000000003E-2</v>
      </c>
      <c r="Y21">
        <v>5.5E-2</v>
      </c>
      <c r="Z21">
        <v>5.6000000000000001E-2</v>
      </c>
      <c r="AA21">
        <v>5.8000000000000003E-2</v>
      </c>
      <c r="AD21">
        <v>6.0999999999999999E-2</v>
      </c>
      <c r="AE21">
        <v>5.2999999999999999E-2</v>
      </c>
      <c r="AF21">
        <v>5.0999999999999997E-2</v>
      </c>
      <c r="AG21">
        <v>5.1999999999999998E-2</v>
      </c>
      <c r="AH21">
        <v>0.21199999999999999</v>
      </c>
      <c r="AK21">
        <v>7.0999999999999994E-2</v>
      </c>
      <c r="AL21">
        <v>6.8000000000000005E-2</v>
      </c>
      <c r="AM21">
        <v>6.4000000000000001E-2</v>
      </c>
      <c r="AN21">
        <v>6.4000000000000001E-2</v>
      </c>
      <c r="AO21">
        <v>6.8000000000000005E-2</v>
      </c>
    </row>
    <row r="22" spans="1:41" hidden="1">
      <c r="A22">
        <v>20</v>
      </c>
      <c r="B22">
        <v>8.3000000000000004E-2</v>
      </c>
      <c r="C22" s="1">
        <v>8.2000000000000001E-5</v>
      </c>
      <c r="D22" s="1">
        <v>8.2999999999999998E-5</v>
      </c>
      <c r="E22" s="1">
        <v>7.7999999999999999E-5</v>
      </c>
      <c r="F22">
        <v>3.2899999999999997E-4</v>
      </c>
      <c r="I22">
        <v>0.20200000000000001</v>
      </c>
      <c r="J22" s="1">
        <v>8.1000000000000004E-5</v>
      </c>
      <c r="K22">
        <v>1.078E-3</v>
      </c>
      <c r="L22" s="1">
        <v>8.8999999999999995E-5</v>
      </c>
      <c r="M22" s="1">
        <v>8.5000000000000006E-5</v>
      </c>
      <c r="P22">
        <v>6.7000000000000004E-2</v>
      </c>
      <c r="Q22">
        <v>2.317E-3</v>
      </c>
      <c r="R22" s="1">
        <v>5.5000000000000002E-5</v>
      </c>
      <c r="S22" s="1">
        <v>5.5000000000000002E-5</v>
      </c>
      <c r="T22" s="1">
        <v>5.7000000000000003E-5</v>
      </c>
      <c r="U22" s="1"/>
      <c r="W22">
        <v>5.1999999999999998E-2</v>
      </c>
      <c r="X22">
        <v>0.05</v>
      </c>
      <c r="Y22">
        <v>5.0999999999999997E-2</v>
      </c>
      <c r="Z22">
        <v>0.14299999999999999</v>
      </c>
      <c r="AA22">
        <v>5.1999999999999998E-2</v>
      </c>
      <c r="AD22">
        <v>5.5E-2</v>
      </c>
      <c r="AE22">
        <v>7.0999999999999994E-2</v>
      </c>
      <c r="AF22">
        <v>7.2999999999999995E-2</v>
      </c>
      <c r="AG22">
        <v>5.2999999999999999E-2</v>
      </c>
      <c r="AH22">
        <v>5.1999999999999998E-2</v>
      </c>
      <c r="AK22">
        <v>7.0000000000000007E-2</v>
      </c>
      <c r="AL22">
        <v>0.14599999999999999</v>
      </c>
      <c r="AM22">
        <v>0.06</v>
      </c>
      <c r="AN22">
        <v>5.8999999999999997E-2</v>
      </c>
      <c r="AO22">
        <v>5.8000000000000003E-2</v>
      </c>
    </row>
    <row r="23" spans="1:41" hidden="1">
      <c r="A23">
        <v>21</v>
      </c>
      <c r="B23">
        <v>9.1999999999999998E-2</v>
      </c>
      <c r="C23">
        <v>7.1000000000000004E-3</v>
      </c>
      <c r="D23">
        <v>1.1400000000000001E-4</v>
      </c>
      <c r="E23">
        <v>1.05E-4</v>
      </c>
      <c r="F23">
        <v>1.11E-4</v>
      </c>
      <c r="I23">
        <v>8.5999999999999993E-2</v>
      </c>
      <c r="J23" s="1">
        <v>8.2999999999999998E-5</v>
      </c>
      <c r="K23" s="1">
        <v>7.8999999999999996E-5</v>
      </c>
      <c r="L23" s="1">
        <v>8.1000000000000004E-5</v>
      </c>
      <c r="M23" s="1">
        <v>7.7999999999999999E-5</v>
      </c>
      <c r="P23">
        <v>5.7000000000000002E-2</v>
      </c>
      <c r="Q23" s="1">
        <v>5.7000000000000003E-5</v>
      </c>
      <c r="R23" s="1">
        <v>5.5000000000000002E-5</v>
      </c>
      <c r="S23" s="1">
        <v>5.3999999999999998E-5</v>
      </c>
      <c r="T23" s="1">
        <v>5.3999999999999998E-5</v>
      </c>
      <c r="U23" s="1"/>
      <c r="W23">
        <v>5.7000000000000002E-2</v>
      </c>
      <c r="X23">
        <v>0.16</v>
      </c>
      <c r="Y23">
        <v>5.2999999999999999E-2</v>
      </c>
      <c r="Z23">
        <v>5.0999999999999997E-2</v>
      </c>
      <c r="AA23">
        <v>5.1999999999999998E-2</v>
      </c>
      <c r="AD23">
        <v>0.13600000000000001</v>
      </c>
      <c r="AE23">
        <v>4.9000000000000002E-2</v>
      </c>
      <c r="AF23">
        <v>5.0999999999999997E-2</v>
      </c>
      <c r="AG23">
        <v>0.05</v>
      </c>
      <c r="AH23">
        <v>14.12</v>
      </c>
      <c r="AK23">
        <v>5.8999999999999997E-2</v>
      </c>
      <c r="AL23">
        <v>9.6859999999999999</v>
      </c>
      <c r="AM23">
        <v>0.51500000000000001</v>
      </c>
      <c r="AN23">
        <v>5.8000000000000003E-2</v>
      </c>
      <c r="AO23">
        <v>6.4000000000000001E-2</v>
      </c>
    </row>
    <row r="24" spans="1:41" hidden="1">
      <c r="A24">
        <v>22</v>
      </c>
      <c r="B24">
        <v>0.109</v>
      </c>
      <c r="C24">
        <v>1.0900000000000001E-4</v>
      </c>
      <c r="D24">
        <v>1.1E-4</v>
      </c>
      <c r="E24">
        <v>1.0399999999999999E-4</v>
      </c>
      <c r="F24">
        <v>1.02E-4</v>
      </c>
      <c r="I24">
        <v>8.2000000000000003E-2</v>
      </c>
      <c r="J24" s="1">
        <v>9.2E-5</v>
      </c>
      <c r="K24" s="1">
        <v>7.2000000000000002E-5</v>
      </c>
      <c r="L24" s="1">
        <v>7.6000000000000004E-5</v>
      </c>
      <c r="M24" s="1">
        <v>7.4999999999999993E-5</v>
      </c>
      <c r="P24">
        <v>5.7000000000000002E-2</v>
      </c>
      <c r="Q24" s="1">
        <v>5.8E-5</v>
      </c>
      <c r="R24" s="1">
        <v>5.5999999999999999E-5</v>
      </c>
      <c r="S24">
        <v>1.84E-4</v>
      </c>
      <c r="T24" s="1">
        <v>5.7000000000000003E-5</v>
      </c>
      <c r="U24" s="1"/>
      <c r="W24">
        <v>5.0999999999999997E-2</v>
      </c>
      <c r="X24">
        <v>0.05</v>
      </c>
      <c r="Y24">
        <v>0.13300000000000001</v>
      </c>
      <c r="Z24">
        <v>8.8219999999999992</v>
      </c>
      <c r="AA24">
        <v>0.105</v>
      </c>
      <c r="AD24">
        <v>0.47799999999999998</v>
      </c>
      <c r="AE24">
        <v>7.3999999999999996E-2</v>
      </c>
      <c r="AF24">
        <v>7.4999999999999997E-2</v>
      </c>
      <c r="AG24">
        <v>8.4000000000000005E-2</v>
      </c>
      <c r="AH24">
        <v>0.05</v>
      </c>
      <c r="AK24">
        <v>5.8000000000000003E-2</v>
      </c>
      <c r="AL24">
        <v>4.9000000000000002E-2</v>
      </c>
      <c r="AM24">
        <v>0.05</v>
      </c>
      <c r="AN24">
        <v>4.9000000000000002E-2</v>
      </c>
      <c r="AO24">
        <v>5.2999999999999999E-2</v>
      </c>
    </row>
    <row r="25" spans="1:41" hidden="1">
      <c r="A25">
        <v>23</v>
      </c>
      <c r="B25">
        <v>9.4E-2</v>
      </c>
      <c r="C25" s="1">
        <v>9.6000000000000002E-5</v>
      </c>
      <c r="D25">
        <v>1.92E-4</v>
      </c>
      <c r="E25" s="1">
        <v>9.2E-5</v>
      </c>
      <c r="F25">
        <v>1.03E-4</v>
      </c>
      <c r="I25">
        <v>7.3999999999999996E-2</v>
      </c>
      <c r="J25" s="1">
        <v>7.8999999999999996E-5</v>
      </c>
      <c r="K25" s="1">
        <v>7.7999999999999999E-5</v>
      </c>
      <c r="L25" s="1">
        <v>7.4999999999999993E-5</v>
      </c>
      <c r="M25" s="1">
        <v>7.2999999999999999E-5</v>
      </c>
      <c r="P25">
        <v>6.4000000000000001E-2</v>
      </c>
      <c r="Q25" s="1">
        <v>5.7000000000000003E-5</v>
      </c>
      <c r="R25" s="1">
        <v>6.3E-5</v>
      </c>
      <c r="S25" s="1">
        <v>5.5000000000000002E-5</v>
      </c>
      <c r="T25" s="1">
        <v>5.5000000000000002E-5</v>
      </c>
      <c r="U25" s="1"/>
      <c r="W25">
        <v>0.105</v>
      </c>
      <c r="X25">
        <v>0.10199999999999999</v>
      </c>
      <c r="Y25">
        <v>0.105</v>
      </c>
      <c r="Z25">
        <v>9.4E-2</v>
      </c>
      <c r="AA25">
        <v>9.5000000000000001E-2</v>
      </c>
      <c r="AD25">
        <v>5.0999999999999997E-2</v>
      </c>
      <c r="AE25">
        <v>0.05</v>
      </c>
      <c r="AF25">
        <v>0.221</v>
      </c>
      <c r="AG25">
        <v>5.7000000000000002E-2</v>
      </c>
      <c r="AH25">
        <v>5.3999999999999999E-2</v>
      </c>
      <c r="AK25">
        <v>5.1999999999999998E-2</v>
      </c>
      <c r="AL25">
        <v>5.0999999999999997E-2</v>
      </c>
      <c r="AM25">
        <v>5.0999999999999997E-2</v>
      </c>
      <c r="AN25">
        <v>0.05</v>
      </c>
      <c r="AO25">
        <v>5.5E-2</v>
      </c>
    </row>
    <row r="26" spans="1:41" hidden="1">
      <c r="A26">
        <v>24</v>
      </c>
      <c r="B26">
        <v>8.4000000000000005E-2</v>
      </c>
      <c r="C26">
        <v>1.12E-4</v>
      </c>
      <c r="D26" s="1">
        <v>8.2999999999999998E-5</v>
      </c>
      <c r="E26" s="1">
        <v>8.1000000000000004E-5</v>
      </c>
      <c r="F26" s="1">
        <v>7.8999999999999996E-5</v>
      </c>
      <c r="I26">
        <v>8.1000000000000003E-2</v>
      </c>
      <c r="J26" s="1">
        <v>7.3999999999999996E-5</v>
      </c>
      <c r="K26" s="1">
        <v>7.7000000000000001E-5</v>
      </c>
      <c r="L26" s="1">
        <v>7.2000000000000002E-5</v>
      </c>
      <c r="M26" s="1">
        <v>6.9999999999999994E-5</v>
      </c>
      <c r="P26">
        <v>0.34699999999999998</v>
      </c>
      <c r="Q26" s="1">
        <v>6.4999999999999994E-5</v>
      </c>
      <c r="R26" s="1">
        <v>6.0000000000000002E-5</v>
      </c>
      <c r="S26" s="1">
        <v>6.3E-5</v>
      </c>
      <c r="T26" s="1">
        <v>6.0000000000000002E-5</v>
      </c>
      <c r="U26" s="1"/>
      <c r="W26">
        <v>9.7000000000000003E-2</v>
      </c>
      <c r="X26">
        <v>0.27300000000000002</v>
      </c>
      <c r="Y26">
        <v>8.5000000000000006E-2</v>
      </c>
      <c r="Z26">
        <v>8.3000000000000004E-2</v>
      </c>
      <c r="AA26">
        <v>8.3000000000000004E-2</v>
      </c>
      <c r="AD26">
        <v>5.5E-2</v>
      </c>
      <c r="AE26">
        <v>5.5E-2</v>
      </c>
      <c r="AF26">
        <v>5.3999999999999999E-2</v>
      </c>
      <c r="AG26">
        <v>5.5E-2</v>
      </c>
      <c r="AH26">
        <v>5.3999999999999999E-2</v>
      </c>
      <c r="AK26">
        <v>5.7000000000000002E-2</v>
      </c>
      <c r="AL26">
        <v>4.9000000000000002E-2</v>
      </c>
      <c r="AM26">
        <v>5.0999999999999997E-2</v>
      </c>
      <c r="AN26">
        <v>0.14000000000000001</v>
      </c>
      <c r="AO26">
        <v>5.8000000000000003E-2</v>
      </c>
    </row>
    <row r="27" spans="1:41" hidden="1">
      <c r="A27">
        <v>25</v>
      </c>
      <c r="B27">
        <v>8.2000000000000003E-2</v>
      </c>
      <c r="C27" s="1">
        <v>8.1000000000000004E-5</v>
      </c>
      <c r="D27" s="1">
        <v>7.7999999999999999E-5</v>
      </c>
      <c r="E27" s="1">
        <v>7.8999999999999996E-5</v>
      </c>
      <c r="F27" s="1">
        <v>7.7000000000000001E-5</v>
      </c>
      <c r="I27">
        <v>7.2999999999999995E-2</v>
      </c>
      <c r="J27">
        <v>8.4080000000000005E-3</v>
      </c>
      <c r="K27">
        <v>6.1600000000000001E-4</v>
      </c>
      <c r="L27">
        <v>1.12E-4</v>
      </c>
      <c r="M27">
        <v>1.13E-4</v>
      </c>
      <c r="P27">
        <v>6.6000000000000003E-2</v>
      </c>
      <c r="Q27" s="1">
        <v>6.4999999999999994E-5</v>
      </c>
      <c r="R27" s="1">
        <v>5.8999999999999998E-5</v>
      </c>
      <c r="S27">
        <v>2.2100000000000001E-4</v>
      </c>
      <c r="T27" s="1">
        <v>5.5000000000000002E-5</v>
      </c>
      <c r="U27" s="1"/>
      <c r="W27">
        <v>0.107</v>
      </c>
      <c r="X27">
        <v>0.111</v>
      </c>
      <c r="Y27">
        <v>7.9000000000000001E-2</v>
      </c>
      <c r="Z27">
        <v>0.08</v>
      </c>
      <c r="AA27">
        <v>7.2999999999999995E-2</v>
      </c>
      <c r="AD27">
        <v>5.5E-2</v>
      </c>
      <c r="AE27">
        <v>5.3999999999999999E-2</v>
      </c>
      <c r="AF27">
        <v>5.3999999999999999E-2</v>
      </c>
      <c r="AG27">
        <v>5.3999999999999999E-2</v>
      </c>
      <c r="AH27">
        <v>4.9000000000000002E-2</v>
      </c>
      <c r="AK27">
        <v>0.06</v>
      </c>
      <c r="AL27">
        <v>5.3999999999999999E-2</v>
      </c>
      <c r="AM27">
        <v>5.5E-2</v>
      </c>
      <c r="AN27">
        <v>5.0999999999999997E-2</v>
      </c>
      <c r="AO27">
        <v>0.05</v>
      </c>
    </row>
    <row r="28" spans="1:41" hidden="1">
      <c r="A28">
        <v>26</v>
      </c>
      <c r="B28">
        <v>8.4000000000000005E-2</v>
      </c>
      <c r="C28" s="1">
        <v>8.1000000000000004E-5</v>
      </c>
      <c r="D28" s="1">
        <v>8.0000000000000007E-5</v>
      </c>
      <c r="E28">
        <v>2.33E-4</v>
      </c>
      <c r="F28" s="1">
        <v>8.2000000000000001E-5</v>
      </c>
      <c r="I28">
        <v>0.113</v>
      </c>
      <c r="J28">
        <v>1.11E-4</v>
      </c>
      <c r="K28">
        <v>1.05E-4</v>
      </c>
      <c r="L28">
        <v>1.05E-4</v>
      </c>
      <c r="M28">
        <v>1.11E-4</v>
      </c>
      <c r="P28">
        <v>6.3E-2</v>
      </c>
      <c r="Q28" s="1">
        <v>6.2000000000000003E-5</v>
      </c>
      <c r="R28" s="1">
        <v>5.8999999999999998E-5</v>
      </c>
      <c r="S28" s="1">
        <v>5.8999999999999998E-5</v>
      </c>
      <c r="T28" s="1">
        <v>5.8999999999999998E-5</v>
      </c>
      <c r="U28" s="1"/>
      <c r="W28">
        <v>0.20399999999999999</v>
      </c>
      <c r="X28">
        <v>7.1999999999999995E-2</v>
      </c>
      <c r="Y28">
        <v>0.315</v>
      </c>
      <c r="Z28">
        <v>7.5999999999999998E-2</v>
      </c>
      <c r="AA28">
        <v>9.1999999999999998E-2</v>
      </c>
      <c r="AD28">
        <v>5.0999999999999997E-2</v>
      </c>
      <c r="AE28">
        <v>0.16300000000000001</v>
      </c>
      <c r="AF28">
        <v>5.7000000000000002E-2</v>
      </c>
      <c r="AG28">
        <v>5.3999999999999999E-2</v>
      </c>
      <c r="AH28">
        <v>5.5E-2</v>
      </c>
      <c r="AK28">
        <v>5.0999999999999997E-2</v>
      </c>
      <c r="AL28">
        <v>0.13700000000000001</v>
      </c>
      <c r="AM28">
        <v>5.5E-2</v>
      </c>
      <c r="AN28">
        <v>5.8000000000000003E-2</v>
      </c>
      <c r="AO28">
        <v>5.6000000000000001E-2</v>
      </c>
    </row>
    <row r="29" spans="1:41" hidden="1">
      <c r="A29">
        <v>27</v>
      </c>
      <c r="B29">
        <v>8.5999999999999993E-2</v>
      </c>
      <c r="C29" s="1">
        <v>8.2999999999999998E-5</v>
      </c>
      <c r="D29" s="1">
        <v>8.0000000000000007E-5</v>
      </c>
      <c r="E29" s="1">
        <v>8.0000000000000007E-5</v>
      </c>
      <c r="F29" s="1">
        <v>7.8999999999999996E-5</v>
      </c>
      <c r="I29">
        <v>9.4E-2</v>
      </c>
      <c r="J29" s="1">
        <v>9.3999999999999994E-5</v>
      </c>
      <c r="K29">
        <v>5.5240000000000003E-3</v>
      </c>
      <c r="L29" s="1">
        <v>8.8999999999999995E-5</v>
      </c>
      <c r="M29" s="1">
        <v>9.5000000000000005E-5</v>
      </c>
      <c r="P29">
        <v>6.3E-2</v>
      </c>
      <c r="Q29" s="1">
        <v>5.8999999999999998E-5</v>
      </c>
      <c r="R29" s="1">
        <v>5.5000000000000002E-5</v>
      </c>
      <c r="S29" s="1">
        <v>5.5000000000000002E-5</v>
      </c>
      <c r="T29">
        <v>1.1594999999999999E-2</v>
      </c>
      <c r="W29">
        <v>0.20200000000000001</v>
      </c>
      <c r="X29">
        <v>7.0999999999999994E-2</v>
      </c>
      <c r="Y29">
        <v>7.0999999999999994E-2</v>
      </c>
      <c r="Z29">
        <v>7.0999999999999994E-2</v>
      </c>
      <c r="AA29">
        <v>7.0999999999999994E-2</v>
      </c>
      <c r="AD29">
        <v>5.5E-2</v>
      </c>
      <c r="AE29">
        <v>0.05</v>
      </c>
      <c r="AF29">
        <v>0.25800000000000001</v>
      </c>
      <c r="AG29">
        <v>7.2999999999999995E-2</v>
      </c>
      <c r="AH29">
        <v>5.1999999999999998E-2</v>
      </c>
      <c r="AK29">
        <v>5.7000000000000002E-2</v>
      </c>
      <c r="AL29">
        <v>4.9000000000000002E-2</v>
      </c>
      <c r="AM29">
        <v>0.05</v>
      </c>
      <c r="AN29">
        <v>8.4440000000000008</v>
      </c>
      <c r="AO29">
        <v>5.1999999999999998E-2</v>
      </c>
    </row>
    <row r="30" spans="1:41" hidden="1">
      <c r="A30">
        <v>28</v>
      </c>
      <c r="B30">
        <v>8.8999999999999996E-2</v>
      </c>
      <c r="C30" s="1">
        <v>8.8999999999999995E-5</v>
      </c>
      <c r="D30" s="1">
        <v>8.0000000000000007E-5</v>
      </c>
      <c r="E30">
        <v>1.5699999999999999E-4</v>
      </c>
      <c r="F30" s="1">
        <v>8.0000000000000007E-5</v>
      </c>
      <c r="I30">
        <v>9.5000000000000001E-2</v>
      </c>
      <c r="J30" s="1">
        <v>9.3999999999999994E-5</v>
      </c>
      <c r="K30" s="1">
        <v>7.8999999999999996E-5</v>
      </c>
      <c r="L30" s="1">
        <v>8.3999999999999995E-5</v>
      </c>
      <c r="M30" s="1">
        <v>7.7999999999999999E-5</v>
      </c>
      <c r="P30">
        <v>0.41599999999999998</v>
      </c>
      <c r="Q30" s="1">
        <v>5.8999999999999998E-5</v>
      </c>
      <c r="R30" s="1">
        <v>5.5999999999999999E-5</v>
      </c>
      <c r="S30" s="1">
        <v>6.0000000000000002E-5</v>
      </c>
      <c r="T30" s="1">
        <v>6.0000000000000002E-5</v>
      </c>
      <c r="U30" s="1"/>
      <c r="W30">
        <v>0.41</v>
      </c>
      <c r="X30">
        <v>8.5999999999999993E-2</v>
      </c>
      <c r="Y30">
        <v>9.6000000000000002E-2</v>
      </c>
      <c r="Z30">
        <v>0.10299999999999999</v>
      </c>
      <c r="AA30">
        <v>7.5999999999999998E-2</v>
      </c>
      <c r="AD30">
        <v>5.1999999999999998E-2</v>
      </c>
      <c r="AE30">
        <v>0.123</v>
      </c>
      <c r="AF30">
        <v>0.05</v>
      </c>
      <c r="AG30">
        <v>5.0999999999999997E-2</v>
      </c>
      <c r="AH30">
        <v>5.0999999999999997E-2</v>
      </c>
      <c r="AK30">
        <v>5.6000000000000001E-2</v>
      </c>
      <c r="AL30">
        <v>5.6000000000000001E-2</v>
      </c>
      <c r="AM30">
        <v>5.5E-2</v>
      </c>
      <c r="AN30">
        <v>4.9000000000000002E-2</v>
      </c>
      <c r="AO30">
        <v>0.05</v>
      </c>
    </row>
    <row r="31" spans="1:41" hidden="1">
      <c r="A31">
        <v>29</v>
      </c>
      <c r="B31">
        <v>8.4000000000000005E-2</v>
      </c>
      <c r="C31">
        <v>1.7899999999999999E-4</v>
      </c>
      <c r="D31" s="1">
        <v>8.1000000000000004E-5</v>
      </c>
      <c r="E31" s="1">
        <v>7.8999999999999996E-5</v>
      </c>
      <c r="F31" s="1">
        <v>7.7999999999999999E-5</v>
      </c>
      <c r="I31">
        <v>8.8999999999999996E-2</v>
      </c>
      <c r="J31" s="1">
        <v>9.1000000000000003E-5</v>
      </c>
      <c r="K31" s="1">
        <v>8.1000000000000004E-5</v>
      </c>
      <c r="L31" s="1">
        <v>7.8999999999999996E-5</v>
      </c>
      <c r="M31" s="1">
        <v>7.7999999999999999E-5</v>
      </c>
      <c r="P31">
        <v>5.6000000000000001E-2</v>
      </c>
      <c r="Q31" s="1">
        <v>9.7E-5</v>
      </c>
      <c r="R31">
        <v>2.7E-4</v>
      </c>
      <c r="S31" s="1">
        <v>5.5000000000000002E-5</v>
      </c>
      <c r="T31" s="1">
        <v>5.3999999999999998E-5</v>
      </c>
      <c r="U31" s="1"/>
      <c r="W31">
        <v>7.2999999999999995E-2</v>
      </c>
      <c r="X31">
        <v>7.0000000000000007E-2</v>
      </c>
      <c r="Y31">
        <v>7.2999999999999995E-2</v>
      </c>
      <c r="Z31">
        <v>7.2999999999999995E-2</v>
      </c>
      <c r="AA31">
        <v>7.1999999999999995E-2</v>
      </c>
      <c r="AD31">
        <v>5.1999999999999998E-2</v>
      </c>
      <c r="AE31">
        <v>0.05</v>
      </c>
      <c r="AF31">
        <v>0.05</v>
      </c>
      <c r="AG31">
        <v>5.0999999999999997E-2</v>
      </c>
      <c r="AH31">
        <v>0.27</v>
      </c>
      <c r="AK31">
        <v>5.0999999999999997E-2</v>
      </c>
      <c r="AL31">
        <v>8.6999999999999994E-2</v>
      </c>
      <c r="AM31">
        <v>7.2999999999999995E-2</v>
      </c>
      <c r="AN31">
        <v>0.128</v>
      </c>
      <c r="AO31">
        <v>5.3999999999999999E-2</v>
      </c>
    </row>
    <row r="32" spans="1:41" hidden="1">
      <c r="A32">
        <v>30</v>
      </c>
      <c r="B32">
        <v>1.2789999999999999</v>
      </c>
      <c r="C32">
        <v>8.3699999999999996E-4</v>
      </c>
      <c r="D32" s="1">
        <v>8.2000000000000001E-5</v>
      </c>
      <c r="E32" s="1">
        <v>7.8999999999999996E-5</v>
      </c>
      <c r="F32">
        <v>2.1800000000000001E-4</v>
      </c>
      <c r="I32">
        <v>0.2</v>
      </c>
      <c r="J32" s="1">
        <v>8.5000000000000006E-5</v>
      </c>
      <c r="K32">
        <v>1.18E-4</v>
      </c>
      <c r="L32" s="1">
        <v>8.1000000000000004E-5</v>
      </c>
      <c r="M32" s="1">
        <v>8.0000000000000007E-5</v>
      </c>
      <c r="P32">
        <v>6.2E-2</v>
      </c>
      <c r="Q32" s="1">
        <v>6.3E-5</v>
      </c>
      <c r="R32" s="1">
        <v>6.0999999999999999E-5</v>
      </c>
      <c r="S32" s="1">
        <v>6.0000000000000002E-5</v>
      </c>
      <c r="T32" s="1">
        <v>6.0999999999999999E-5</v>
      </c>
      <c r="U32" s="1"/>
      <c r="W32">
        <v>7.1999999999999995E-2</v>
      </c>
      <c r="X32">
        <v>7.0000000000000007E-2</v>
      </c>
      <c r="Y32">
        <v>7.0999999999999994E-2</v>
      </c>
      <c r="Z32">
        <v>7.1999999999999995E-2</v>
      </c>
      <c r="AA32">
        <v>7.0999999999999994E-2</v>
      </c>
      <c r="AD32">
        <v>5.3999999999999999E-2</v>
      </c>
      <c r="AE32">
        <v>5.5E-2</v>
      </c>
      <c r="AF32">
        <v>0.05</v>
      </c>
      <c r="AG32">
        <v>5.1999999999999998E-2</v>
      </c>
      <c r="AH32">
        <v>0.05</v>
      </c>
      <c r="AK32">
        <v>5.8999999999999997E-2</v>
      </c>
      <c r="AL32">
        <v>0.05</v>
      </c>
      <c r="AM32">
        <v>5.0999999999999997E-2</v>
      </c>
      <c r="AN32">
        <v>5.0999999999999997E-2</v>
      </c>
      <c r="AO32">
        <v>0.27700000000000002</v>
      </c>
    </row>
    <row r="33" spans="1:41" hidden="1">
      <c r="A33">
        <v>31</v>
      </c>
      <c r="B33">
        <v>8.7999999999999995E-2</v>
      </c>
      <c r="C33" s="1">
        <v>7.4999999999999993E-5</v>
      </c>
      <c r="D33" s="1">
        <v>7.1000000000000005E-5</v>
      </c>
      <c r="E33" s="1">
        <v>6.9999999999999994E-5</v>
      </c>
      <c r="F33" s="1">
        <v>7.1000000000000005E-5</v>
      </c>
      <c r="I33">
        <v>8.3000000000000004E-2</v>
      </c>
      <c r="J33" s="1">
        <v>8.2999999999999998E-5</v>
      </c>
      <c r="K33" s="1">
        <v>7.8999999999999996E-5</v>
      </c>
      <c r="L33" s="1">
        <v>8.0000000000000007E-5</v>
      </c>
      <c r="M33">
        <v>1.5200000000000001E-4</v>
      </c>
      <c r="P33">
        <v>6.3E-2</v>
      </c>
      <c r="Q33" s="1">
        <v>6.4999999999999994E-5</v>
      </c>
      <c r="R33" s="1">
        <v>5.8E-5</v>
      </c>
      <c r="S33" s="1">
        <v>6.0000000000000002E-5</v>
      </c>
      <c r="T33" s="1">
        <v>5.8999999999999998E-5</v>
      </c>
      <c r="U33" s="1"/>
      <c r="W33">
        <v>7.1999999999999995E-2</v>
      </c>
      <c r="X33">
        <v>7.0000000000000007E-2</v>
      </c>
      <c r="Y33">
        <v>7.1999999999999995E-2</v>
      </c>
      <c r="Z33">
        <v>7.1999999999999995E-2</v>
      </c>
      <c r="AA33">
        <v>7.0999999999999994E-2</v>
      </c>
      <c r="AD33">
        <v>5.2999999999999999E-2</v>
      </c>
      <c r="AE33">
        <v>0.58099999999999996</v>
      </c>
      <c r="AF33">
        <v>5.1999999999999998E-2</v>
      </c>
      <c r="AG33">
        <v>0.13900000000000001</v>
      </c>
      <c r="AH33">
        <v>0.05</v>
      </c>
      <c r="AK33">
        <v>9.2999999999999999E-2</v>
      </c>
      <c r="AL33">
        <v>5.0999999999999997E-2</v>
      </c>
      <c r="AM33">
        <v>5.0999999999999997E-2</v>
      </c>
      <c r="AN33">
        <v>0.05</v>
      </c>
      <c r="AO33">
        <v>0.05</v>
      </c>
    </row>
    <row r="34" spans="1:41" hidden="1">
      <c r="A34">
        <v>32</v>
      </c>
      <c r="B34">
        <v>7.6999999999999999E-2</v>
      </c>
      <c r="C34" s="1">
        <v>7.2000000000000002E-5</v>
      </c>
      <c r="D34" s="1">
        <v>6.8999999999999997E-5</v>
      </c>
      <c r="E34" s="1">
        <v>6.9999999999999994E-5</v>
      </c>
      <c r="F34" s="1">
        <v>6.8999999999999997E-5</v>
      </c>
      <c r="I34">
        <v>0.107</v>
      </c>
      <c r="J34">
        <v>1.06E-4</v>
      </c>
      <c r="K34">
        <v>1.05E-4</v>
      </c>
      <c r="L34">
        <v>5.6400000000000005E-4</v>
      </c>
      <c r="M34" s="1">
        <v>8.1000000000000004E-5</v>
      </c>
      <c r="P34">
        <v>5.7000000000000002E-2</v>
      </c>
      <c r="Q34" s="1">
        <v>5.8E-5</v>
      </c>
      <c r="R34" s="1">
        <v>5.5000000000000002E-5</v>
      </c>
      <c r="S34" s="1">
        <v>5.5000000000000002E-5</v>
      </c>
      <c r="T34" s="1">
        <v>5.5000000000000002E-5</v>
      </c>
      <c r="U34" s="1"/>
      <c r="W34">
        <v>7.0999999999999994E-2</v>
      </c>
      <c r="X34">
        <v>7.0000000000000007E-2</v>
      </c>
      <c r="Y34">
        <v>7.0000000000000007E-2</v>
      </c>
      <c r="Z34">
        <v>7.1999999999999995E-2</v>
      </c>
      <c r="AA34">
        <v>7.0999999999999994E-2</v>
      </c>
      <c r="AD34">
        <v>5.0999999999999997E-2</v>
      </c>
      <c r="AE34">
        <v>5.2999999999999999E-2</v>
      </c>
      <c r="AF34">
        <v>5.5E-2</v>
      </c>
      <c r="AG34">
        <v>5.3999999999999999E-2</v>
      </c>
      <c r="AH34">
        <v>5.3999999999999999E-2</v>
      </c>
      <c r="AK34">
        <v>5.1999999999999998E-2</v>
      </c>
      <c r="AL34">
        <v>4.9000000000000002E-2</v>
      </c>
      <c r="AM34">
        <v>0.05</v>
      </c>
      <c r="AN34">
        <v>5.1999999999999998E-2</v>
      </c>
      <c r="AO34">
        <v>4.9000000000000002E-2</v>
      </c>
    </row>
    <row r="35" spans="1:41" hidden="1">
      <c r="A35">
        <v>33</v>
      </c>
      <c r="B35">
        <v>7.3999999999999996E-2</v>
      </c>
      <c r="C35" s="1">
        <v>7.2000000000000002E-5</v>
      </c>
      <c r="D35" s="1">
        <v>6.9999999999999994E-5</v>
      </c>
      <c r="E35" s="1">
        <v>7.1000000000000005E-5</v>
      </c>
      <c r="F35" s="1">
        <v>6.8999999999999997E-5</v>
      </c>
      <c r="I35">
        <v>9.0999999999999998E-2</v>
      </c>
      <c r="J35" s="1">
        <v>8.2000000000000001E-5</v>
      </c>
      <c r="K35" s="1">
        <v>7.8999999999999996E-5</v>
      </c>
      <c r="L35" s="1">
        <v>7.7999999999999999E-5</v>
      </c>
      <c r="M35" s="1">
        <v>7.7000000000000001E-5</v>
      </c>
      <c r="P35">
        <v>5.8000000000000003E-2</v>
      </c>
      <c r="Q35" s="1">
        <v>6.2000000000000003E-5</v>
      </c>
      <c r="R35" s="1">
        <v>5.8999999999999998E-5</v>
      </c>
      <c r="S35" s="1">
        <v>5.8999999999999998E-5</v>
      </c>
      <c r="T35" s="1">
        <v>5.8E-5</v>
      </c>
      <c r="U35" s="1"/>
      <c r="W35">
        <v>7.1999999999999995E-2</v>
      </c>
      <c r="X35">
        <v>6.9000000000000006E-2</v>
      </c>
      <c r="Y35">
        <v>0.17399999999999999</v>
      </c>
      <c r="Z35">
        <v>9.5000000000000001E-2</v>
      </c>
      <c r="AA35">
        <v>7.0999999999999994E-2</v>
      </c>
      <c r="AD35">
        <v>5.5E-2</v>
      </c>
      <c r="AE35">
        <v>0.13100000000000001</v>
      </c>
      <c r="AF35">
        <v>11.819000000000001</v>
      </c>
      <c r="AG35">
        <v>0.40100000000000002</v>
      </c>
      <c r="AH35">
        <v>5.5E-2</v>
      </c>
      <c r="AK35">
        <v>5.0999999999999997E-2</v>
      </c>
      <c r="AL35">
        <v>4.9000000000000002E-2</v>
      </c>
      <c r="AM35">
        <v>4.9000000000000002E-2</v>
      </c>
      <c r="AN35">
        <v>5.0999999999999997E-2</v>
      </c>
      <c r="AO35">
        <v>0.05</v>
      </c>
    </row>
    <row r="36" spans="1:41" hidden="1">
      <c r="A36">
        <v>34</v>
      </c>
      <c r="B36">
        <v>7.2999999999999995E-2</v>
      </c>
      <c r="C36" s="1">
        <v>7.2999999999999999E-5</v>
      </c>
      <c r="D36">
        <v>8.1740000000000007E-3</v>
      </c>
      <c r="E36" s="1">
        <v>6.2000000000000003E-5</v>
      </c>
      <c r="F36" s="1">
        <v>8.3999999999999995E-5</v>
      </c>
      <c r="I36">
        <v>8.1000000000000003E-2</v>
      </c>
      <c r="J36">
        <v>3.7199999999999999E-4</v>
      </c>
      <c r="K36">
        <v>5.62E-4</v>
      </c>
      <c r="L36" s="1">
        <v>7.2000000000000002E-5</v>
      </c>
      <c r="M36">
        <v>8.2030000000000002E-3</v>
      </c>
      <c r="P36">
        <v>6.2E-2</v>
      </c>
      <c r="Q36" s="1">
        <v>6.2000000000000003E-5</v>
      </c>
      <c r="R36" s="1">
        <v>5.8999999999999998E-5</v>
      </c>
      <c r="S36" s="1">
        <v>5.8999999999999998E-5</v>
      </c>
      <c r="T36" s="1">
        <v>5.8999999999999998E-5</v>
      </c>
      <c r="U36" s="1"/>
      <c r="W36">
        <v>7.1999999999999995E-2</v>
      </c>
      <c r="X36">
        <v>7.0000000000000007E-2</v>
      </c>
      <c r="Y36">
        <v>7.0999999999999994E-2</v>
      </c>
      <c r="Z36">
        <v>7.0999999999999994E-2</v>
      </c>
      <c r="AA36">
        <v>7.0000000000000007E-2</v>
      </c>
      <c r="AD36">
        <v>5.2999999999999999E-2</v>
      </c>
      <c r="AE36">
        <v>5.5E-2</v>
      </c>
      <c r="AF36">
        <v>5.3999999999999999E-2</v>
      </c>
      <c r="AG36">
        <v>5.2999999999999999E-2</v>
      </c>
      <c r="AH36">
        <v>5.6000000000000001E-2</v>
      </c>
      <c r="AK36">
        <v>5.0999999999999997E-2</v>
      </c>
      <c r="AL36">
        <v>4.9000000000000002E-2</v>
      </c>
      <c r="AM36">
        <v>0.156</v>
      </c>
      <c r="AN36">
        <v>5.7000000000000002E-2</v>
      </c>
      <c r="AO36">
        <v>5.8999999999999997E-2</v>
      </c>
    </row>
    <row r="37" spans="1:41" hidden="1">
      <c r="A37">
        <v>35</v>
      </c>
      <c r="B37">
        <v>8.8999999999999996E-2</v>
      </c>
      <c r="C37" s="1">
        <v>9.2E-5</v>
      </c>
      <c r="D37" s="1">
        <v>8.6000000000000003E-5</v>
      </c>
      <c r="E37" s="1">
        <v>5.7000000000000003E-5</v>
      </c>
      <c r="F37" s="1">
        <v>5.5999999999999999E-5</v>
      </c>
      <c r="I37">
        <v>0.128</v>
      </c>
      <c r="J37">
        <v>1.21E-4</v>
      </c>
      <c r="K37">
        <v>1.08E-4</v>
      </c>
      <c r="L37">
        <v>1.1400000000000001E-4</v>
      </c>
      <c r="M37">
        <v>1.0399999999999999E-4</v>
      </c>
      <c r="P37">
        <v>6.2E-2</v>
      </c>
      <c r="Q37" s="1">
        <v>5.5999999999999999E-5</v>
      </c>
      <c r="R37" s="1">
        <v>6.0999999999999999E-5</v>
      </c>
      <c r="S37" s="1">
        <v>5.5000000000000002E-5</v>
      </c>
      <c r="T37" s="1">
        <v>5.5000000000000002E-5</v>
      </c>
      <c r="U37" s="1"/>
      <c r="W37">
        <v>7.2999999999999995E-2</v>
      </c>
      <c r="X37">
        <v>1.6970000000000001</v>
      </c>
      <c r="Y37">
        <v>6.7000000000000004E-2</v>
      </c>
      <c r="Z37">
        <v>8.7799999999999994</v>
      </c>
      <c r="AA37">
        <v>9.2999999999999999E-2</v>
      </c>
      <c r="AD37">
        <v>0.06</v>
      </c>
      <c r="AE37">
        <v>5.0999999999999997E-2</v>
      </c>
      <c r="AF37">
        <v>5.8000000000000003E-2</v>
      </c>
      <c r="AG37">
        <v>5.5E-2</v>
      </c>
      <c r="AH37">
        <v>5.5E-2</v>
      </c>
      <c r="AK37">
        <v>5.7000000000000002E-2</v>
      </c>
      <c r="AL37">
        <v>5.5E-2</v>
      </c>
      <c r="AM37">
        <v>5.8000000000000003E-2</v>
      </c>
      <c r="AN37">
        <v>5.8999999999999997E-2</v>
      </c>
      <c r="AO37">
        <v>5.5E-2</v>
      </c>
    </row>
    <row r="38" spans="1:41" hidden="1">
      <c r="A38">
        <v>36</v>
      </c>
      <c r="B38">
        <v>0.246</v>
      </c>
      <c r="C38">
        <v>6.6399999999999999E-4</v>
      </c>
      <c r="D38" s="1">
        <v>5.8999999999999998E-5</v>
      </c>
      <c r="E38">
        <v>5.5690000000000002E-3</v>
      </c>
      <c r="F38" s="1">
        <v>9.0000000000000006E-5</v>
      </c>
      <c r="I38">
        <v>0.112</v>
      </c>
      <c r="J38">
        <v>1.34E-4</v>
      </c>
      <c r="K38">
        <v>6.6799999999999997E-4</v>
      </c>
      <c r="L38">
        <v>1.17E-4</v>
      </c>
      <c r="M38" s="1">
        <v>9.1000000000000003E-5</v>
      </c>
      <c r="P38">
        <v>6.4000000000000001E-2</v>
      </c>
      <c r="Q38" s="1">
        <v>6.2000000000000003E-5</v>
      </c>
      <c r="R38" s="1">
        <v>6.0999999999999999E-5</v>
      </c>
      <c r="S38" s="1">
        <v>6.2000000000000003E-5</v>
      </c>
      <c r="T38" s="1">
        <v>5.8999999999999998E-5</v>
      </c>
      <c r="U38" s="1"/>
      <c r="W38">
        <v>4.6020000000000003</v>
      </c>
      <c r="X38">
        <v>7.0000000000000007E-2</v>
      </c>
      <c r="Y38">
        <v>6.8000000000000005E-2</v>
      </c>
      <c r="Z38">
        <v>6.9000000000000006E-2</v>
      </c>
      <c r="AA38">
        <v>5.0999999999999997E-2</v>
      </c>
      <c r="AD38">
        <v>5.6000000000000001E-2</v>
      </c>
      <c r="AE38">
        <v>0.05</v>
      </c>
      <c r="AF38">
        <v>0.05</v>
      </c>
      <c r="AG38">
        <v>0.05</v>
      </c>
      <c r="AH38">
        <v>0.157</v>
      </c>
      <c r="AK38">
        <v>5.1999999999999998E-2</v>
      </c>
      <c r="AL38">
        <v>0.26</v>
      </c>
      <c r="AM38">
        <v>5.0999999999999997E-2</v>
      </c>
      <c r="AN38">
        <v>0.05</v>
      </c>
      <c r="AO38">
        <v>5.1999999999999998E-2</v>
      </c>
    </row>
    <row r="39" spans="1:41" hidden="1">
      <c r="A39">
        <v>37</v>
      </c>
      <c r="B39">
        <v>0.09</v>
      </c>
      <c r="C39" s="1">
        <v>8.5000000000000006E-5</v>
      </c>
      <c r="D39" s="1">
        <v>9.0000000000000006E-5</v>
      </c>
      <c r="E39" s="1">
        <v>9.7E-5</v>
      </c>
      <c r="F39" s="1">
        <v>6.0000000000000002E-5</v>
      </c>
      <c r="I39">
        <v>9.0999999999999998E-2</v>
      </c>
      <c r="J39">
        <v>3.9599999999999998E-4</v>
      </c>
      <c r="K39" s="1">
        <v>8.0000000000000007E-5</v>
      </c>
      <c r="L39" s="1">
        <v>7.7999999999999999E-5</v>
      </c>
      <c r="M39" s="1">
        <v>7.7999999999999999E-5</v>
      </c>
      <c r="P39">
        <v>6.2E-2</v>
      </c>
      <c r="Q39" s="1">
        <v>6.2000000000000003E-5</v>
      </c>
      <c r="R39" s="1">
        <v>5.8999999999999998E-5</v>
      </c>
      <c r="S39" s="1">
        <v>5.3999999999999998E-5</v>
      </c>
      <c r="T39" s="1">
        <v>5.5000000000000002E-5</v>
      </c>
      <c r="U39" s="1"/>
      <c r="W39">
        <v>5.0999999999999997E-2</v>
      </c>
      <c r="X39">
        <v>5.0999999999999997E-2</v>
      </c>
      <c r="Y39">
        <v>6.9000000000000006E-2</v>
      </c>
      <c r="Z39">
        <v>6.9000000000000006E-2</v>
      </c>
      <c r="AA39">
        <v>5.0999999999999997E-2</v>
      </c>
      <c r="AD39">
        <v>7.5999999999999998E-2</v>
      </c>
      <c r="AE39">
        <v>5.1999999999999998E-2</v>
      </c>
      <c r="AF39">
        <v>5.0999999999999997E-2</v>
      </c>
      <c r="AG39">
        <v>5.8000000000000003E-2</v>
      </c>
      <c r="AH39">
        <v>5.5E-2</v>
      </c>
      <c r="AK39">
        <v>5.0999999999999997E-2</v>
      </c>
      <c r="AL39">
        <v>5.7000000000000002E-2</v>
      </c>
      <c r="AM39">
        <v>0.05</v>
      </c>
      <c r="AN39">
        <v>5.0999999999999997E-2</v>
      </c>
      <c r="AO39">
        <v>0.13800000000000001</v>
      </c>
    </row>
    <row r="40" spans="1:41" hidden="1">
      <c r="A40">
        <v>38</v>
      </c>
      <c r="B40">
        <v>0.06</v>
      </c>
      <c r="C40" s="1">
        <v>5.8999999999999998E-5</v>
      </c>
      <c r="D40" s="1">
        <v>5.5999999999999999E-5</v>
      </c>
      <c r="E40" s="1">
        <v>5.5000000000000002E-5</v>
      </c>
      <c r="F40" s="1">
        <v>5.3999999999999998E-5</v>
      </c>
      <c r="I40">
        <v>8.2000000000000003E-2</v>
      </c>
      <c r="J40">
        <v>3.8999999999999999E-4</v>
      </c>
      <c r="K40" s="1">
        <v>8.1000000000000004E-5</v>
      </c>
      <c r="L40" s="1">
        <v>7.8999999999999996E-5</v>
      </c>
      <c r="M40" s="1">
        <v>7.7999999999999999E-5</v>
      </c>
      <c r="P40">
        <v>5.7000000000000002E-2</v>
      </c>
      <c r="Q40">
        <v>6.5200000000000002E-4</v>
      </c>
      <c r="R40" s="1">
        <v>5.7000000000000003E-5</v>
      </c>
      <c r="S40" s="1">
        <v>5.5999999999999999E-5</v>
      </c>
      <c r="T40" s="1">
        <v>9.7999999999999997E-5</v>
      </c>
      <c r="U40" s="1"/>
      <c r="W40">
        <v>0.129</v>
      </c>
      <c r="X40">
        <v>5.6000000000000001E-2</v>
      </c>
      <c r="Y40">
        <v>5.6000000000000001E-2</v>
      </c>
      <c r="Z40">
        <v>5.5E-2</v>
      </c>
      <c r="AA40">
        <v>5.0999999999999997E-2</v>
      </c>
      <c r="AD40">
        <v>5.5E-2</v>
      </c>
      <c r="AE40">
        <v>5.5E-2</v>
      </c>
      <c r="AF40">
        <v>0.05</v>
      </c>
      <c r="AG40">
        <v>0.17499999999999999</v>
      </c>
      <c r="AH40">
        <v>5.3999999999999999E-2</v>
      </c>
      <c r="AK40">
        <v>5.6000000000000001E-2</v>
      </c>
      <c r="AL40">
        <v>5.0999999999999997E-2</v>
      </c>
      <c r="AM40">
        <v>5.0999999999999997E-2</v>
      </c>
      <c r="AN40">
        <v>0.05</v>
      </c>
      <c r="AO40">
        <v>0.05</v>
      </c>
    </row>
    <row r="41" spans="1:41" hidden="1">
      <c r="A41">
        <v>39</v>
      </c>
      <c r="B41">
        <v>5.8999999999999997E-2</v>
      </c>
      <c r="C41" s="1">
        <v>5.8E-5</v>
      </c>
      <c r="D41" s="1">
        <v>5.7000000000000003E-5</v>
      </c>
      <c r="E41" s="1">
        <v>5.5000000000000002E-5</v>
      </c>
      <c r="F41" s="1">
        <v>5.3999999999999998E-5</v>
      </c>
      <c r="I41">
        <v>8.4000000000000005E-2</v>
      </c>
      <c r="J41" s="1">
        <v>8.1000000000000004E-5</v>
      </c>
      <c r="K41" s="1">
        <v>7.7999999999999999E-5</v>
      </c>
      <c r="L41" s="1">
        <v>7.8999999999999996E-5</v>
      </c>
      <c r="M41" s="1">
        <v>7.8999999999999996E-5</v>
      </c>
      <c r="P41">
        <v>8.4000000000000005E-2</v>
      </c>
      <c r="Q41">
        <v>1.7699999999999999E-4</v>
      </c>
      <c r="R41" s="1">
        <v>6.3E-5</v>
      </c>
      <c r="S41" s="1">
        <v>6.2000000000000003E-5</v>
      </c>
      <c r="T41" s="1">
        <v>6.0999999999999999E-5</v>
      </c>
      <c r="U41" s="1"/>
      <c r="W41">
        <v>5.0999999999999997E-2</v>
      </c>
      <c r="X41">
        <v>0.05</v>
      </c>
      <c r="Y41">
        <v>0.217</v>
      </c>
      <c r="Z41">
        <v>5.2999999999999999E-2</v>
      </c>
      <c r="AA41">
        <v>5.1999999999999998E-2</v>
      </c>
      <c r="AD41">
        <v>5.1999999999999998E-2</v>
      </c>
      <c r="AE41">
        <v>4.9000000000000002E-2</v>
      </c>
      <c r="AF41">
        <v>0.05</v>
      </c>
      <c r="AG41">
        <v>4.9000000000000002E-2</v>
      </c>
      <c r="AH41">
        <v>0.05</v>
      </c>
      <c r="AK41">
        <v>5.2999999999999999E-2</v>
      </c>
      <c r="AL41">
        <v>0.05</v>
      </c>
      <c r="AM41">
        <v>5.0999999999999997E-2</v>
      </c>
      <c r="AN41">
        <v>5.0999999999999997E-2</v>
      </c>
      <c r="AO41">
        <v>0.05</v>
      </c>
    </row>
    <row r="42" spans="1:41" hidden="1">
      <c r="A42">
        <v>40</v>
      </c>
      <c r="B42">
        <v>5.8000000000000003E-2</v>
      </c>
      <c r="C42" s="1">
        <v>5.8E-5</v>
      </c>
      <c r="D42" s="1">
        <v>5.5000000000000002E-5</v>
      </c>
      <c r="E42" s="1">
        <v>5.5000000000000002E-5</v>
      </c>
      <c r="F42" s="1">
        <v>5.5000000000000002E-5</v>
      </c>
      <c r="I42">
        <v>0.42699999999999999</v>
      </c>
      <c r="J42" s="1">
        <v>8.3999999999999995E-5</v>
      </c>
      <c r="K42" s="1">
        <v>7.8999999999999996E-5</v>
      </c>
      <c r="L42" s="1">
        <v>7.8999999999999996E-5</v>
      </c>
      <c r="M42">
        <v>4.17E-4</v>
      </c>
      <c r="P42">
        <v>5.8000000000000003E-2</v>
      </c>
      <c r="Q42" s="1">
        <v>5.7000000000000003E-5</v>
      </c>
      <c r="R42" s="1">
        <v>5.5999999999999999E-5</v>
      </c>
      <c r="S42" s="1">
        <v>5.5000000000000002E-5</v>
      </c>
      <c r="T42" s="1">
        <v>5.5000000000000002E-5</v>
      </c>
      <c r="U42" s="1"/>
      <c r="W42">
        <v>5.0999999999999997E-2</v>
      </c>
      <c r="X42">
        <v>4.9000000000000002E-2</v>
      </c>
      <c r="Y42">
        <v>0.13700000000000001</v>
      </c>
      <c r="Z42">
        <v>5.0999999999999997E-2</v>
      </c>
      <c r="AA42">
        <v>5.0999999999999997E-2</v>
      </c>
      <c r="AD42">
        <v>5.0999999999999997E-2</v>
      </c>
      <c r="AE42">
        <v>0.17100000000000001</v>
      </c>
      <c r="AF42">
        <v>5.0999999999999997E-2</v>
      </c>
      <c r="AG42">
        <v>5.0999999999999997E-2</v>
      </c>
      <c r="AH42">
        <v>5.0999999999999997E-2</v>
      </c>
      <c r="AK42">
        <v>7.3999999999999996E-2</v>
      </c>
      <c r="AL42">
        <v>0.13900000000000001</v>
      </c>
      <c r="AM42">
        <v>5.0999999999999997E-2</v>
      </c>
      <c r="AN42">
        <v>0.05</v>
      </c>
      <c r="AO42">
        <v>9.5109999999999992</v>
      </c>
    </row>
    <row r="43" spans="1:41" hidden="1">
      <c r="A43">
        <v>41</v>
      </c>
      <c r="B43">
        <v>5.8000000000000003E-2</v>
      </c>
      <c r="C43" s="1">
        <v>6.0000000000000002E-5</v>
      </c>
      <c r="D43" s="1">
        <v>5.7000000000000003E-5</v>
      </c>
      <c r="E43" s="1">
        <v>5.5000000000000002E-5</v>
      </c>
      <c r="F43" s="1">
        <v>5.5000000000000002E-5</v>
      </c>
      <c r="I43">
        <v>8.3000000000000004E-2</v>
      </c>
      <c r="J43">
        <v>5.0850000000000001E-3</v>
      </c>
      <c r="K43" s="1">
        <v>8.7999999999999998E-5</v>
      </c>
      <c r="L43" s="1">
        <v>8.6000000000000003E-5</v>
      </c>
      <c r="M43" s="1">
        <v>7.8999999999999996E-5</v>
      </c>
      <c r="P43">
        <v>9.9269999999999996</v>
      </c>
      <c r="Q43">
        <v>5.7749999999999998E-3</v>
      </c>
      <c r="R43" s="1">
        <v>6.2000000000000003E-5</v>
      </c>
      <c r="S43" s="1">
        <v>5.7000000000000003E-5</v>
      </c>
      <c r="T43" s="1">
        <v>5.5999999999999999E-5</v>
      </c>
      <c r="U43" s="1"/>
      <c r="W43">
        <v>0.13400000000000001</v>
      </c>
      <c r="X43">
        <v>5.0999999999999997E-2</v>
      </c>
      <c r="Y43">
        <v>5.1999999999999998E-2</v>
      </c>
      <c r="Z43">
        <v>0.05</v>
      </c>
      <c r="AA43">
        <v>0.05</v>
      </c>
      <c r="AD43">
        <v>5.0999999999999997E-2</v>
      </c>
      <c r="AE43">
        <v>0.05</v>
      </c>
      <c r="AF43">
        <v>0.05</v>
      </c>
      <c r="AG43">
        <v>0.05</v>
      </c>
      <c r="AH43">
        <v>0.05</v>
      </c>
      <c r="AK43">
        <v>0.61199999999999999</v>
      </c>
      <c r="AL43">
        <v>2.6480000000000001</v>
      </c>
      <c r="AM43">
        <v>5.3999999999999999E-2</v>
      </c>
      <c r="AN43">
        <v>5.0999999999999997E-2</v>
      </c>
      <c r="AO43">
        <v>2.4510000000000001</v>
      </c>
    </row>
    <row r="44" spans="1:41" hidden="1">
      <c r="A44">
        <v>42</v>
      </c>
      <c r="B44">
        <v>5.7000000000000002E-2</v>
      </c>
      <c r="C44" s="1">
        <v>5.7000000000000003E-5</v>
      </c>
      <c r="D44" s="1">
        <v>5.5000000000000002E-5</v>
      </c>
      <c r="E44" s="1">
        <v>5.5000000000000002E-5</v>
      </c>
      <c r="F44" s="1">
        <v>5.5000000000000002E-5</v>
      </c>
      <c r="I44">
        <v>8.7999999999999995E-2</v>
      </c>
      <c r="J44" s="1">
        <v>8.0000000000000007E-5</v>
      </c>
      <c r="K44" s="1">
        <v>8.2999999999999998E-5</v>
      </c>
      <c r="L44" s="1">
        <v>7.7000000000000001E-5</v>
      </c>
      <c r="M44" s="1">
        <v>8.7000000000000001E-5</v>
      </c>
      <c r="P44">
        <v>8.1000000000000003E-2</v>
      </c>
      <c r="Q44" s="1">
        <v>6.0999999999999999E-5</v>
      </c>
      <c r="R44" s="1">
        <v>5.5000000000000002E-5</v>
      </c>
      <c r="S44">
        <v>1.5699999999999999E-4</v>
      </c>
      <c r="T44" s="1">
        <v>5.5999999999999999E-5</v>
      </c>
      <c r="U44" s="1"/>
      <c r="W44">
        <v>5.2999999999999999E-2</v>
      </c>
      <c r="X44">
        <v>4.8000000000000001E-2</v>
      </c>
      <c r="Y44">
        <v>4.9000000000000002E-2</v>
      </c>
      <c r="Z44">
        <v>0.05</v>
      </c>
      <c r="AA44">
        <v>0.13400000000000001</v>
      </c>
      <c r="AD44">
        <v>0.191</v>
      </c>
      <c r="AE44">
        <v>5.8000000000000003E-2</v>
      </c>
      <c r="AF44">
        <v>0.182</v>
      </c>
      <c r="AG44">
        <v>5.2999999999999999E-2</v>
      </c>
      <c r="AH44">
        <v>5.0999999999999997E-2</v>
      </c>
      <c r="AK44">
        <v>3.8570000000000002</v>
      </c>
      <c r="AL44">
        <v>5.1999999999999998E-2</v>
      </c>
      <c r="AM44">
        <v>0.16</v>
      </c>
      <c r="AN44">
        <v>5.1999999999999998E-2</v>
      </c>
      <c r="AO44">
        <v>5.1999999999999998E-2</v>
      </c>
    </row>
    <row r="45" spans="1:41" hidden="1">
      <c r="A45">
        <v>43</v>
      </c>
      <c r="B45">
        <v>5.8999999999999997E-2</v>
      </c>
      <c r="C45" s="1">
        <v>5.7000000000000003E-5</v>
      </c>
      <c r="D45" s="1">
        <v>5.7000000000000003E-5</v>
      </c>
      <c r="E45" s="1">
        <v>5.3999999999999998E-5</v>
      </c>
      <c r="F45" s="1">
        <v>5.3999999999999998E-5</v>
      </c>
      <c r="I45">
        <v>9.0999999999999998E-2</v>
      </c>
      <c r="J45" s="1">
        <v>8.2000000000000001E-5</v>
      </c>
      <c r="K45" s="1">
        <v>7.8999999999999996E-5</v>
      </c>
      <c r="L45">
        <v>1.3300000000000001E-4</v>
      </c>
      <c r="M45" s="1">
        <v>7.8999999999999996E-5</v>
      </c>
      <c r="P45">
        <v>9.5719999999999992</v>
      </c>
      <c r="Q45">
        <v>1.1900000000000001E-4</v>
      </c>
      <c r="R45">
        <v>1.13E-4</v>
      </c>
      <c r="S45">
        <v>1.05E-4</v>
      </c>
      <c r="T45">
        <v>1.02E-4</v>
      </c>
      <c r="W45">
        <v>5.1999999999999998E-2</v>
      </c>
      <c r="X45">
        <v>4.9000000000000002E-2</v>
      </c>
      <c r="Y45">
        <v>0.05</v>
      </c>
      <c r="Z45">
        <v>0.05</v>
      </c>
      <c r="AA45">
        <v>5.0999999999999997E-2</v>
      </c>
      <c r="AD45">
        <v>5.0999999999999997E-2</v>
      </c>
      <c r="AE45">
        <v>4.9000000000000002E-2</v>
      </c>
      <c r="AF45">
        <v>0.05</v>
      </c>
      <c r="AG45">
        <v>5.3999999999999999E-2</v>
      </c>
      <c r="AH45">
        <v>0.05</v>
      </c>
      <c r="AK45">
        <v>5.1999999999999998E-2</v>
      </c>
      <c r="AL45">
        <v>0.05</v>
      </c>
      <c r="AM45">
        <v>4.9000000000000002E-2</v>
      </c>
      <c r="AN45">
        <v>4.9000000000000002E-2</v>
      </c>
      <c r="AO45">
        <v>5.6000000000000001E-2</v>
      </c>
    </row>
    <row r="46" spans="1:41" hidden="1">
      <c r="A46">
        <v>44</v>
      </c>
      <c r="B46">
        <v>5.7000000000000002E-2</v>
      </c>
      <c r="C46" s="1">
        <v>5.7000000000000003E-5</v>
      </c>
      <c r="D46" s="1">
        <v>5.5999999999999999E-5</v>
      </c>
      <c r="E46">
        <v>3.1300000000000002E-4</v>
      </c>
      <c r="F46">
        <v>1.5100000000000001E-4</v>
      </c>
      <c r="I46">
        <v>0.09</v>
      </c>
      <c r="J46" s="1">
        <v>8.2999999999999998E-5</v>
      </c>
      <c r="K46" s="1">
        <v>7.8999999999999996E-5</v>
      </c>
      <c r="L46">
        <v>2.23E-4</v>
      </c>
      <c r="M46" s="1">
        <v>8.2000000000000001E-5</v>
      </c>
      <c r="P46">
        <v>0.11600000000000001</v>
      </c>
      <c r="Q46">
        <v>1.13E-4</v>
      </c>
      <c r="R46" s="1">
        <v>8.7999999999999998E-5</v>
      </c>
      <c r="S46">
        <v>2.5999999999999998E-4</v>
      </c>
      <c r="T46" s="1">
        <v>9.2E-5</v>
      </c>
      <c r="U46" s="1"/>
      <c r="W46">
        <v>5.0999999999999997E-2</v>
      </c>
      <c r="X46">
        <v>5.5E-2</v>
      </c>
      <c r="Y46">
        <v>1.236</v>
      </c>
      <c r="Z46">
        <v>5.2999999999999999E-2</v>
      </c>
      <c r="AA46">
        <v>5.8000000000000003E-2</v>
      </c>
      <c r="AD46">
        <v>5.1999999999999998E-2</v>
      </c>
      <c r="AE46">
        <v>4.8000000000000001E-2</v>
      </c>
      <c r="AF46">
        <v>0.05</v>
      </c>
      <c r="AG46">
        <v>4.9000000000000002E-2</v>
      </c>
      <c r="AH46">
        <v>0.05</v>
      </c>
      <c r="AK46">
        <v>5.1999999999999998E-2</v>
      </c>
      <c r="AL46">
        <v>0.05</v>
      </c>
      <c r="AM46">
        <v>0.05</v>
      </c>
      <c r="AN46">
        <v>0.05</v>
      </c>
      <c r="AO46">
        <v>0.05</v>
      </c>
    </row>
    <row r="47" spans="1:41" hidden="1">
      <c r="A47">
        <v>45</v>
      </c>
      <c r="B47">
        <v>0.06</v>
      </c>
      <c r="C47" s="1">
        <v>6.3E-5</v>
      </c>
      <c r="D47" s="1">
        <v>6.0000000000000002E-5</v>
      </c>
      <c r="E47" s="1">
        <v>6.0999999999999999E-5</v>
      </c>
      <c r="F47" s="1">
        <v>6.0999999999999999E-5</v>
      </c>
      <c r="I47">
        <v>8.2000000000000003E-2</v>
      </c>
      <c r="J47" s="1">
        <v>7.3999999999999996E-5</v>
      </c>
      <c r="K47" s="1">
        <v>7.6000000000000004E-5</v>
      </c>
      <c r="L47" s="1">
        <v>6.9999999999999994E-5</v>
      </c>
      <c r="M47" s="1">
        <v>7.6000000000000004E-5</v>
      </c>
      <c r="P47">
        <v>9.6000000000000002E-2</v>
      </c>
      <c r="Q47" s="1">
        <v>9.0000000000000006E-5</v>
      </c>
      <c r="R47" s="1">
        <v>8.1000000000000004E-5</v>
      </c>
      <c r="S47" s="1">
        <v>8.1000000000000004E-5</v>
      </c>
      <c r="T47" s="1">
        <v>7.7999999999999999E-5</v>
      </c>
      <c r="U47" s="1"/>
      <c r="W47">
        <v>5.7000000000000002E-2</v>
      </c>
      <c r="X47">
        <v>4.9000000000000002E-2</v>
      </c>
      <c r="Y47">
        <v>5.0999999999999997E-2</v>
      </c>
      <c r="Z47">
        <v>5.3999999999999999E-2</v>
      </c>
      <c r="AA47">
        <v>0.05</v>
      </c>
      <c r="AD47">
        <v>5.0999999999999997E-2</v>
      </c>
      <c r="AE47">
        <v>0.05</v>
      </c>
      <c r="AF47">
        <v>5.1999999999999998E-2</v>
      </c>
      <c r="AG47">
        <v>0.05</v>
      </c>
      <c r="AH47">
        <v>7.0999999999999994E-2</v>
      </c>
      <c r="AK47">
        <v>5.0999999999999997E-2</v>
      </c>
      <c r="AL47">
        <v>0.05</v>
      </c>
      <c r="AM47">
        <v>5.1999999999999998E-2</v>
      </c>
      <c r="AN47">
        <v>0.05</v>
      </c>
      <c r="AO47">
        <v>0.05</v>
      </c>
    </row>
    <row r="48" spans="1:41" hidden="1">
      <c r="A48">
        <v>46</v>
      </c>
      <c r="B48">
        <v>5.8999999999999997E-2</v>
      </c>
      <c r="C48" s="1">
        <v>6.0000000000000002E-5</v>
      </c>
      <c r="D48">
        <v>1.47E-4</v>
      </c>
      <c r="E48">
        <v>7.2709999999999997E-3</v>
      </c>
      <c r="F48">
        <v>5.2099999999999998E-4</v>
      </c>
      <c r="I48">
        <v>0.08</v>
      </c>
      <c r="J48" s="1">
        <v>7.7999999999999999E-5</v>
      </c>
      <c r="K48">
        <v>3.5199999999999999E-4</v>
      </c>
      <c r="L48" s="1">
        <v>7.2000000000000002E-5</v>
      </c>
      <c r="M48" s="1">
        <v>7.7000000000000001E-5</v>
      </c>
      <c r="P48">
        <v>8.2000000000000003E-2</v>
      </c>
      <c r="Q48" s="1">
        <v>8.2000000000000001E-5</v>
      </c>
      <c r="R48" s="1">
        <v>7.8999999999999996E-5</v>
      </c>
      <c r="S48" s="1">
        <v>7.8999999999999996E-5</v>
      </c>
      <c r="T48" s="1">
        <v>8.0000000000000007E-5</v>
      </c>
      <c r="U48" s="1"/>
      <c r="W48">
        <v>5.0999999999999997E-2</v>
      </c>
      <c r="X48">
        <v>1.6739999999999999</v>
      </c>
      <c r="Y48">
        <v>5.6000000000000001E-2</v>
      </c>
      <c r="Z48">
        <v>0.06</v>
      </c>
      <c r="AA48">
        <v>5.7000000000000002E-2</v>
      </c>
      <c r="AD48">
        <v>0.05</v>
      </c>
      <c r="AE48">
        <v>10.763</v>
      </c>
      <c r="AF48">
        <v>1.1910000000000001</v>
      </c>
      <c r="AG48">
        <v>5.6000000000000001E-2</v>
      </c>
      <c r="AH48">
        <v>7.4999999999999997E-2</v>
      </c>
      <c r="AK48">
        <v>5.0999999999999997E-2</v>
      </c>
      <c r="AL48">
        <v>4.9000000000000002E-2</v>
      </c>
      <c r="AM48">
        <v>0.05</v>
      </c>
      <c r="AN48">
        <v>0.05</v>
      </c>
      <c r="AO48">
        <v>4.9000000000000002E-2</v>
      </c>
    </row>
    <row r="49" spans="1:41" hidden="1">
      <c r="A49">
        <v>47</v>
      </c>
      <c r="B49">
        <v>6.3E-2</v>
      </c>
      <c r="C49" s="1">
        <v>5.8999999999999998E-5</v>
      </c>
      <c r="D49" s="1">
        <v>5.5000000000000002E-5</v>
      </c>
      <c r="E49" s="1">
        <v>5.5000000000000002E-5</v>
      </c>
      <c r="F49">
        <v>2.04E-4</v>
      </c>
      <c r="I49">
        <v>7.4999999999999997E-2</v>
      </c>
      <c r="J49" s="1">
        <v>8.0000000000000007E-5</v>
      </c>
      <c r="K49">
        <v>9.2199999999999997E-4</v>
      </c>
      <c r="L49" s="1">
        <v>6.6000000000000005E-5</v>
      </c>
      <c r="M49">
        <v>1E-4</v>
      </c>
      <c r="P49">
        <v>9.0999999999999998E-2</v>
      </c>
      <c r="Q49" s="1">
        <v>9.0000000000000006E-5</v>
      </c>
      <c r="R49" s="1">
        <v>8.6000000000000003E-5</v>
      </c>
      <c r="S49" s="1">
        <v>8.5000000000000006E-5</v>
      </c>
      <c r="T49" s="1">
        <v>8.0000000000000007E-5</v>
      </c>
      <c r="U49" s="1"/>
      <c r="W49">
        <v>5.6000000000000001E-2</v>
      </c>
      <c r="X49">
        <v>5.6000000000000001E-2</v>
      </c>
      <c r="Y49">
        <v>5.0999999999999997E-2</v>
      </c>
      <c r="Z49">
        <v>5.2999999999999999E-2</v>
      </c>
      <c r="AA49">
        <v>5.0999999999999997E-2</v>
      </c>
      <c r="AD49">
        <v>7.8E-2</v>
      </c>
      <c r="AE49">
        <v>0.11</v>
      </c>
      <c r="AF49">
        <v>5.5E-2</v>
      </c>
      <c r="AG49">
        <v>5.0999999999999997E-2</v>
      </c>
      <c r="AH49">
        <v>5.3999999999999999E-2</v>
      </c>
      <c r="AK49">
        <v>5.0999999999999997E-2</v>
      </c>
      <c r="AL49">
        <v>0.05</v>
      </c>
      <c r="AM49">
        <v>0.05</v>
      </c>
      <c r="AN49">
        <v>0.05</v>
      </c>
      <c r="AO49">
        <v>4.9000000000000002E-2</v>
      </c>
    </row>
    <row r="50" spans="1:41" hidden="1">
      <c r="A50">
        <v>48</v>
      </c>
      <c r="B50">
        <v>2.41</v>
      </c>
      <c r="C50">
        <v>1.7100000000000001E-4</v>
      </c>
      <c r="D50" s="1">
        <v>6.2000000000000003E-5</v>
      </c>
      <c r="E50" s="1">
        <v>5.7000000000000003E-5</v>
      </c>
      <c r="F50" s="1">
        <v>5.5000000000000002E-5</v>
      </c>
      <c r="I50">
        <v>0.188</v>
      </c>
      <c r="J50" s="1">
        <v>7.1000000000000005E-5</v>
      </c>
      <c r="K50" s="1">
        <v>6.7999999999999999E-5</v>
      </c>
      <c r="L50" s="1">
        <v>6.8999999999999997E-5</v>
      </c>
      <c r="M50" s="1">
        <v>7.1000000000000005E-5</v>
      </c>
      <c r="P50">
        <v>8.3000000000000004E-2</v>
      </c>
      <c r="Q50" s="1">
        <v>8.7999999999999998E-5</v>
      </c>
      <c r="R50">
        <v>5.3689999999999996E-3</v>
      </c>
      <c r="S50">
        <v>9.3099999999999997E-4</v>
      </c>
      <c r="T50">
        <v>1.44E-4</v>
      </c>
      <c r="W50">
        <v>10.164</v>
      </c>
      <c r="X50">
        <v>0.254</v>
      </c>
      <c r="Y50">
        <v>5.2999999999999999E-2</v>
      </c>
      <c r="Z50">
        <v>5.0999999999999997E-2</v>
      </c>
      <c r="AA50">
        <v>8.8999999999999996E-2</v>
      </c>
      <c r="AD50">
        <v>5.3999999999999999E-2</v>
      </c>
      <c r="AE50">
        <v>5.0999999999999997E-2</v>
      </c>
      <c r="AF50">
        <v>5.0999999999999997E-2</v>
      </c>
      <c r="AG50">
        <v>5.0999999999999997E-2</v>
      </c>
      <c r="AH50">
        <v>5.0999999999999997E-2</v>
      </c>
      <c r="AK50">
        <v>5.0999999999999997E-2</v>
      </c>
      <c r="AL50">
        <v>4.9000000000000002E-2</v>
      </c>
      <c r="AM50">
        <v>0.05</v>
      </c>
      <c r="AN50">
        <v>0.05</v>
      </c>
      <c r="AO50">
        <v>0.18099999999999999</v>
      </c>
    </row>
    <row r="51" spans="1:41" hidden="1">
      <c r="A51">
        <v>49</v>
      </c>
      <c r="B51">
        <v>5.8000000000000003E-2</v>
      </c>
      <c r="C51" s="1">
        <v>5.7000000000000003E-5</v>
      </c>
      <c r="D51">
        <v>9.01E-4</v>
      </c>
      <c r="E51" s="1">
        <v>5.7000000000000003E-5</v>
      </c>
      <c r="F51" s="1">
        <v>5.8999999999999998E-5</v>
      </c>
      <c r="I51">
        <v>6.6000000000000003E-2</v>
      </c>
      <c r="J51" s="1">
        <v>7.6000000000000004E-5</v>
      </c>
      <c r="K51" s="1">
        <v>6.8999999999999997E-5</v>
      </c>
      <c r="L51" s="1">
        <v>7.1000000000000005E-5</v>
      </c>
      <c r="M51">
        <v>5.8600000000000004E-4</v>
      </c>
      <c r="P51">
        <v>0.107</v>
      </c>
      <c r="Q51" s="1">
        <v>8.2000000000000001E-5</v>
      </c>
      <c r="R51" s="1">
        <v>7.1000000000000005E-5</v>
      </c>
      <c r="S51" s="1">
        <v>6.9999999999999994E-5</v>
      </c>
      <c r="T51">
        <v>4.9540000000000001E-3</v>
      </c>
      <c r="W51">
        <v>5.5E-2</v>
      </c>
      <c r="X51">
        <v>4.9000000000000002E-2</v>
      </c>
      <c r="Y51">
        <v>0.05</v>
      </c>
      <c r="Z51">
        <v>5.2999999999999999E-2</v>
      </c>
      <c r="AA51">
        <v>5.7000000000000002E-2</v>
      </c>
      <c r="AD51">
        <v>5.0999999999999997E-2</v>
      </c>
      <c r="AE51">
        <v>0.05</v>
      </c>
      <c r="AF51">
        <v>0.05</v>
      </c>
      <c r="AG51">
        <v>0.153</v>
      </c>
      <c r="AH51">
        <v>5.1999999999999998E-2</v>
      </c>
      <c r="AK51">
        <v>5.6000000000000001E-2</v>
      </c>
      <c r="AL51">
        <v>0.05</v>
      </c>
      <c r="AM51">
        <v>11.724</v>
      </c>
      <c r="AN51">
        <v>0.89300000000000002</v>
      </c>
      <c r="AO51">
        <v>9.7000000000000003E-2</v>
      </c>
    </row>
    <row r="52" spans="1:41" hidden="1">
      <c r="A52">
        <v>50</v>
      </c>
      <c r="B52">
        <v>0.154</v>
      </c>
      <c r="C52" s="1">
        <v>6.4999999999999994E-5</v>
      </c>
      <c r="D52" s="1">
        <v>5.5999999999999999E-5</v>
      </c>
      <c r="E52" s="1">
        <v>6.0999999999999999E-5</v>
      </c>
      <c r="F52" s="1">
        <v>5.3999999999999998E-5</v>
      </c>
      <c r="I52">
        <v>6.8000000000000005E-2</v>
      </c>
      <c r="J52" s="1">
        <v>7.2000000000000002E-5</v>
      </c>
      <c r="K52" s="1">
        <v>6.9999999999999994E-5</v>
      </c>
      <c r="L52" s="1">
        <v>7.2000000000000002E-5</v>
      </c>
      <c r="M52" s="1">
        <v>6.3999999999999997E-5</v>
      </c>
      <c r="P52">
        <v>7.2999999999999995E-2</v>
      </c>
      <c r="Q52">
        <v>2.32E-4</v>
      </c>
      <c r="R52" s="1">
        <v>7.1000000000000005E-5</v>
      </c>
      <c r="S52" s="1">
        <v>6.6000000000000005E-5</v>
      </c>
      <c r="T52" s="1">
        <v>6.3999999999999997E-5</v>
      </c>
      <c r="U52" s="1"/>
      <c r="W52">
        <v>5.8999999999999997E-2</v>
      </c>
      <c r="X52">
        <v>5.3999999999999999E-2</v>
      </c>
      <c r="Y52">
        <v>5.8000000000000003E-2</v>
      </c>
      <c r="Z52">
        <v>5.5E-2</v>
      </c>
      <c r="AA52">
        <v>5.5E-2</v>
      </c>
      <c r="AD52">
        <v>5.1999999999999998E-2</v>
      </c>
      <c r="AE52">
        <v>4.9000000000000002E-2</v>
      </c>
      <c r="AF52">
        <v>5.1999999999999998E-2</v>
      </c>
      <c r="AG52">
        <v>0.05</v>
      </c>
      <c r="AH52">
        <v>0.05</v>
      </c>
      <c r="AK52">
        <v>9.1999999999999998E-2</v>
      </c>
      <c r="AL52">
        <v>0.19</v>
      </c>
      <c r="AM52">
        <v>5.2999999999999999E-2</v>
      </c>
      <c r="AN52">
        <v>5.1999999999999998E-2</v>
      </c>
      <c r="AO52">
        <v>5.0999999999999997E-2</v>
      </c>
    </row>
    <row r="53" spans="1:41" hidden="1">
      <c r="A53">
        <v>51</v>
      </c>
      <c r="B53">
        <v>9.9000000000000005E-2</v>
      </c>
      <c r="C53">
        <v>2.1900000000000001E-4</v>
      </c>
      <c r="D53" s="1">
        <v>5.7000000000000003E-5</v>
      </c>
      <c r="E53" s="1">
        <v>5.5999999999999999E-5</v>
      </c>
      <c r="F53" s="1">
        <v>5.3999999999999998E-5</v>
      </c>
      <c r="I53">
        <v>6.6000000000000003E-2</v>
      </c>
      <c r="J53" s="1">
        <v>6.6000000000000005E-5</v>
      </c>
      <c r="K53">
        <v>7.2820000000000003E-3</v>
      </c>
      <c r="L53">
        <v>9.2299999999999999E-4</v>
      </c>
      <c r="M53" s="1">
        <v>9.0000000000000006E-5</v>
      </c>
      <c r="P53">
        <v>6.8000000000000005E-2</v>
      </c>
      <c r="Q53" s="1">
        <v>6.8999999999999997E-5</v>
      </c>
      <c r="R53" s="1">
        <v>6.3E-5</v>
      </c>
      <c r="S53" s="1">
        <v>6.3999999999999997E-5</v>
      </c>
      <c r="T53">
        <v>1.76E-4</v>
      </c>
      <c r="W53">
        <v>5.8999999999999997E-2</v>
      </c>
      <c r="X53">
        <v>5.3999999999999999E-2</v>
      </c>
      <c r="Y53">
        <v>0.16700000000000001</v>
      </c>
      <c r="Z53">
        <v>5.7000000000000002E-2</v>
      </c>
      <c r="AA53">
        <v>5.2999999999999999E-2</v>
      </c>
      <c r="AD53">
        <v>5.0999999999999997E-2</v>
      </c>
      <c r="AE53">
        <v>4.9000000000000002E-2</v>
      </c>
      <c r="AF53">
        <v>0.13700000000000001</v>
      </c>
      <c r="AG53">
        <v>0.05</v>
      </c>
      <c r="AH53">
        <v>4.9000000000000002E-2</v>
      </c>
      <c r="AK53">
        <v>5.6000000000000001E-2</v>
      </c>
      <c r="AL53">
        <v>7.2999999999999995E-2</v>
      </c>
      <c r="AM53">
        <v>5.1999999999999998E-2</v>
      </c>
      <c r="AN53">
        <v>0.13700000000000001</v>
      </c>
      <c r="AO53">
        <v>5.5E-2</v>
      </c>
    </row>
    <row r="54" spans="1:41" hidden="1">
      <c r="A54">
        <v>52</v>
      </c>
      <c r="B54">
        <v>5.8000000000000003E-2</v>
      </c>
      <c r="C54" s="1">
        <v>5.7000000000000003E-5</v>
      </c>
      <c r="D54" s="1">
        <v>5.5999999999999999E-5</v>
      </c>
      <c r="E54" s="1">
        <v>5.5000000000000002E-5</v>
      </c>
      <c r="F54" s="1">
        <v>5.3999999999999998E-5</v>
      </c>
      <c r="I54">
        <v>8.6999999999999994E-2</v>
      </c>
      <c r="J54" s="1">
        <v>9.0000000000000006E-5</v>
      </c>
      <c r="K54" s="1">
        <v>5.7000000000000003E-5</v>
      </c>
      <c r="L54" s="1">
        <v>7.7999999999999999E-5</v>
      </c>
      <c r="M54" s="1">
        <v>8.2999999999999998E-5</v>
      </c>
      <c r="P54">
        <v>6.7000000000000004E-2</v>
      </c>
      <c r="Q54" s="1">
        <v>8.7999999999999998E-5</v>
      </c>
      <c r="R54">
        <v>1.66E-4</v>
      </c>
      <c r="S54" s="1">
        <v>5.8999999999999998E-5</v>
      </c>
      <c r="T54" s="1">
        <v>6.7000000000000002E-5</v>
      </c>
      <c r="U54" s="1"/>
      <c r="W54">
        <v>0.104</v>
      </c>
      <c r="X54">
        <v>5.0999999999999997E-2</v>
      </c>
      <c r="Y54">
        <v>5.0999999999999997E-2</v>
      </c>
      <c r="Z54">
        <v>5.1999999999999998E-2</v>
      </c>
      <c r="AA54">
        <v>5.0999999999999997E-2</v>
      </c>
      <c r="AD54">
        <v>5.0999999999999997E-2</v>
      </c>
      <c r="AE54">
        <v>4.9000000000000002E-2</v>
      </c>
      <c r="AF54">
        <v>6.173</v>
      </c>
      <c r="AG54">
        <v>0.52800000000000002</v>
      </c>
      <c r="AH54">
        <v>6.0999999999999999E-2</v>
      </c>
      <c r="AK54">
        <v>0.06</v>
      </c>
      <c r="AL54">
        <v>5.0999999999999997E-2</v>
      </c>
      <c r="AM54">
        <v>6.2E-2</v>
      </c>
      <c r="AN54">
        <v>5.7000000000000002E-2</v>
      </c>
      <c r="AO54">
        <v>5.8000000000000003E-2</v>
      </c>
    </row>
    <row r="55" spans="1:41" hidden="1">
      <c r="A55">
        <v>53</v>
      </c>
      <c r="B55">
        <v>5.8000000000000003E-2</v>
      </c>
      <c r="C55">
        <v>1.1E-4</v>
      </c>
      <c r="D55">
        <v>1.3999999999999999E-4</v>
      </c>
      <c r="E55" s="1">
        <v>5.7000000000000003E-5</v>
      </c>
      <c r="F55" s="1">
        <v>8.8999999999999995E-5</v>
      </c>
      <c r="I55">
        <v>0.59799999999999998</v>
      </c>
      <c r="J55" s="1">
        <v>6.3E-5</v>
      </c>
      <c r="K55" s="1">
        <v>8.7000000000000001E-5</v>
      </c>
      <c r="L55" s="1">
        <v>8.6000000000000003E-5</v>
      </c>
      <c r="M55" s="1">
        <v>8.6000000000000003E-5</v>
      </c>
      <c r="P55">
        <v>0.08</v>
      </c>
      <c r="Q55">
        <v>2.5000000000000001E-4</v>
      </c>
      <c r="R55" s="1">
        <v>5.7000000000000003E-5</v>
      </c>
      <c r="S55" s="1">
        <v>6.0999999999999999E-5</v>
      </c>
      <c r="T55" s="1">
        <v>5.5000000000000002E-5</v>
      </c>
      <c r="U55" s="1"/>
      <c r="W55">
        <v>5.3999999999999999E-2</v>
      </c>
      <c r="X55">
        <v>0.05</v>
      </c>
      <c r="Y55">
        <v>0.05</v>
      </c>
      <c r="Z55">
        <v>5.0999999999999997E-2</v>
      </c>
      <c r="AA55">
        <v>4.9000000000000002E-2</v>
      </c>
      <c r="AD55">
        <v>5.8999999999999997E-2</v>
      </c>
      <c r="AE55">
        <v>5.5E-2</v>
      </c>
      <c r="AF55">
        <v>0.05</v>
      </c>
      <c r="AG55">
        <v>0.05</v>
      </c>
      <c r="AH55">
        <v>0.05</v>
      </c>
      <c r="AK55">
        <v>0.27200000000000002</v>
      </c>
      <c r="AL55">
        <v>5.3999999999999999E-2</v>
      </c>
      <c r="AM55">
        <v>5.6000000000000001E-2</v>
      </c>
      <c r="AN55">
        <v>5.0999999999999997E-2</v>
      </c>
      <c r="AO55">
        <v>5.0999999999999997E-2</v>
      </c>
    </row>
    <row r="56" spans="1:41" hidden="1">
      <c r="A56">
        <v>54</v>
      </c>
      <c r="B56">
        <v>0.66</v>
      </c>
      <c r="C56" s="1">
        <v>5.7000000000000003E-5</v>
      </c>
      <c r="D56" s="1">
        <v>5.5000000000000002E-5</v>
      </c>
      <c r="E56" s="1">
        <v>5.3999999999999998E-5</v>
      </c>
      <c r="F56" s="1">
        <v>5.5999999999999999E-5</v>
      </c>
      <c r="I56">
        <v>6.0999999999999999E-2</v>
      </c>
      <c r="J56" s="1">
        <v>8.6000000000000003E-5</v>
      </c>
      <c r="K56" s="1">
        <v>5.7000000000000003E-5</v>
      </c>
      <c r="L56" s="1">
        <v>7.7999999999999999E-5</v>
      </c>
      <c r="M56" s="1">
        <v>8.2000000000000001E-5</v>
      </c>
      <c r="P56">
        <v>6.2E-2</v>
      </c>
      <c r="Q56" s="1">
        <v>5.8E-5</v>
      </c>
      <c r="R56" s="1">
        <v>6.6000000000000005E-5</v>
      </c>
      <c r="S56" s="1">
        <v>6.0999999999999999E-5</v>
      </c>
      <c r="T56" s="1">
        <v>6.4999999999999994E-5</v>
      </c>
      <c r="U56" s="1"/>
      <c r="W56">
        <v>5.0999999999999997E-2</v>
      </c>
      <c r="X56">
        <v>0.05</v>
      </c>
      <c r="Y56">
        <v>0.05</v>
      </c>
      <c r="Z56">
        <v>0.05</v>
      </c>
      <c r="AA56">
        <v>5.1999999999999998E-2</v>
      </c>
      <c r="AD56">
        <v>5.6000000000000001E-2</v>
      </c>
      <c r="AE56">
        <v>4.9000000000000002E-2</v>
      </c>
      <c r="AF56">
        <v>3.2229999999999999</v>
      </c>
      <c r="AG56">
        <v>5.2999999999999999E-2</v>
      </c>
      <c r="AH56">
        <v>7.9000000000000001E-2</v>
      </c>
      <c r="AK56">
        <v>5.1999999999999998E-2</v>
      </c>
      <c r="AL56">
        <v>0.623</v>
      </c>
      <c r="AM56">
        <v>5.3999999999999999E-2</v>
      </c>
      <c r="AN56">
        <v>9.8000000000000004E-2</v>
      </c>
      <c r="AO56">
        <v>5.6000000000000001E-2</v>
      </c>
    </row>
    <row r="57" spans="1:41" hidden="1">
      <c r="A57">
        <v>55</v>
      </c>
      <c r="B57">
        <v>5.8000000000000003E-2</v>
      </c>
      <c r="C57">
        <v>2.2395000000000002E-2</v>
      </c>
      <c r="D57">
        <v>1.0629999999999999E-3</v>
      </c>
      <c r="E57" s="1">
        <v>5.7000000000000003E-5</v>
      </c>
      <c r="F57" s="1">
        <v>5.5999999999999999E-5</v>
      </c>
      <c r="I57">
        <v>8.1000000000000003E-2</v>
      </c>
      <c r="J57" s="1">
        <v>6.0000000000000002E-5</v>
      </c>
      <c r="K57" s="1">
        <v>5.5999999999999999E-5</v>
      </c>
      <c r="L57" s="1">
        <v>5.5999999999999999E-5</v>
      </c>
      <c r="M57" s="1">
        <v>5.3999999999999998E-5</v>
      </c>
      <c r="P57">
        <v>6.2E-2</v>
      </c>
      <c r="Q57" s="1">
        <v>6.6000000000000005E-5</v>
      </c>
      <c r="R57" s="1">
        <v>6.0999999999999999E-5</v>
      </c>
      <c r="S57" s="1">
        <v>6.2000000000000003E-5</v>
      </c>
      <c r="T57" s="1">
        <v>5.5000000000000002E-5</v>
      </c>
      <c r="U57" s="1"/>
      <c r="W57">
        <v>13.079000000000001</v>
      </c>
      <c r="X57">
        <v>0.441</v>
      </c>
      <c r="Y57">
        <v>6.7000000000000004E-2</v>
      </c>
      <c r="Z57">
        <v>6.4000000000000001E-2</v>
      </c>
      <c r="AA57">
        <v>0.06</v>
      </c>
      <c r="AD57">
        <v>5.2999999999999999E-2</v>
      </c>
      <c r="AE57">
        <v>0.05</v>
      </c>
      <c r="AF57">
        <v>4.0519999999999996</v>
      </c>
      <c r="AG57">
        <v>7.5999999999999998E-2</v>
      </c>
      <c r="AH57">
        <v>0.107</v>
      </c>
      <c r="AK57">
        <v>5.2999999999999999E-2</v>
      </c>
      <c r="AL57">
        <v>4.9000000000000002E-2</v>
      </c>
      <c r="AM57">
        <v>5.1999999999999998E-2</v>
      </c>
      <c r="AN57">
        <v>5.0999999999999997E-2</v>
      </c>
      <c r="AO57">
        <v>4.9000000000000002E-2</v>
      </c>
    </row>
    <row r="58" spans="1:41" hidden="1">
      <c r="A58">
        <v>56</v>
      </c>
      <c r="B58">
        <v>5.8000000000000003E-2</v>
      </c>
      <c r="C58" s="1">
        <v>5.7000000000000003E-5</v>
      </c>
      <c r="D58" s="1">
        <v>5.5000000000000002E-5</v>
      </c>
      <c r="E58" s="1">
        <v>5.5000000000000002E-5</v>
      </c>
      <c r="F58">
        <v>1.3300000000000001E-4</v>
      </c>
      <c r="I58">
        <v>5.1289999999999996</v>
      </c>
      <c r="J58">
        <v>3.0639999999999999E-3</v>
      </c>
      <c r="K58" s="1">
        <v>6.0000000000000002E-5</v>
      </c>
      <c r="L58" s="1">
        <v>5.8E-5</v>
      </c>
      <c r="M58" s="1">
        <v>5.7000000000000003E-5</v>
      </c>
      <c r="P58">
        <v>5.8999999999999997E-2</v>
      </c>
      <c r="Q58" s="1">
        <v>5.8E-5</v>
      </c>
      <c r="R58" s="1">
        <v>5.5000000000000002E-5</v>
      </c>
      <c r="S58" s="1">
        <v>5.5999999999999999E-5</v>
      </c>
      <c r="T58" s="1">
        <v>5.5000000000000002E-5</v>
      </c>
      <c r="U58" s="1"/>
      <c r="W58">
        <v>5.7000000000000002E-2</v>
      </c>
      <c r="X58">
        <v>0.05</v>
      </c>
      <c r="Y58">
        <v>5.0999999999999997E-2</v>
      </c>
      <c r="Z58">
        <v>0.125</v>
      </c>
      <c r="AA58">
        <v>5.3999999999999999E-2</v>
      </c>
      <c r="AD58">
        <v>6.2E-2</v>
      </c>
      <c r="AE58">
        <v>5.2999999999999999E-2</v>
      </c>
      <c r="AF58">
        <v>5.1999999999999998E-2</v>
      </c>
      <c r="AG58">
        <v>5.1999999999999998E-2</v>
      </c>
      <c r="AH58">
        <v>7.0000000000000007E-2</v>
      </c>
      <c r="AK58">
        <v>5.0999999999999997E-2</v>
      </c>
      <c r="AL58">
        <v>0.05</v>
      </c>
      <c r="AM58">
        <v>0.05</v>
      </c>
      <c r="AN58">
        <v>4.9000000000000002E-2</v>
      </c>
      <c r="AO58">
        <v>5.0999999999999997E-2</v>
      </c>
    </row>
    <row r="59" spans="1:41" hidden="1">
      <c r="A59">
        <v>57</v>
      </c>
      <c r="B59">
        <v>0.06</v>
      </c>
      <c r="C59" s="1">
        <v>6.0999999999999999E-5</v>
      </c>
      <c r="D59">
        <v>2.05E-4</v>
      </c>
      <c r="E59" s="1">
        <v>5.8E-5</v>
      </c>
      <c r="F59" s="1">
        <v>5.5000000000000002E-5</v>
      </c>
      <c r="I59">
        <v>5.8000000000000003E-2</v>
      </c>
      <c r="J59" s="1">
        <v>5.7000000000000003E-5</v>
      </c>
      <c r="K59" s="1">
        <v>5.8999999999999998E-5</v>
      </c>
      <c r="L59" s="1">
        <v>6.3999999999999997E-5</v>
      </c>
      <c r="M59">
        <v>4.5199999999999998E-4</v>
      </c>
      <c r="P59">
        <v>5.7000000000000002E-2</v>
      </c>
      <c r="Q59" s="1">
        <v>5.7000000000000003E-5</v>
      </c>
      <c r="R59" s="1">
        <v>5.7000000000000003E-5</v>
      </c>
      <c r="S59" s="1">
        <v>6.0000000000000002E-5</v>
      </c>
      <c r="T59" s="1">
        <v>5.8999999999999998E-5</v>
      </c>
      <c r="U59" s="1"/>
      <c r="W59">
        <v>5.2999999999999999E-2</v>
      </c>
      <c r="X59">
        <v>0.05</v>
      </c>
      <c r="Y59">
        <v>5.0999999999999997E-2</v>
      </c>
      <c r="Z59">
        <v>5.2999999999999999E-2</v>
      </c>
      <c r="AA59">
        <v>5.0999999999999997E-2</v>
      </c>
      <c r="AD59">
        <v>7.2999999999999995E-2</v>
      </c>
      <c r="AE59">
        <v>0.105</v>
      </c>
      <c r="AF59">
        <v>8.1000000000000003E-2</v>
      </c>
      <c r="AG59">
        <v>5.6000000000000001E-2</v>
      </c>
      <c r="AH59">
        <v>5.1999999999999998E-2</v>
      </c>
      <c r="AK59">
        <v>5.1999999999999998E-2</v>
      </c>
      <c r="AL59">
        <v>4.9000000000000002E-2</v>
      </c>
      <c r="AM59">
        <v>4.9000000000000002E-2</v>
      </c>
      <c r="AN59">
        <v>0.05</v>
      </c>
      <c r="AO59">
        <v>5.0999999999999997E-2</v>
      </c>
    </row>
    <row r="60" spans="1:41" hidden="1">
      <c r="A60">
        <v>58</v>
      </c>
      <c r="B60">
        <v>5.7000000000000002E-2</v>
      </c>
      <c r="C60" s="1">
        <v>5.7000000000000003E-5</v>
      </c>
      <c r="D60" s="1">
        <v>5.5999999999999999E-5</v>
      </c>
      <c r="E60">
        <v>2.7399999999999999E-4</v>
      </c>
      <c r="F60" s="1">
        <v>5.5999999999999999E-5</v>
      </c>
      <c r="I60">
        <v>6.0999999999999999E-2</v>
      </c>
      <c r="J60" s="1">
        <v>9.7999999999999997E-5</v>
      </c>
      <c r="K60" s="1">
        <v>8.2999999999999998E-5</v>
      </c>
      <c r="L60" s="1">
        <v>5.5999999999999999E-5</v>
      </c>
      <c r="M60" s="1">
        <v>5.5000000000000002E-5</v>
      </c>
      <c r="P60">
        <v>6.2E-2</v>
      </c>
      <c r="Q60" s="1">
        <v>6.4999999999999994E-5</v>
      </c>
      <c r="R60" s="1">
        <v>6.0000000000000002E-5</v>
      </c>
      <c r="S60" s="1">
        <v>5.8999999999999998E-5</v>
      </c>
      <c r="T60" s="1">
        <v>6.3999999999999997E-5</v>
      </c>
      <c r="U60" s="1"/>
      <c r="W60">
        <v>5.1999999999999998E-2</v>
      </c>
      <c r="X60">
        <v>5.0999999999999997E-2</v>
      </c>
      <c r="Y60">
        <v>5.0999999999999997E-2</v>
      </c>
      <c r="Z60">
        <v>6.0999999999999999E-2</v>
      </c>
      <c r="AA60">
        <v>5.5E-2</v>
      </c>
      <c r="AD60">
        <v>5.3999999999999999E-2</v>
      </c>
      <c r="AE60">
        <v>7.0000000000000007E-2</v>
      </c>
      <c r="AF60">
        <v>7.1999999999999995E-2</v>
      </c>
      <c r="AG60">
        <v>7.2999999999999995E-2</v>
      </c>
      <c r="AH60">
        <v>0.23699999999999999</v>
      </c>
      <c r="AK60">
        <v>5.3999999999999999E-2</v>
      </c>
      <c r="AL60">
        <v>0.05</v>
      </c>
      <c r="AM60">
        <v>0.05</v>
      </c>
      <c r="AN60">
        <v>5.0999999999999997E-2</v>
      </c>
      <c r="AO60">
        <v>4.9000000000000002E-2</v>
      </c>
    </row>
    <row r="61" spans="1:41" hidden="1">
      <c r="A61">
        <v>59</v>
      </c>
      <c r="B61">
        <v>0.498</v>
      </c>
      <c r="C61" s="1">
        <v>6.0000000000000002E-5</v>
      </c>
      <c r="D61">
        <v>1.18E-4</v>
      </c>
      <c r="E61" s="1">
        <v>5.7000000000000003E-5</v>
      </c>
      <c r="F61" s="1">
        <v>5.5000000000000002E-5</v>
      </c>
      <c r="I61">
        <v>6.3E-2</v>
      </c>
      <c r="J61" s="1">
        <v>8.3999999999999995E-5</v>
      </c>
      <c r="K61" s="1">
        <v>8.0000000000000007E-5</v>
      </c>
      <c r="L61" s="1">
        <v>6.2000000000000003E-5</v>
      </c>
      <c r="M61">
        <v>8.4199999999999998E-4</v>
      </c>
      <c r="P61">
        <v>6.3E-2</v>
      </c>
      <c r="Q61" s="1">
        <v>6.3999999999999997E-5</v>
      </c>
      <c r="R61" s="1">
        <v>6.2000000000000003E-5</v>
      </c>
      <c r="S61" s="1">
        <v>6.0999999999999999E-5</v>
      </c>
      <c r="T61" s="1">
        <v>6.0999999999999999E-5</v>
      </c>
      <c r="U61" s="1"/>
      <c r="W61">
        <v>5.2999999999999999E-2</v>
      </c>
      <c r="X61">
        <v>5.0999999999999997E-2</v>
      </c>
      <c r="Y61">
        <v>0.05</v>
      </c>
      <c r="Z61">
        <v>5.0999999999999997E-2</v>
      </c>
      <c r="AA61">
        <v>0.05</v>
      </c>
      <c r="AD61">
        <v>5.1999999999999998E-2</v>
      </c>
      <c r="AE61">
        <v>7.0000000000000007E-2</v>
      </c>
      <c r="AF61">
        <v>7.0999999999999994E-2</v>
      </c>
      <c r="AG61">
        <v>7.1999999999999995E-2</v>
      </c>
      <c r="AH61">
        <v>7.3999999999999996E-2</v>
      </c>
      <c r="AK61">
        <v>5.1999999999999998E-2</v>
      </c>
      <c r="AL61">
        <v>1.5820000000000001</v>
      </c>
      <c r="AM61">
        <v>5.8000000000000003E-2</v>
      </c>
      <c r="AN61">
        <v>5.6000000000000001E-2</v>
      </c>
      <c r="AO61">
        <v>0.158</v>
      </c>
    </row>
    <row r="62" spans="1:41" hidden="1">
      <c r="A62">
        <v>60</v>
      </c>
      <c r="B62">
        <v>5.7000000000000002E-2</v>
      </c>
      <c r="C62" s="1">
        <v>6.4999999999999994E-5</v>
      </c>
      <c r="D62" s="1">
        <v>5.8E-5</v>
      </c>
      <c r="E62" s="1">
        <v>5.5000000000000002E-5</v>
      </c>
      <c r="F62" s="1">
        <v>6.0999999999999999E-5</v>
      </c>
      <c r="I62">
        <v>6.0999999999999999E-2</v>
      </c>
      <c r="J62" s="1">
        <v>5.8999999999999998E-5</v>
      </c>
      <c r="K62" s="1">
        <v>5.7000000000000003E-5</v>
      </c>
      <c r="L62" s="1">
        <v>5.5999999999999999E-5</v>
      </c>
      <c r="M62" s="1">
        <v>5.5000000000000002E-5</v>
      </c>
      <c r="P62">
        <v>6.3E-2</v>
      </c>
      <c r="Q62" s="1">
        <v>5.8E-5</v>
      </c>
      <c r="R62" s="1">
        <v>5.5000000000000002E-5</v>
      </c>
      <c r="S62">
        <v>9.8899999999999995E-3</v>
      </c>
      <c r="T62" s="1">
        <v>6.4999999999999994E-5</v>
      </c>
      <c r="U62" s="1"/>
      <c r="W62">
        <v>5.0999999999999997E-2</v>
      </c>
      <c r="X62">
        <v>0.16500000000000001</v>
      </c>
      <c r="Y62">
        <v>0.06</v>
      </c>
      <c r="Z62">
        <v>5.7000000000000002E-2</v>
      </c>
      <c r="AA62">
        <v>5.8000000000000003E-2</v>
      </c>
      <c r="AD62">
        <v>7.5999999999999998E-2</v>
      </c>
      <c r="AE62">
        <v>7.5999999999999998E-2</v>
      </c>
      <c r="AF62">
        <v>7.9000000000000001E-2</v>
      </c>
      <c r="AG62">
        <v>5.1999999999999998E-2</v>
      </c>
      <c r="AH62">
        <v>7.4999999999999997E-2</v>
      </c>
      <c r="AK62">
        <v>5.5E-2</v>
      </c>
      <c r="AL62">
        <v>5.7000000000000002E-2</v>
      </c>
      <c r="AM62">
        <v>5.3999999999999999E-2</v>
      </c>
      <c r="AN62">
        <v>5.5E-2</v>
      </c>
      <c r="AO62">
        <v>5.3999999999999999E-2</v>
      </c>
    </row>
    <row r="63" spans="1:41" hidden="1">
      <c r="A63">
        <v>61</v>
      </c>
      <c r="B63">
        <v>6.3E-2</v>
      </c>
      <c r="C63" s="1">
        <v>6.3E-5</v>
      </c>
      <c r="D63" s="1">
        <v>6.0000000000000002E-5</v>
      </c>
      <c r="E63" s="1">
        <v>6.0000000000000002E-5</v>
      </c>
      <c r="F63" s="1">
        <v>5.8999999999999998E-5</v>
      </c>
      <c r="I63">
        <v>5.8000000000000003E-2</v>
      </c>
      <c r="J63" s="1">
        <v>5.8E-5</v>
      </c>
      <c r="K63" s="1">
        <v>5.5999999999999999E-5</v>
      </c>
      <c r="L63" s="1">
        <v>5.5000000000000002E-5</v>
      </c>
      <c r="M63" s="1">
        <v>5.5999999999999999E-5</v>
      </c>
      <c r="P63">
        <v>0.06</v>
      </c>
      <c r="Q63" s="1">
        <v>6.0000000000000002E-5</v>
      </c>
      <c r="R63" s="1">
        <v>6.2000000000000003E-5</v>
      </c>
      <c r="S63" s="1">
        <v>5.8E-5</v>
      </c>
      <c r="T63" s="1">
        <v>5.5000000000000002E-5</v>
      </c>
      <c r="U63" s="1"/>
      <c r="W63">
        <v>5.8999999999999997E-2</v>
      </c>
      <c r="X63">
        <v>5.0999999999999997E-2</v>
      </c>
      <c r="Y63">
        <v>5.0999999999999997E-2</v>
      </c>
      <c r="Z63">
        <v>5.0999999999999997E-2</v>
      </c>
      <c r="AA63">
        <v>0.111</v>
      </c>
      <c r="AD63">
        <v>7.3999999999999996E-2</v>
      </c>
      <c r="AE63">
        <v>7.0999999999999994E-2</v>
      </c>
      <c r="AF63">
        <v>7.4999999999999997E-2</v>
      </c>
      <c r="AG63">
        <v>7.3999999999999996E-2</v>
      </c>
      <c r="AH63">
        <v>7.1999999999999995E-2</v>
      </c>
      <c r="AK63">
        <v>5.7000000000000002E-2</v>
      </c>
      <c r="AL63">
        <v>5.6000000000000001E-2</v>
      </c>
      <c r="AM63">
        <v>5.6000000000000001E-2</v>
      </c>
      <c r="AN63">
        <v>0.22</v>
      </c>
      <c r="AO63">
        <v>5.2999999999999999E-2</v>
      </c>
    </row>
    <row r="64" spans="1:41" hidden="1">
      <c r="A64">
        <v>62</v>
      </c>
      <c r="B64">
        <v>6.3E-2</v>
      </c>
      <c r="C64" s="1">
        <v>6.0999999999999999E-5</v>
      </c>
      <c r="D64" s="1">
        <v>6.0000000000000002E-5</v>
      </c>
      <c r="E64" s="1">
        <v>6.0000000000000002E-5</v>
      </c>
      <c r="F64" s="1">
        <v>5.8E-5</v>
      </c>
      <c r="I64">
        <v>0.13900000000000001</v>
      </c>
      <c r="J64" s="1">
        <v>7.7000000000000001E-5</v>
      </c>
      <c r="K64">
        <v>3.1300000000000002E-4</v>
      </c>
      <c r="L64" s="1">
        <v>7.4999999999999993E-5</v>
      </c>
      <c r="M64" s="1">
        <v>6.6000000000000005E-5</v>
      </c>
      <c r="P64">
        <v>5.8000000000000003E-2</v>
      </c>
      <c r="Q64" s="1">
        <v>6.0999999999999999E-5</v>
      </c>
      <c r="R64" s="1">
        <v>5.5000000000000002E-5</v>
      </c>
      <c r="S64" s="1">
        <v>5.5000000000000002E-5</v>
      </c>
      <c r="T64" s="1">
        <v>5.5000000000000002E-5</v>
      </c>
      <c r="U64" s="1"/>
      <c r="W64">
        <v>8.1000000000000003E-2</v>
      </c>
      <c r="X64">
        <v>0.111</v>
      </c>
      <c r="Y64">
        <v>5.3999999999999999E-2</v>
      </c>
      <c r="Z64">
        <v>5.1999999999999998E-2</v>
      </c>
      <c r="AA64">
        <v>5.2999999999999999E-2</v>
      </c>
      <c r="AD64">
        <v>7.9000000000000001E-2</v>
      </c>
      <c r="AE64">
        <v>0.248</v>
      </c>
      <c r="AF64">
        <v>5.0999999999999997E-2</v>
      </c>
      <c r="AG64">
        <v>5.6000000000000001E-2</v>
      </c>
      <c r="AH64">
        <v>5.8000000000000003E-2</v>
      </c>
      <c r="AK64">
        <v>5.7000000000000002E-2</v>
      </c>
      <c r="AL64">
        <v>0.05</v>
      </c>
      <c r="AM64">
        <v>5.1999999999999998E-2</v>
      </c>
      <c r="AN64">
        <v>5.0999999999999997E-2</v>
      </c>
      <c r="AO64">
        <v>5.3999999999999999E-2</v>
      </c>
    </row>
    <row r="65" spans="1:41" hidden="1">
      <c r="A65">
        <v>63</v>
      </c>
      <c r="B65">
        <v>6.3E-2</v>
      </c>
      <c r="C65" s="1">
        <v>6.2000000000000003E-5</v>
      </c>
      <c r="D65" s="1">
        <v>5.8999999999999998E-5</v>
      </c>
      <c r="E65" s="1">
        <v>8.7000000000000001E-5</v>
      </c>
      <c r="F65" s="1">
        <v>6.0999999999999999E-5</v>
      </c>
      <c r="I65">
        <v>9.3059999999999992</v>
      </c>
      <c r="J65">
        <v>5.6099999999999998E-4</v>
      </c>
      <c r="K65" s="1">
        <v>7.7000000000000001E-5</v>
      </c>
      <c r="L65" s="1">
        <v>6.0999999999999999E-5</v>
      </c>
      <c r="M65" s="1">
        <v>6.0000000000000002E-5</v>
      </c>
      <c r="P65">
        <v>5.7000000000000002E-2</v>
      </c>
      <c r="Q65" s="1">
        <v>5.8E-5</v>
      </c>
      <c r="R65" s="1">
        <v>5.5999999999999999E-5</v>
      </c>
      <c r="S65" s="1">
        <v>6.0999999999999999E-5</v>
      </c>
      <c r="T65" s="1">
        <v>5.5999999999999999E-5</v>
      </c>
      <c r="U65" s="1"/>
      <c r="W65">
        <v>5.0999999999999997E-2</v>
      </c>
      <c r="X65">
        <v>0.05</v>
      </c>
      <c r="Y65">
        <v>8.4480000000000004</v>
      </c>
      <c r="Z65">
        <v>5.2999999999999999E-2</v>
      </c>
      <c r="AA65">
        <v>5.1999999999999998E-2</v>
      </c>
      <c r="AD65">
        <v>5.7000000000000002E-2</v>
      </c>
      <c r="AE65">
        <v>5.5E-2</v>
      </c>
      <c r="AF65">
        <v>5.8000000000000003E-2</v>
      </c>
      <c r="AG65">
        <v>0.05</v>
      </c>
      <c r="AH65">
        <v>5.0999999999999997E-2</v>
      </c>
      <c r="AK65">
        <v>5.6000000000000001E-2</v>
      </c>
      <c r="AL65">
        <v>5.1999999999999998E-2</v>
      </c>
      <c r="AM65">
        <v>5.5E-2</v>
      </c>
      <c r="AN65">
        <v>5.0999999999999997E-2</v>
      </c>
      <c r="AO65">
        <v>5.0999999999999997E-2</v>
      </c>
    </row>
    <row r="66" spans="1:41" hidden="1">
      <c r="A66">
        <v>64</v>
      </c>
      <c r="B66">
        <v>6.2E-2</v>
      </c>
      <c r="C66" s="1">
        <v>6.3E-5</v>
      </c>
      <c r="D66" s="1">
        <v>6.0000000000000002E-5</v>
      </c>
      <c r="E66" s="1">
        <v>6.0000000000000002E-5</v>
      </c>
      <c r="F66" s="1">
        <v>6.0000000000000002E-5</v>
      </c>
      <c r="I66">
        <v>6.4000000000000001E-2</v>
      </c>
      <c r="J66" s="1">
        <v>6.6000000000000005E-5</v>
      </c>
      <c r="K66" s="1">
        <v>6.0000000000000002E-5</v>
      </c>
      <c r="L66" s="1">
        <v>6.3E-5</v>
      </c>
      <c r="M66" s="1">
        <v>6.0000000000000002E-5</v>
      </c>
      <c r="P66">
        <v>5.8000000000000003E-2</v>
      </c>
      <c r="Q66" s="1">
        <v>5.7000000000000003E-5</v>
      </c>
      <c r="R66" s="1">
        <v>5.5999999999999999E-5</v>
      </c>
      <c r="S66" s="1">
        <v>5.3999999999999998E-5</v>
      </c>
      <c r="T66">
        <v>1.4899999999999999E-4</v>
      </c>
      <c r="W66">
        <v>5.1999999999999998E-2</v>
      </c>
      <c r="X66">
        <v>4.9000000000000002E-2</v>
      </c>
      <c r="Y66">
        <v>0.05</v>
      </c>
      <c r="Z66">
        <v>0.05</v>
      </c>
      <c r="AA66">
        <v>5.0999999999999997E-2</v>
      </c>
      <c r="AD66">
        <v>7.0000000000000007E-2</v>
      </c>
      <c r="AE66">
        <v>5.5E-2</v>
      </c>
      <c r="AF66">
        <v>0.105</v>
      </c>
      <c r="AG66">
        <v>5.1999999999999998E-2</v>
      </c>
      <c r="AH66">
        <v>1.613</v>
      </c>
      <c r="AK66">
        <v>5.3999999999999999E-2</v>
      </c>
      <c r="AL66">
        <v>0.05</v>
      </c>
      <c r="AM66">
        <v>5.0999999999999997E-2</v>
      </c>
      <c r="AN66">
        <v>0.05</v>
      </c>
      <c r="AO66">
        <v>2.5139999999999998</v>
      </c>
    </row>
    <row r="67" spans="1:41" hidden="1">
      <c r="A67">
        <v>65</v>
      </c>
      <c r="B67">
        <v>6.3E-2</v>
      </c>
      <c r="C67" s="1">
        <v>6.3999999999999997E-5</v>
      </c>
      <c r="D67" s="1">
        <v>5.5999999999999999E-5</v>
      </c>
      <c r="E67" s="1">
        <v>5.3999999999999998E-5</v>
      </c>
      <c r="F67" s="1">
        <v>5.3999999999999998E-5</v>
      </c>
      <c r="I67">
        <v>0.12</v>
      </c>
      <c r="J67">
        <v>1.9599999999999999E-4</v>
      </c>
      <c r="K67" s="1">
        <v>7.2000000000000002E-5</v>
      </c>
      <c r="L67" s="1">
        <v>5.7000000000000003E-5</v>
      </c>
      <c r="M67" s="1">
        <v>5.7000000000000003E-5</v>
      </c>
      <c r="P67">
        <v>5.8000000000000003E-2</v>
      </c>
      <c r="Q67" s="1">
        <v>5.8E-5</v>
      </c>
      <c r="R67" s="1">
        <v>5.5000000000000002E-5</v>
      </c>
      <c r="S67" s="1">
        <v>5.5999999999999999E-5</v>
      </c>
      <c r="T67" s="1">
        <v>5.3999999999999998E-5</v>
      </c>
      <c r="U67" s="1"/>
      <c r="W67">
        <v>0.27200000000000002</v>
      </c>
      <c r="X67">
        <v>5.0999999999999997E-2</v>
      </c>
      <c r="Y67">
        <v>5.0999999999999997E-2</v>
      </c>
      <c r="Z67">
        <v>0.05</v>
      </c>
      <c r="AA67">
        <v>5.6000000000000001E-2</v>
      </c>
      <c r="AD67">
        <v>7.181</v>
      </c>
      <c r="AE67">
        <v>5.1999999999999998E-2</v>
      </c>
      <c r="AF67">
        <v>5.1999999999999998E-2</v>
      </c>
      <c r="AG67">
        <v>5.1999999999999998E-2</v>
      </c>
      <c r="AH67">
        <v>5.0999999999999997E-2</v>
      </c>
      <c r="AK67">
        <v>0.111</v>
      </c>
      <c r="AL67">
        <v>4.9000000000000002E-2</v>
      </c>
      <c r="AM67">
        <v>0.05</v>
      </c>
      <c r="AN67">
        <v>0.05</v>
      </c>
      <c r="AO67">
        <v>5.5E-2</v>
      </c>
    </row>
    <row r="68" spans="1:41" hidden="1">
      <c r="A68">
        <v>66</v>
      </c>
      <c r="B68">
        <v>0.109</v>
      </c>
      <c r="C68" s="1">
        <v>5.8999999999999998E-5</v>
      </c>
      <c r="D68" s="1">
        <v>5.7000000000000003E-5</v>
      </c>
      <c r="E68" s="1">
        <v>5.5999999999999999E-5</v>
      </c>
      <c r="F68" s="1">
        <v>5.5999999999999999E-5</v>
      </c>
      <c r="I68">
        <v>6.3E-2</v>
      </c>
      <c r="J68" s="1">
        <v>6.2000000000000003E-5</v>
      </c>
      <c r="K68">
        <v>4.1199999999999999E-4</v>
      </c>
      <c r="L68" s="1">
        <v>6.0999999999999999E-5</v>
      </c>
      <c r="M68" s="1">
        <v>6.0000000000000002E-5</v>
      </c>
      <c r="P68">
        <v>5.7000000000000002E-2</v>
      </c>
      <c r="Q68" s="1">
        <v>5.5999999999999999E-5</v>
      </c>
      <c r="R68" s="1">
        <v>5.5999999999999999E-5</v>
      </c>
      <c r="S68" s="1">
        <v>5.5999999999999999E-5</v>
      </c>
      <c r="T68" s="1">
        <v>5.5000000000000002E-5</v>
      </c>
      <c r="U68" s="1"/>
      <c r="W68">
        <v>8.3000000000000004E-2</v>
      </c>
      <c r="X68">
        <v>7.4999999999999997E-2</v>
      </c>
      <c r="Y68">
        <v>5.3999999999999999E-2</v>
      </c>
      <c r="Z68">
        <v>5.0999999999999997E-2</v>
      </c>
      <c r="AA68">
        <v>0.53400000000000003</v>
      </c>
      <c r="AD68">
        <v>5.0999999999999997E-2</v>
      </c>
      <c r="AE68">
        <v>4.9000000000000002E-2</v>
      </c>
      <c r="AF68">
        <v>5.0999999999999997E-2</v>
      </c>
      <c r="AG68">
        <v>0.27700000000000002</v>
      </c>
      <c r="AH68">
        <v>5.8999999999999997E-2</v>
      </c>
      <c r="AK68">
        <v>5.0999999999999997E-2</v>
      </c>
      <c r="AL68">
        <v>4.9000000000000002E-2</v>
      </c>
      <c r="AM68">
        <v>5.0999999999999997E-2</v>
      </c>
      <c r="AN68">
        <v>0.188</v>
      </c>
      <c r="AO68">
        <v>5.3999999999999999E-2</v>
      </c>
    </row>
    <row r="69" spans="1:41" hidden="1">
      <c r="A69">
        <v>67</v>
      </c>
      <c r="B69">
        <v>5.8000000000000003E-2</v>
      </c>
      <c r="C69">
        <v>1.56E-4</v>
      </c>
      <c r="D69" s="1">
        <v>5.8E-5</v>
      </c>
      <c r="E69" s="1">
        <v>5.5000000000000002E-5</v>
      </c>
      <c r="F69" s="1">
        <v>5.5999999999999999E-5</v>
      </c>
      <c r="I69">
        <v>5.8000000000000003E-2</v>
      </c>
      <c r="J69" s="1">
        <v>5.7000000000000003E-5</v>
      </c>
      <c r="K69" s="1">
        <v>5.5999999999999999E-5</v>
      </c>
      <c r="L69" s="1">
        <v>5.5000000000000002E-5</v>
      </c>
      <c r="M69" s="1">
        <v>6.7000000000000002E-5</v>
      </c>
      <c r="P69">
        <v>5.8000000000000003E-2</v>
      </c>
      <c r="Q69" s="1">
        <v>5.7000000000000003E-5</v>
      </c>
      <c r="R69" s="1">
        <v>5.5999999999999999E-5</v>
      </c>
      <c r="S69" s="1">
        <v>5.5000000000000002E-5</v>
      </c>
      <c r="T69" s="1">
        <v>5.3999999999999998E-5</v>
      </c>
      <c r="U69" s="1"/>
      <c r="W69">
        <v>6.4000000000000001E-2</v>
      </c>
      <c r="X69">
        <v>9.5000000000000001E-2</v>
      </c>
      <c r="Y69">
        <v>5.8000000000000003E-2</v>
      </c>
      <c r="Z69">
        <v>5.7000000000000002E-2</v>
      </c>
      <c r="AA69">
        <v>5.5E-2</v>
      </c>
      <c r="AD69">
        <v>5.1999999999999998E-2</v>
      </c>
      <c r="AE69">
        <v>0.06</v>
      </c>
      <c r="AF69">
        <v>5.8000000000000003E-2</v>
      </c>
      <c r="AG69">
        <v>5.6000000000000001E-2</v>
      </c>
      <c r="AH69">
        <v>5.5E-2</v>
      </c>
      <c r="AK69">
        <v>5.2999999999999999E-2</v>
      </c>
      <c r="AL69">
        <v>8.2119999999999997</v>
      </c>
      <c r="AM69">
        <v>0.95199999999999996</v>
      </c>
      <c r="AN69">
        <v>5.2999999999999999E-2</v>
      </c>
      <c r="AO69">
        <v>5.1999999999999998E-2</v>
      </c>
    </row>
    <row r="70" spans="1:41" hidden="1">
      <c r="A70">
        <v>68</v>
      </c>
      <c r="B70">
        <v>5.8999999999999997E-2</v>
      </c>
      <c r="C70" s="1">
        <v>5.8E-5</v>
      </c>
      <c r="D70" s="1">
        <v>5.5999999999999999E-5</v>
      </c>
      <c r="E70" s="1">
        <v>5.5999999999999999E-5</v>
      </c>
      <c r="F70" s="1">
        <v>9.2999999999999997E-5</v>
      </c>
      <c r="I70">
        <v>0.624</v>
      </c>
      <c r="J70" s="1">
        <v>6.9999999999999994E-5</v>
      </c>
      <c r="K70" s="1">
        <v>6.3999999999999997E-5</v>
      </c>
      <c r="L70" s="1">
        <v>6.0999999999999999E-5</v>
      </c>
      <c r="M70" s="1">
        <v>6.0000000000000002E-5</v>
      </c>
      <c r="P70">
        <v>5.7000000000000002E-2</v>
      </c>
      <c r="Q70" s="1">
        <v>5.7000000000000003E-5</v>
      </c>
      <c r="R70" s="1">
        <v>5.5000000000000002E-5</v>
      </c>
      <c r="S70" s="1">
        <v>5.3999999999999998E-5</v>
      </c>
      <c r="T70" s="1">
        <v>5.3000000000000001E-5</v>
      </c>
      <c r="U70" s="1"/>
      <c r="W70">
        <v>5.7000000000000002E-2</v>
      </c>
      <c r="X70">
        <v>0.05</v>
      </c>
      <c r="Y70">
        <v>6.3E-2</v>
      </c>
      <c r="Z70">
        <v>0.41899999999999998</v>
      </c>
      <c r="AA70">
        <v>5.6000000000000001E-2</v>
      </c>
      <c r="AD70">
        <v>5.6000000000000001E-2</v>
      </c>
      <c r="AE70">
        <v>5.5E-2</v>
      </c>
      <c r="AF70">
        <v>0.16</v>
      </c>
      <c r="AG70">
        <v>5.6000000000000001E-2</v>
      </c>
      <c r="AH70">
        <v>5.0999999999999997E-2</v>
      </c>
      <c r="AK70">
        <v>5.1999999999999998E-2</v>
      </c>
      <c r="AL70">
        <v>0.185</v>
      </c>
      <c r="AM70">
        <v>7.8E-2</v>
      </c>
      <c r="AN70">
        <v>5.5E-2</v>
      </c>
      <c r="AO70">
        <v>5.8000000000000003E-2</v>
      </c>
    </row>
    <row r="71" spans="1:41" hidden="1">
      <c r="A71">
        <v>69</v>
      </c>
      <c r="B71">
        <v>0.09</v>
      </c>
      <c r="C71" s="1">
        <v>9.8999999999999994E-5</v>
      </c>
      <c r="D71" s="1">
        <v>5.8E-5</v>
      </c>
      <c r="E71">
        <v>2.251E-3</v>
      </c>
      <c r="F71" s="1">
        <v>5.5999999999999999E-5</v>
      </c>
      <c r="I71">
        <v>6.2E-2</v>
      </c>
      <c r="J71" s="1">
        <v>6.2000000000000003E-5</v>
      </c>
      <c r="K71" s="1">
        <v>6.6000000000000005E-5</v>
      </c>
      <c r="L71" s="1">
        <v>5.8999999999999998E-5</v>
      </c>
      <c r="M71">
        <v>6.4899999999999995E-4</v>
      </c>
      <c r="P71">
        <v>5.8000000000000003E-2</v>
      </c>
      <c r="Q71" s="1">
        <v>8.3999999999999995E-5</v>
      </c>
      <c r="R71" s="1">
        <v>5.8999999999999998E-5</v>
      </c>
      <c r="S71" s="1">
        <v>5.5999999999999999E-5</v>
      </c>
      <c r="T71" s="1">
        <v>5.3999999999999998E-5</v>
      </c>
      <c r="U71" s="1"/>
      <c r="W71">
        <v>0.76600000000000001</v>
      </c>
      <c r="X71">
        <v>5.3999999999999999E-2</v>
      </c>
      <c r="Y71">
        <v>5.5E-2</v>
      </c>
      <c r="Z71">
        <v>5.1999999999999998E-2</v>
      </c>
      <c r="AA71">
        <v>5.1999999999999998E-2</v>
      </c>
      <c r="AD71">
        <v>5.1999999999999998E-2</v>
      </c>
      <c r="AE71">
        <v>5.0999999999999997E-2</v>
      </c>
      <c r="AF71">
        <v>0.05</v>
      </c>
      <c r="AG71">
        <v>0.05</v>
      </c>
      <c r="AH71">
        <v>0.05</v>
      </c>
      <c r="AK71">
        <v>5.6000000000000001E-2</v>
      </c>
      <c r="AL71">
        <v>5.8000000000000003E-2</v>
      </c>
      <c r="AM71">
        <v>5.0999999999999997E-2</v>
      </c>
      <c r="AN71">
        <v>5.5E-2</v>
      </c>
      <c r="AO71">
        <v>5.5E-2</v>
      </c>
    </row>
    <row r="72" spans="1:41" hidden="1">
      <c r="A72">
        <v>70</v>
      </c>
      <c r="B72">
        <v>6.6000000000000003E-2</v>
      </c>
      <c r="C72" s="1">
        <v>6.2000000000000003E-5</v>
      </c>
      <c r="D72" s="1">
        <v>6.0999999999999999E-5</v>
      </c>
      <c r="E72" s="1">
        <v>5.8999999999999998E-5</v>
      </c>
      <c r="F72" s="1">
        <v>6.3E-5</v>
      </c>
      <c r="I72">
        <v>5.8000000000000003E-2</v>
      </c>
      <c r="J72" s="1">
        <v>8.0000000000000007E-5</v>
      </c>
      <c r="K72">
        <v>1.2E-4</v>
      </c>
      <c r="L72" s="1">
        <v>5.8999999999999998E-5</v>
      </c>
      <c r="M72" s="1">
        <v>5.5000000000000002E-5</v>
      </c>
      <c r="P72">
        <v>5.7000000000000002E-2</v>
      </c>
      <c r="Q72" s="1">
        <v>5.7000000000000003E-5</v>
      </c>
      <c r="R72" s="1">
        <v>5.5000000000000002E-5</v>
      </c>
      <c r="S72" s="1">
        <v>5.5000000000000002E-5</v>
      </c>
      <c r="T72">
        <v>1.7699999999999999E-4</v>
      </c>
      <c r="W72">
        <v>5.0999999999999997E-2</v>
      </c>
      <c r="X72">
        <v>0.158</v>
      </c>
      <c r="Y72">
        <v>0.151</v>
      </c>
      <c r="Z72">
        <v>5.2999999999999999E-2</v>
      </c>
      <c r="AA72">
        <v>5.0999999999999997E-2</v>
      </c>
      <c r="AD72">
        <v>8.7999999999999995E-2</v>
      </c>
      <c r="AE72">
        <v>0.47499999999999998</v>
      </c>
      <c r="AF72">
        <v>0.78400000000000003</v>
      </c>
      <c r="AG72">
        <v>5.3999999999999999E-2</v>
      </c>
      <c r="AH72">
        <v>5.0999999999999997E-2</v>
      </c>
      <c r="AK72">
        <v>5.5E-2</v>
      </c>
      <c r="AL72">
        <v>5.3999999999999999E-2</v>
      </c>
      <c r="AM72">
        <v>5.5E-2</v>
      </c>
      <c r="AN72">
        <v>5.6000000000000001E-2</v>
      </c>
      <c r="AO72">
        <v>5.3999999999999999E-2</v>
      </c>
    </row>
    <row r="73" spans="1:41" hidden="1">
      <c r="A73">
        <v>71</v>
      </c>
      <c r="B73">
        <v>6.2E-2</v>
      </c>
      <c r="C73" s="1">
        <v>6.0999999999999999E-5</v>
      </c>
      <c r="D73" s="1">
        <v>5.5000000000000002E-5</v>
      </c>
      <c r="E73" s="1">
        <v>5.5000000000000002E-5</v>
      </c>
      <c r="F73">
        <v>1.1022000000000001E-2</v>
      </c>
      <c r="I73">
        <v>5.7000000000000002E-2</v>
      </c>
      <c r="J73" s="1">
        <v>5.7000000000000003E-5</v>
      </c>
      <c r="K73" s="1">
        <v>5.8E-5</v>
      </c>
      <c r="L73" s="1">
        <v>5.3999999999999998E-5</v>
      </c>
      <c r="M73" s="1">
        <v>5.3999999999999998E-5</v>
      </c>
      <c r="P73">
        <v>0.11600000000000001</v>
      </c>
      <c r="Q73" s="1">
        <v>6.3E-5</v>
      </c>
      <c r="R73" s="1">
        <v>5.5999999999999999E-5</v>
      </c>
      <c r="S73" s="1">
        <v>5.5000000000000002E-5</v>
      </c>
      <c r="T73" s="1">
        <v>5.5000000000000002E-5</v>
      </c>
      <c r="U73" s="1"/>
      <c r="W73">
        <v>5.0999999999999997E-2</v>
      </c>
      <c r="X73">
        <v>0.93600000000000005</v>
      </c>
      <c r="Y73">
        <v>5.0999999999999997E-2</v>
      </c>
      <c r="Z73">
        <v>7.1059999999999999</v>
      </c>
      <c r="AA73">
        <v>5.2999999999999999E-2</v>
      </c>
      <c r="AD73">
        <v>5.1999999999999998E-2</v>
      </c>
      <c r="AE73">
        <v>0.05</v>
      </c>
      <c r="AF73">
        <v>5.1999999999999998E-2</v>
      </c>
      <c r="AG73">
        <v>0.05</v>
      </c>
      <c r="AH73">
        <v>0.05</v>
      </c>
      <c r="AK73">
        <v>5.5E-2</v>
      </c>
      <c r="AL73">
        <v>5.3999999999999999E-2</v>
      </c>
      <c r="AM73">
        <v>5.5E-2</v>
      </c>
      <c r="AN73">
        <v>5.5E-2</v>
      </c>
      <c r="AO73">
        <v>5.6000000000000001E-2</v>
      </c>
    </row>
    <row r="74" spans="1:41" hidden="1">
      <c r="A74">
        <v>72</v>
      </c>
      <c r="B74">
        <v>0.42699999999999999</v>
      </c>
      <c r="C74" s="1">
        <v>6.2000000000000003E-5</v>
      </c>
      <c r="D74" s="1">
        <v>5.8999999999999998E-5</v>
      </c>
      <c r="E74" s="1">
        <v>5.8999999999999998E-5</v>
      </c>
      <c r="F74" s="1">
        <v>6.0000000000000002E-5</v>
      </c>
      <c r="I74">
        <v>0.10199999999999999</v>
      </c>
      <c r="J74" s="1">
        <v>5.8E-5</v>
      </c>
      <c r="K74" s="1">
        <v>5.5999999999999999E-5</v>
      </c>
      <c r="L74">
        <v>1.761E-3</v>
      </c>
      <c r="M74" s="1">
        <v>9.2999999999999997E-5</v>
      </c>
      <c r="P74">
        <v>5.8000000000000003E-2</v>
      </c>
      <c r="Q74" s="1">
        <v>5.7000000000000003E-5</v>
      </c>
      <c r="R74" s="1">
        <v>9.6000000000000002E-5</v>
      </c>
      <c r="S74" s="1">
        <v>7.2000000000000002E-5</v>
      </c>
      <c r="T74" s="1">
        <v>6.0000000000000002E-5</v>
      </c>
      <c r="U74" s="1"/>
      <c r="W74">
        <v>5.0999999999999997E-2</v>
      </c>
      <c r="X74">
        <v>4.9000000000000002E-2</v>
      </c>
      <c r="Y74">
        <v>0.16200000000000001</v>
      </c>
      <c r="Z74">
        <v>8.6999999999999994E-2</v>
      </c>
      <c r="AA74">
        <v>5.0999999999999997E-2</v>
      </c>
      <c r="AD74">
        <v>6.0999999999999999E-2</v>
      </c>
      <c r="AE74">
        <v>0.08</v>
      </c>
      <c r="AF74">
        <v>5.6000000000000001E-2</v>
      </c>
      <c r="AG74">
        <v>5.2999999999999999E-2</v>
      </c>
      <c r="AH74">
        <v>0.05</v>
      </c>
      <c r="AK74">
        <v>5.6000000000000001E-2</v>
      </c>
      <c r="AL74">
        <v>4.9000000000000002E-2</v>
      </c>
      <c r="AM74">
        <v>0.05</v>
      </c>
      <c r="AN74">
        <v>4.9000000000000002E-2</v>
      </c>
      <c r="AO74">
        <v>5.0999999999999997E-2</v>
      </c>
    </row>
    <row r="75" spans="1:41" hidden="1">
      <c r="A75">
        <v>73</v>
      </c>
      <c r="B75">
        <v>6.0999999999999999E-2</v>
      </c>
      <c r="C75" s="1">
        <v>5.5999999999999999E-5</v>
      </c>
      <c r="D75">
        <v>1.92E-4</v>
      </c>
      <c r="E75" s="1">
        <v>8.0000000000000007E-5</v>
      </c>
      <c r="F75" s="1">
        <v>6.0000000000000002E-5</v>
      </c>
      <c r="I75">
        <v>6.2E-2</v>
      </c>
      <c r="J75">
        <v>1.46E-4</v>
      </c>
      <c r="K75" s="1">
        <v>5.8999999999999998E-5</v>
      </c>
      <c r="L75">
        <v>4.0200000000000001E-4</v>
      </c>
      <c r="M75" s="1">
        <v>5.8E-5</v>
      </c>
      <c r="P75">
        <v>6.2E-2</v>
      </c>
      <c r="Q75" s="1">
        <v>6.3E-5</v>
      </c>
      <c r="R75" s="1">
        <v>6.2000000000000003E-5</v>
      </c>
      <c r="S75" s="1">
        <v>7.1000000000000005E-5</v>
      </c>
      <c r="T75">
        <v>2.183E-3</v>
      </c>
      <c r="W75">
        <v>5.0999999999999997E-2</v>
      </c>
      <c r="X75">
        <v>5.1999999999999998E-2</v>
      </c>
      <c r="Y75">
        <v>0.34200000000000003</v>
      </c>
      <c r="Z75">
        <v>5.3999999999999999E-2</v>
      </c>
      <c r="AA75">
        <v>5.5E-2</v>
      </c>
      <c r="AD75">
        <v>0.05</v>
      </c>
      <c r="AE75">
        <v>0.56699999999999995</v>
      </c>
      <c r="AF75">
        <v>8.8610000000000007</v>
      </c>
      <c r="AG75">
        <v>5.5E-2</v>
      </c>
      <c r="AH75">
        <v>5.7000000000000002E-2</v>
      </c>
      <c r="AK75">
        <v>0.11</v>
      </c>
      <c r="AL75">
        <v>9.6000000000000002E-2</v>
      </c>
      <c r="AM75">
        <v>0.153</v>
      </c>
      <c r="AN75">
        <v>1.2969999999999999</v>
      </c>
      <c r="AO75">
        <v>5.1999999999999998E-2</v>
      </c>
    </row>
    <row r="76" spans="1:41" hidden="1">
      <c r="A76">
        <v>74</v>
      </c>
      <c r="B76">
        <v>6.2E-2</v>
      </c>
      <c r="C76" s="1">
        <v>6.2000000000000003E-5</v>
      </c>
      <c r="D76" s="1">
        <v>6.0000000000000002E-5</v>
      </c>
      <c r="E76" s="1">
        <v>5.5000000000000002E-5</v>
      </c>
      <c r="F76" s="1">
        <v>5.5000000000000002E-5</v>
      </c>
      <c r="I76">
        <v>8.5999999999999993E-2</v>
      </c>
      <c r="J76" s="1">
        <v>7.7999999999999999E-5</v>
      </c>
      <c r="K76" s="1">
        <v>6.0000000000000002E-5</v>
      </c>
      <c r="L76" s="1">
        <v>6.0999999999999999E-5</v>
      </c>
      <c r="M76" s="1">
        <v>5.3999999999999998E-5</v>
      </c>
      <c r="P76">
        <v>6.4000000000000001E-2</v>
      </c>
      <c r="Q76" s="1">
        <v>9.1000000000000003E-5</v>
      </c>
      <c r="R76" s="1">
        <v>6.2000000000000003E-5</v>
      </c>
      <c r="S76" s="1">
        <v>6.0000000000000002E-5</v>
      </c>
      <c r="T76" s="1">
        <v>5.8999999999999998E-5</v>
      </c>
      <c r="U76" s="1"/>
      <c r="W76">
        <v>5.5E-2</v>
      </c>
      <c r="X76">
        <v>0.05</v>
      </c>
      <c r="Y76">
        <v>0.05</v>
      </c>
      <c r="Z76">
        <v>0.05</v>
      </c>
      <c r="AA76">
        <v>0.05</v>
      </c>
      <c r="AD76">
        <v>6.3E-2</v>
      </c>
      <c r="AE76">
        <v>5.5E-2</v>
      </c>
      <c r="AF76">
        <v>5.3999999999999999E-2</v>
      </c>
      <c r="AG76">
        <v>4.9000000000000002E-2</v>
      </c>
      <c r="AH76">
        <v>0.05</v>
      </c>
      <c r="AK76">
        <v>5.2999999999999999E-2</v>
      </c>
      <c r="AL76">
        <v>0.05</v>
      </c>
      <c r="AM76">
        <v>0.05</v>
      </c>
      <c r="AN76">
        <v>4.9000000000000002E-2</v>
      </c>
      <c r="AO76">
        <v>0.74399999999999999</v>
      </c>
    </row>
    <row r="77" spans="1:41" hidden="1">
      <c r="A77">
        <v>75</v>
      </c>
      <c r="B77">
        <v>5.8000000000000003E-2</v>
      </c>
      <c r="C77" s="1">
        <v>5.8E-5</v>
      </c>
      <c r="D77">
        <v>2.0799999999999999E-4</v>
      </c>
      <c r="E77" s="1">
        <v>8.3999999999999995E-5</v>
      </c>
      <c r="F77">
        <v>1.1E-4</v>
      </c>
      <c r="I77">
        <v>5.6000000000000001E-2</v>
      </c>
      <c r="J77" s="1">
        <v>6.0999999999999999E-5</v>
      </c>
      <c r="K77">
        <v>3.5300000000000002E-4</v>
      </c>
      <c r="L77" s="1">
        <v>5.7000000000000003E-5</v>
      </c>
      <c r="M77" s="1">
        <v>5.3999999999999998E-5</v>
      </c>
      <c r="P77">
        <v>6.3E-2</v>
      </c>
      <c r="Q77" s="1">
        <v>5.8E-5</v>
      </c>
      <c r="R77" s="1">
        <v>5.5999999999999999E-5</v>
      </c>
      <c r="S77" s="1">
        <v>5.3999999999999998E-5</v>
      </c>
      <c r="T77">
        <v>2.5111000000000001E-2</v>
      </c>
      <c r="W77">
        <v>5.3999999999999999E-2</v>
      </c>
      <c r="X77">
        <v>5.3999999999999999E-2</v>
      </c>
      <c r="Y77">
        <v>5.5E-2</v>
      </c>
      <c r="Z77">
        <v>5.5E-2</v>
      </c>
      <c r="AA77">
        <v>5.3999999999999999E-2</v>
      </c>
      <c r="AD77">
        <v>0.23499999999999999</v>
      </c>
      <c r="AE77">
        <v>7.1999999999999995E-2</v>
      </c>
      <c r="AF77">
        <v>0.16900000000000001</v>
      </c>
      <c r="AG77">
        <v>5.3999999999999999E-2</v>
      </c>
      <c r="AH77">
        <v>0.08</v>
      </c>
      <c r="AK77">
        <v>5.2999999999999999E-2</v>
      </c>
      <c r="AL77">
        <v>5.0999999999999997E-2</v>
      </c>
      <c r="AM77">
        <v>5.0999999999999997E-2</v>
      </c>
      <c r="AN77">
        <v>0.05</v>
      </c>
      <c r="AO77">
        <v>4.9000000000000002E-2</v>
      </c>
    </row>
    <row r="78" spans="1:41" hidden="1">
      <c r="A78">
        <v>76</v>
      </c>
      <c r="B78">
        <v>6.0999999999999999E-2</v>
      </c>
      <c r="C78" s="1">
        <v>5.8E-5</v>
      </c>
      <c r="D78" s="1">
        <v>5.7000000000000003E-5</v>
      </c>
      <c r="E78" s="1">
        <v>5.5000000000000002E-5</v>
      </c>
      <c r="F78">
        <v>1.3799999999999999E-4</v>
      </c>
      <c r="I78">
        <v>5.8000000000000003E-2</v>
      </c>
      <c r="J78" s="1">
        <v>5.7000000000000003E-5</v>
      </c>
      <c r="K78">
        <v>1.1906999999999999E-2</v>
      </c>
      <c r="L78">
        <v>4.9899999999999999E-4</v>
      </c>
      <c r="M78" s="1">
        <v>6.7999999999999999E-5</v>
      </c>
      <c r="P78">
        <v>0.52800000000000002</v>
      </c>
      <c r="Q78">
        <v>1.06E-4</v>
      </c>
      <c r="R78">
        <v>1.08E-4</v>
      </c>
      <c r="S78" s="1">
        <v>8.1000000000000004E-5</v>
      </c>
      <c r="T78" s="1">
        <v>7.7999999999999999E-5</v>
      </c>
      <c r="U78" s="1"/>
      <c r="W78">
        <v>5.7000000000000002E-2</v>
      </c>
      <c r="X78">
        <v>5.3999999999999999E-2</v>
      </c>
      <c r="Y78">
        <v>5.5E-2</v>
      </c>
      <c r="Z78">
        <v>5.3999999999999999E-2</v>
      </c>
      <c r="AA78">
        <v>0.08</v>
      </c>
      <c r="AD78">
        <v>0.20399999999999999</v>
      </c>
      <c r="AE78">
        <v>0.05</v>
      </c>
      <c r="AF78">
        <v>5.6000000000000001E-2</v>
      </c>
      <c r="AG78">
        <v>0.05</v>
      </c>
      <c r="AH78">
        <v>5.7000000000000002E-2</v>
      </c>
      <c r="AK78">
        <v>5.0999999999999997E-2</v>
      </c>
      <c r="AL78">
        <v>0.05</v>
      </c>
      <c r="AM78">
        <v>0.05</v>
      </c>
      <c r="AN78">
        <v>0.05</v>
      </c>
      <c r="AO78">
        <v>0.05</v>
      </c>
    </row>
    <row r="79" spans="1:41" hidden="1">
      <c r="A79">
        <v>77</v>
      </c>
      <c r="B79">
        <v>5.8000000000000003E-2</v>
      </c>
      <c r="C79" s="1">
        <v>9.2999999999999997E-5</v>
      </c>
      <c r="D79" s="1">
        <v>6.3999999999999997E-5</v>
      </c>
      <c r="E79" s="1">
        <v>6.2000000000000003E-5</v>
      </c>
      <c r="F79" s="1">
        <v>6.0000000000000002E-5</v>
      </c>
      <c r="I79">
        <v>5.8000000000000003E-2</v>
      </c>
      <c r="J79" s="1">
        <v>6.0999999999999999E-5</v>
      </c>
      <c r="K79" s="1">
        <v>6.2000000000000003E-5</v>
      </c>
      <c r="L79" s="1">
        <v>5.8E-5</v>
      </c>
      <c r="M79" s="1">
        <v>5.3000000000000001E-5</v>
      </c>
      <c r="P79">
        <v>8.6999999999999994E-2</v>
      </c>
      <c r="Q79" s="1">
        <v>8.5000000000000006E-5</v>
      </c>
      <c r="R79">
        <v>1.8900000000000001E-4</v>
      </c>
      <c r="S79" s="1">
        <v>8.3999999999999995E-5</v>
      </c>
      <c r="T79" s="1">
        <v>7.8999999999999996E-5</v>
      </c>
      <c r="U79" s="1"/>
      <c r="W79">
        <v>5.7000000000000002E-2</v>
      </c>
      <c r="X79">
        <v>5.2999999999999999E-2</v>
      </c>
      <c r="Y79">
        <v>5.5E-2</v>
      </c>
      <c r="Z79">
        <v>5.2999999999999999E-2</v>
      </c>
      <c r="AA79">
        <v>5.5E-2</v>
      </c>
      <c r="AD79">
        <v>5.8000000000000003E-2</v>
      </c>
      <c r="AE79">
        <v>5.5E-2</v>
      </c>
      <c r="AF79">
        <v>5.5E-2</v>
      </c>
      <c r="AG79">
        <v>5.5E-2</v>
      </c>
      <c r="AH79">
        <v>5.5E-2</v>
      </c>
      <c r="AK79">
        <v>5.2999999999999999E-2</v>
      </c>
      <c r="AL79">
        <v>0.05</v>
      </c>
      <c r="AM79">
        <v>0.05</v>
      </c>
      <c r="AN79">
        <v>5.0999999999999997E-2</v>
      </c>
      <c r="AO79">
        <v>8.2899999999999991</v>
      </c>
    </row>
    <row r="80" spans="1:41" hidden="1">
      <c r="A80">
        <v>78</v>
      </c>
      <c r="B80">
        <v>6.4000000000000001E-2</v>
      </c>
      <c r="C80" s="1">
        <v>6.3E-5</v>
      </c>
      <c r="D80" s="1">
        <v>6.0000000000000002E-5</v>
      </c>
      <c r="E80" s="1">
        <v>6.3999999999999997E-5</v>
      </c>
      <c r="F80" s="1">
        <v>6.0000000000000002E-5</v>
      </c>
      <c r="I80">
        <v>0.34300000000000003</v>
      </c>
      <c r="J80">
        <v>1.034E-3</v>
      </c>
      <c r="K80" s="1">
        <v>6.4999999999999994E-5</v>
      </c>
      <c r="L80" s="1">
        <v>8.8999999999999995E-5</v>
      </c>
      <c r="M80" s="1">
        <v>6.0000000000000002E-5</v>
      </c>
      <c r="P80">
        <v>8.5999999999999993E-2</v>
      </c>
      <c r="Q80" s="1">
        <v>9.0000000000000006E-5</v>
      </c>
      <c r="R80" s="1">
        <v>7.8999999999999996E-5</v>
      </c>
      <c r="S80" s="1">
        <v>7.8999999999999996E-5</v>
      </c>
      <c r="T80" s="1">
        <v>8.7000000000000001E-5</v>
      </c>
      <c r="U80" s="1"/>
      <c r="W80">
        <v>5.5E-2</v>
      </c>
      <c r="X80">
        <v>4.9000000000000002E-2</v>
      </c>
      <c r="Y80">
        <v>5.0999999999999997E-2</v>
      </c>
      <c r="Z80">
        <v>5.6000000000000001E-2</v>
      </c>
      <c r="AA80">
        <v>5.5E-2</v>
      </c>
      <c r="AD80">
        <v>5.6000000000000001E-2</v>
      </c>
      <c r="AE80">
        <v>5.3999999999999999E-2</v>
      </c>
      <c r="AF80">
        <v>5.7000000000000002E-2</v>
      </c>
      <c r="AG80">
        <v>5.8000000000000003E-2</v>
      </c>
      <c r="AH80">
        <v>0.10100000000000001</v>
      </c>
      <c r="AK80">
        <v>0.51500000000000001</v>
      </c>
      <c r="AL80">
        <v>5.6000000000000001E-2</v>
      </c>
      <c r="AM80">
        <v>5.6000000000000001E-2</v>
      </c>
      <c r="AN80">
        <v>5.5E-2</v>
      </c>
      <c r="AO80">
        <v>5.7000000000000002E-2</v>
      </c>
    </row>
    <row r="81" spans="1:41" hidden="1">
      <c r="A81">
        <v>79</v>
      </c>
      <c r="B81">
        <v>6.3E-2</v>
      </c>
      <c r="C81" s="1">
        <v>5.7000000000000003E-5</v>
      </c>
      <c r="D81" s="1">
        <v>6.3E-5</v>
      </c>
      <c r="E81" s="1">
        <v>6.0000000000000002E-5</v>
      </c>
      <c r="F81" s="1">
        <v>6.0000000000000002E-5</v>
      </c>
      <c r="I81">
        <v>5.8999999999999997E-2</v>
      </c>
      <c r="J81" s="1">
        <v>5.7000000000000003E-5</v>
      </c>
      <c r="K81" s="1">
        <v>5.5000000000000002E-5</v>
      </c>
      <c r="L81" s="1">
        <v>5.5000000000000002E-5</v>
      </c>
      <c r="M81">
        <v>1.46E-4</v>
      </c>
      <c r="P81">
        <v>8.8999999999999996E-2</v>
      </c>
      <c r="Q81">
        <v>2.7999999999999998E-4</v>
      </c>
      <c r="R81" s="1">
        <v>8.3999999999999995E-5</v>
      </c>
      <c r="S81" s="1">
        <v>8.0000000000000007E-5</v>
      </c>
      <c r="T81" s="1">
        <v>7.8999999999999996E-5</v>
      </c>
      <c r="U81" s="1"/>
      <c r="W81">
        <v>5.5E-2</v>
      </c>
      <c r="X81">
        <v>5.7000000000000002E-2</v>
      </c>
      <c r="Y81">
        <v>5.5E-2</v>
      </c>
      <c r="Z81">
        <v>0.05</v>
      </c>
      <c r="AA81">
        <v>8.609</v>
      </c>
      <c r="AD81">
        <v>0.13100000000000001</v>
      </c>
      <c r="AE81">
        <v>0.32</v>
      </c>
      <c r="AF81">
        <v>5.2999999999999999E-2</v>
      </c>
      <c r="AG81">
        <v>0.224</v>
      </c>
      <c r="AH81">
        <v>5.1999999999999998E-2</v>
      </c>
      <c r="AK81">
        <v>5.5E-2</v>
      </c>
      <c r="AL81">
        <v>0.05</v>
      </c>
      <c r="AM81">
        <v>0.248</v>
      </c>
      <c r="AN81">
        <v>5.2999999999999999E-2</v>
      </c>
      <c r="AO81">
        <v>5.1999999999999998E-2</v>
      </c>
    </row>
    <row r="82" spans="1:41" hidden="1">
      <c r="A82">
        <v>80</v>
      </c>
      <c r="B82">
        <v>5.8000000000000003E-2</v>
      </c>
      <c r="C82" s="1">
        <v>5.8E-5</v>
      </c>
      <c r="D82" s="1">
        <v>5.5000000000000002E-5</v>
      </c>
      <c r="E82" s="1">
        <v>5.5000000000000002E-5</v>
      </c>
      <c r="F82" s="1">
        <v>6.0999999999999999E-5</v>
      </c>
      <c r="I82">
        <v>6.6000000000000003E-2</v>
      </c>
      <c r="J82" s="1">
        <v>6.3999999999999997E-5</v>
      </c>
      <c r="K82" s="1">
        <v>6.0999999999999999E-5</v>
      </c>
      <c r="L82" s="1">
        <v>6.0999999999999999E-5</v>
      </c>
      <c r="M82" s="1">
        <v>6.0000000000000002E-5</v>
      </c>
      <c r="P82">
        <v>8.3000000000000004E-2</v>
      </c>
      <c r="Q82" s="1">
        <v>8.2000000000000001E-5</v>
      </c>
      <c r="R82" s="1">
        <v>7.8999999999999996E-5</v>
      </c>
      <c r="S82" s="1">
        <v>8.7999999999999998E-5</v>
      </c>
      <c r="T82">
        <v>2.3800000000000001E-4</v>
      </c>
      <c r="W82">
        <v>1.2130000000000001</v>
      </c>
      <c r="X82">
        <v>0.1</v>
      </c>
      <c r="Y82">
        <v>0.09</v>
      </c>
      <c r="Z82">
        <v>8.3000000000000004E-2</v>
      </c>
      <c r="AA82">
        <v>8.2000000000000003E-2</v>
      </c>
      <c r="AD82">
        <v>7.0999999999999994E-2</v>
      </c>
      <c r="AE82">
        <v>5.1999999999999998E-2</v>
      </c>
      <c r="AF82">
        <v>5.3999999999999999E-2</v>
      </c>
      <c r="AG82">
        <v>5.6000000000000001E-2</v>
      </c>
      <c r="AH82">
        <v>0.51300000000000001</v>
      </c>
      <c r="AK82">
        <v>5.1999999999999998E-2</v>
      </c>
      <c r="AL82">
        <v>5.0999999999999997E-2</v>
      </c>
      <c r="AM82">
        <v>5.0999999999999997E-2</v>
      </c>
      <c r="AN82">
        <v>5.0999999999999997E-2</v>
      </c>
      <c r="AO82">
        <v>0.05</v>
      </c>
    </row>
    <row r="83" spans="1:41" hidden="1">
      <c r="A83">
        <v>81</v>
      </c>
      <c r="B83">
        <v>6.3E-2</v>
      </c>
      <c r="C83" s="1">
        <v>5.8E-5</v>
      </c>
      <c r="D83" s="1">
        <v>6.2000000000000003E-5</v>
      </c>
      <c r="E83" s="1">
        <v>5.5000000000000002E-5</v>
      </c>
      <c r="F83" s="1">
        <v>5.8999999999999998E-5</v>
      </c>
      <c r="I83">
        <v>5.8000000000000003E-2</v>
      </c>
      <c r="J83" s="1">
        <v>6.3E-5</v>
      </c>
      <c r="K83">
        <v>4.1399999999999998E-4</v>
      </c>
      <c r="L83" s="1">
        <v>6.0000000000000002E-5</v>
      </c>
      <c r="M83" s="1">
        <v>5.8E-5</v>
      </c>
      <c r="P83">
        <v>0.1</v>
      </c>
      <c r="Q83" s="1">
        <v>8.7999999999999998E-5</v>
      </c>
      <c r="R83" s="1">
        <v>8.2000000000000001E-5</v>
      </c>
      <c r="S83" s="1">
        <v>7.8999999999999996E-5</v>
      </c>
      <c r="T83" s="1">
        <v>7.7999999999999999E-5</v>
      </c>
      <c r="U83" s="1"/>
      <c r="W83">
        <v>8.4000000000000005E-2</v>
      </c>
      <c r="X83">
        <v>8.1000000000000003E-2</v>
      </c>
      <c r="Y83">
        <v>9.7000000000000003E-2</v>
      </c>
      <c r="Z83">
        <v>8.3000000000000004E-2</v>
      </c>
      <c r="AA83">
        <v>7.2999999999999995E-2</v>
      </c>
      <c r="AD83">
        <v>5.3999999999999999E-2</v>
      </c>
      <c r="AE83">
        <v>4.9000000000000002E-2</v>
      </c>
      <c r="AF83">
        <v>0.05</v>
      </c>
      <c r="AG83">
        <v>4.9000000000000002E-2</v>
      </c>
      <c r="AH83">
        <v>8.31</v>
      </c>
      <c r="AK83">
        <v>5.0999999999999997E-2</v>
      </c>
      <c r="AL83">
        <v>0.151</v>
      </c>
      <c r="AM83">
        <v>5.0999999999999997E-2</v>
      </c>
      <c r="AN83">
        <v>0.05</v>
      </c>
      <c r="AO83">
        <v>5.0999999999999997E-2</v>
      </c>
    </row>
    <row r="84" spans="1:41" hidden="1">
      <c r="A84">
        <v>82</v>
      </c>
      <c r="B84">
        <v>6.2E-2</v>
      </c>
      <c r="C84" s="1">
        <v>6.2000000000000003E-5</v>
      </c>
      <c r="D84" s="1">
        <v>5.8999999999999998E-5</v>
      </c>
      <c r="E84" s="1">
        <v>5.3999999999999998E-5</v>
      </c>
      <c r="F84" s="1">
        <v>5.5000000000000002E-5</v>
      </c>
      <c r="I84">
        <v>5.8000000000000003E-2</v>
      </c>
      <c r="J84" s="1">
        <v>5.8E-5</v>
      </c>
      <c r="K84">
        <v>6.8400000000000004E-4</v>
      </c>
      <c r="L84" s="1">
        <v>6.0000000000000002E-5</v>
      </c>
      <c r="M84" s="1">
        <v>6.0999999999999999E-5</v>
      </c>
      <c r="P84">
        <v>0.08</v>
      </c>
      <c r="Q84" s="1">
        <v>8.5000000000000006E-5</v>
      </c>
      <c r="R84" s="1">
        <v>7.8999999999999996E-5</v>
      </c>
      <c r="S84">
        <v>1.15E-4</v>
      </c>
      <c r="T84">
        <v>1.1400000000000001E-4</v>
      </c>
      <c r="W84">
        <v>7.2999999999999995E-2</v>
      </c>
      <c r="X84">
        <v>7.5999999999999998E-2</v>
      </c>
      <c r="Y84">
        <v>7.1999999999999995E-2</v>
      </c>
      <c r="Z84">
        <v>7.6999999999999999E-2</v>
      </c>
      <c r="AA84">
        <v>7.1999999999999995E-2</v>
      </c>
      <c r="AD84">
        <v>5.5E-2</v>
      </c>
      <c r="AE84">
        <v>0.05</v>
      </c>
      <c r="AF84">
        <v>5.0999999999999997E-2</v>
      </c>
      <c r="AG84">
        <v>5.0999999999999997E-2</v>
      </c>
      <c r="AH84">
        <v>0.05</v>
      </c>
      <c r="AK84">
        <v>5.0999999999999997E-2</v>
      </c>
      <c r="AL84">
        <v>4.9000000000000002E-2</v>
      </c>
      <c r="AM84">
        <v>0.05</v>
      </c>
      <c r="AN84">
        <v>0.05</v>
      </c>
      <c r="AO84">
        <v>0.309</v>
      </c>
    </row>
    <row r="85" spans="1:41" hidden="1">
      <c r="A85">
        <v>83</v>
      </c>
      <c r="B85">
        <v>5.8000000000000003E-2</v>
      </c>
      <c r="C85" s="1">
        <v>5.7000000000000003E-5</v>
      </c>
      <c r="D85">
        <v>1.0182E-2</v>
      </c>
      <c r="E85">
        <v>7.6599999999999997E-4</v>
      </c>
      <c r="F85" s="1">
        <v>6.3E-5</v>
      </c>
      <c r="I85">
        <v>7.4999999999999997E-2</v>
      </c>
      <c r="J85">
        <v>1.6899999999999999E-4</v>
      </c>
      <c r="K85" s="1">
        <v>5.8E-5</v>
      </c>
      <c r="L85" s="1">
        <v>5.5999999999999999E-5</v>
      </c>
      <c r="M85" s="1">
        <v>5.5999999999999999E-5</v>
      </c>
      <c r="P85">
        <v>8.8999999999999996E-2</v>
      </c>
      <c r="Q85" s="1">
        <v>8.2000000000000001E-5</v>
      </c>
      <c r="R85" s="1">
        <v>7.8999999999999996E-5</v>
      </c>
      <c r="S85">
        <v>1.916E-3</v>
      </c>
      <c r="T85" s="1">
        <v>7.4999999999999993E-5</v>
      </c>
      <c r="U85" s="1"/>
      <c r="W85">
        <v>7.9000000000000001E-2</v>
      </c>
      <c r="X85">
        <v>0.124</v>
      </c>
      <c r="Y85">
        <v>7.2999999999999995E-2</v>
      </c>
      <c r="Z85">
        <v>7.6999999999999999E-2</v>
      </c>
      <c r="AA85">
        <v>7.1999999999999995E-2</v>
      </c>
      <c r="AD85">
        <v>5.0999999999999997E-2</v>
      </c>
      <c r="AE85">
        <v>0.05</v>
      </c>
      <c r="AF85">
        <v>5.2999999999999999E-2</v>
      </c>
      <c r="AG85">
        <v>9.8000000000000004E-2</v>
      </c>
      <c r="AH85">
        <v>5.5E-2</v>
      </c>
      <c r="AK85">
        <v>9.6069999999999993</v>
      </c>
      <c r="AL85">
        <v>5.1999999999999998E-2</v>
      </c>
      <c r="AM85">
        <v>5.1999999999999998E-2</v>
      </c>
      <c r="AN85">
        <v>5.0999999999999997E-2</v>
      </c>
      <c r="AO85">
        <v>5.0999999999999997E-2</v>
      </c>
    </row>
    <row r="86" spans="1:41" hidden="1">
      <c r="A86">
        <v>84</v>
      </c>
      <c r="B86">
        <v>6.6000000000000003E-2</v>
      </c>
      <c r="C86" s="1">
        <v>6.4999999999999994E-5</v>
      </c>
      <c r="D86" s="1">
        <v>6.0000000000000002E-5</v>
      </c>
      <c r="E86" s="1">
        <v>6.0999999999999999E-5</v>
      </c>
      <c r="F86" s="1">
        <v>5.8999999999999998E-5</v>
      </c>
      <c r="I86">
        <v>5.7000000000000002E-2</v>
      </c>
      <c r="J86" s="1">
        <v>5.8E-5</v>
      </c>
      <c r="K86" s="1">
        <v>5.5000000000000002E-5</v>
      </c>
      <c r="L86" s="1">
        <v>5.5000000000000002E-5</v>
      </c>
      <c r="M86">
        <v>2.7399999999999999E-4</v>
      </c>
      <c r="P86">
        <v>8.3000000000000004E-2</v>
      </c>
      <c r="Q86">
        <v>2.05E-4</v>
      </c>
      <c r="R86" s="1">
        <v>7.1000000000000005E-5</v>
      </c>
      <c r="S86">
        <v>1E-4</v>
      </c>
      <c r="T86" s="1">
        <v>8.8999999999999995E-5</v>
      </c>
      <c r="U86" s="1"/>
      <c r="W86">
        <v>8.1000000000000003E-2</v>
      </c>
      <c r="X86">
        <v>7.0999999999999994E-2</v>
      </c>
      <c r="Y86">
        <v>7.0999999999999994E-2</v>
      </c>
      <c r="Z86">
        <v>7.1999999999999995E-2</v>
      </c>
      <c r="AA86">
        <v>7.0999999999999994E-2</v>
      </c>
      <c r="AD86">
        <v>0.193</v>
      </c>
      <c r="AE86">
        <v>5.1999999999999998E-2</v>
      </c>
      <c r="AF86">
        <v>0.05</v>
      </c>
      <c r="AG86">
        <v>0.05</v>
      </c>
      <c r="AH86">
        <v>5.0999999999999997E-2</v>
      </c>
      <c r="AK86">
        <v>5.6000000000000001E-2</v>
      </c>
      <c r="AL86">
        <v>5.3999999999999999E-2</v>
      </c>
      <c r="AM86">
        <v>5.7000000000000002E-2</v>
      </c>
      <c r="AN86">
        <v>5.7000000000000002E-2</v>
      </c>
      <c r="AO86">
        <v>5.5E-2</v>
      </c>
    </row>
    <row r="87" spans="1:41" hidden="1">
      <c r="A87">
        <v>85</v>
      </c>
      <c r="B87">
        <v>6.4000000000000001E-2</v>
      </c>
      <c r="C87" s="1">
        <v>6.3999999999999997E-5</v>
      </c>
      <c r="D87" s="1">
        <v>6.0000000000000002E-5</v>
      </c>
      <c r="E87" s="1">
        <v>6.3999999999999997E-5</v>
      </c>
      <c r="F87" s="1">
        <v>5.3999999999999998E-5</v>
      </c>
      <c r="I87">
        <v>0.06</v>
      </c>
      <c r="J87">
        <v>7.6620000000000004E-3</v>
      </c>
      <c r="K87">
        <v>9.2699999999999998E-4</v>
      </c>
      <c r="L87" s="1">
        <v>5.7000000000000003E-5</v>
      </c>
      <c r="M87" s="1">
        <v>5.5000000000000002E-5</v>
      </c>
      <c r="P87">
        <v>7.9000000000000001E-2</v>
      </c>
      <c r="Q87" s="1">
        <v>7.8999999999999996E-5</v>
      </c>
      <c r="R87" s="1">
        <v>6.9999999999999994E-5</v>
      </c>
      <c r="S87" s="1">
        <v>7.8999999999999996E-5</v>
      </c>
      <c r="T87" s="1">
        <v>7.4999999999999993E-5</v>
      </c>
      <c r="U87" s="1"/>
      <c r="W87">
        <v>13.09</v>
      </c>
      <c r="X87">
        <v>0.10199999999999999</v>
      </c>
      <c r="Y87">
        <v>0.1</v>
      </c>
      <c r="Z87">
        <v>9.8000000000000004E-2</v>
      </c>
      <c r="AA87">
        <v>0.107</v>
      </c>
      <c r="AD87">
        <v>5.1999999999999998E-2</v>
      </c>
      <c r="AE87">
        <v>5.0999999999999997E-2</v>
      </c>
      <c r="AF87">
        <v>5.0999999999999997E-2</v>
      </c>
      <c r="AG87">
        <v>5.0999999999999997E-2</v>
      </c>
      <c r="AH87">
        <v>0.05</v>
      </c>
      <c r="AK87">
        <v>5.0999999999999997E-2</v>
      </c>
      <c r="AL87">
        <v>5.3999999999999999E-2</v>
      </c>
      <c r="AM87">
        <v>0.05</v>
      </c>
      <c r="AN87">
        <v>0.20599999999999999</v>
      </c>
      <c r="AO87">
        <v>0.23799999999999999</v>
      </c>
    </row>
    <row r="88" spans="1:41" hidden="1">
      <c r="A88">
        <v>86</v>
      </c>
      <c r="B88">
        <v>5.8999999999999997E-2</v>
      </c>
      <c r="C88" s="1">
        <v>5.7000000000000003E-5</v>
      </c>
      <c r="D88" s="1">
        <v>6.0000000000000002E-5</v>
      </c>
      <c r="E88" s="1">
        <v>6.0000000000000002E-5</v>
      </c>
      <c r="F88" s="1">
        <v>6.3E-5</v>
      </c>
      <c r="I88">
        <v>5.8999999999999997E-2</v>
      </c>
      <c r="J88" s="1">
        <v>5.7000000000000003E-5</v>
      </c>
      <c r="K88" s="1">
        <v>5.5000000000000002E-5</v>
      </c>
      <c r="L88" s="1">
        <v>6.0000000000000002E-5</v>
      </c>
      <c r="M88" s="1">
        <v>6.3999999999999997E-5</v>
      </c>
      <c r="P88">
        <v>8.8999999999999996E-2</v>
      </c>
      <c r="Q88" s="1">
        <v>7.2999999999999999E-5</v>
      </c>
      <c r="R88" s="1">
        <v>6.3E-5</v>
      </c>
      <c r="S88" s="1">
        <v>6.6000000000000005E-5</v>
      </c>
      <c r="T88" s="1">
        <v>6.3E-5</v>
      </c>
      <c r="U88" s="1"/>
      <c r="W88">
        <v>8.4000000000000005E-2</v>
      </c>
      <c r="X88">
        <v>8.2000000000000003E-2</v>
      </c>
      <c r="Y88">
        <v>8.2000000000000003E-2</v>
      </c>
      <c r="Z88">
        <v>0.17899999999999999</v>
      </c>
      <c r="AA88">
        <v>0.11</v>
      </c>
      <c r="AD88">
        <v>5.0999999999999997E-2</v>
      </c>
      <c r="AE88">
        <v>4.9000000000000002E-2</v>
      </c>
      <c r="AF88">
        <v>4.9000000000000002E-2</v>
      </c>
      <c r="AG88">
        <v>5.0999999999999997E-2</v>
      </c>
      <c r="AH88">
        <v>0.05</v>
      </c>
      <c r="AK88">
        <v>5.3999999999999999E-2</v>
      </c>
      <c r="AL88">
        <v>5.0999999999999997E-2</v>
      </c>
      <c r="AM88">
        <v>5.2999999999999999E-2</v>
      </c>
      <c r="AN88">
        <v>5.5E-2</v>
      </c>
      <c r="AO88">
        <v>5.2999999999999999E-2</v>
      </c>
    </row>
    <row r="89" spans="1:41" hidden="1">
      <c r="A89">
        <v>87</v>
      </c>
      <c r="B89">
        <v>6.4000000000000001E-2</v>
      </c>
      <c r="C89" s="1">
        <v>6.3E-5</v>
      </c>
      <c r="D89" s="1">
        <v>6.0000000000000002E-5</v>
      </c>
      <c r="E89" s="1">
        <v>6.3999999999999997E-5</v>
      </c>
      <c r="F89" s="1">
        <v>5.8999999999999998E-5</v>
      </c>
      <c r="I89">
        <v>5.8000000000000003E-2</v>
      </c>
      <c r="J89" s="1">
        <v>5.7000000000000003E-5</v>
      </c>
      <c r="K89" s="1">
        <v>5.3999999999999998E-5</v>
      </c>
      <c r="L89" s="1">
        <v>5.3999999999999998E-5</v>
      </c>
      <c r="M89">
        <v>4.1469999999999996E-3</v>
      </c>
      <c r="P89">
        <v>6.5000000000000002E-2</v>
      </c>
      <c r="Q89" s="1">
        <v>6.4999999999999994E-5</v>
      </c>
      <c r="R89">
        <v>8.1999999999999998E-4</v>
      </c>
      <c r="S89" s="1">
        <v>7.1000000000000005E-5</v>
      </c>
      <c r="T89" s="1">
        <v>7.1000000000000005E-5</v>
      </c>
      <c r="U89" s="1"/>
      <c r="W89">
        <v>8.8999999999999996E-2</v>
      </c>
      <c r="X89">
        <v>7.1999999999999995E-2</v>
      </c>
      <c r="Y89">
        <v>8.2000000000000003E-2</v>
      </c>
      <c r="Z89">
        <v>7.2999999999999995E-2</v>
      </c>
      <c r="AA89">
        <v>7.9000000000000001E-2</v>
      </c>
      <c r="AD89">
        <v>0.374</v>
      </c>
      <c r="AE89">
        <v>0.46600000000000003</v>
      </c>
      <c r="AF89">
        <v>5.5E-2</v>
      </c>
      <c r="AG89">
        <v>5.0999999999999997E-2</v>
      </c>
      <c r="AH89">
        <v>5.0999999999999997E-2</v>
      </c>
      <c r="AK89">
        <v>5.6000000000000001E-2</v>
      </c>
      <c r="AL89">
        <v>0.05</v>
      </c>
      <c r="AM89">
        <v>5.0999999999999997E-2</v>
      </c>
      <c r="AN89">
        <v>0.05</v>
      </c>
      <c r="AO89">
        <v>0.05</v>
      </c>
    </row>
    <row r="90" spans="1:41" hidden="1">
      <c r="A90">
        <v>88</v>
      </c>
      <c r="B90">
        <v>9.5000000000000001E-2</v>
      </c>
      <c r="C90" s="1">
        <v>6.0999999999999999E-5</v>
      </c>
      <c r="D90" s="1">
        <v>6.0000000000000002E-5</v>
      </c>
      <c r="E90" s="1">
        <v>6.0999999999999999E-5</v>
      </c>
      <c r="F90" s="1">
        <v>5.3999999999999998E-5</v>
      </c>
      <c r="I90">
        <v>6.3E-2</v>
      </c>
      <c r="J90" s="1">
        <v>6.3999999999999997E-5</v>
      </c>
      <c r="K90" s="1">
        <v>5.8999999999999998E-5</v>
      </c>
      <c r="L90" s="1">
        <v>5.8E-5</v>
      </c>
      <c r="M90" s="1">
        <v>6.3E-5</v>
      </c>
      <c r="P90">
        <v>7.0999999999999994E-2</v>
      </c>
      <c r="Q90" s="1">
        <v>6.9999999999999994E-5</v>
      </c>
      <c r="R90" s="1">
        <v>6.3E-5</v>
      </c>
      <c r="S90">
        <v>1.9599999999999999E-4</v>
      </c>
      <c r="T90" s="1">
        <v>6.6000000000000005E-5</v>
      </c>
      <c r="U90" s="1"/>
      <c r="W90">
        <v>7.9000000000000001E-2</v>
      </c>
      <c r="X90">
        <v>7.6999999999999999E-2</v>
      </c>
      <c r="Y90">
        <v>0.24299999999999999</v>
      </c>
      <c r="Z90">
        <v>7.1999999999999995E-2</v>
      </c>
      <c r="AA90">
        <v>0.08</v>
      </c>
      <c r="AD90">
        <v>5.1999999999999998E-2</v>
      </c>
      <c r="AE90">
        <v>7.8310000000000004</v>
      </c>
      <c r="AF90">
        <v>5.3999999999999999E-2</v>
      </c>
      <c r="AG90">
        <v>5.8000000000000003E-2</v>
      </c>
      <c r="AH90">
        <v>5.6000000000000001E-2</v>
      </c>
      <c r="AK90">
        <v>5.0999999999999997E-2</v>
      </c>
      <c r="AL90">
        <v>5.5E-2</v>
      </c>
      <c r="AM90">
        <v>5.5E-2</v>
      </c>
      <c r="AN90">
        <v>0.05</v>
      </c>
      <c r="AO90">
        <v>5.5E-2</v>
      </c>
    </row>
    <row r="91" spans="1:41" hidden="1">
      <c r="A91">
        <v>89</v>
      </c>
      <c r="B91">
        <v>6.2E-2</v>
      </c>
      <c r="C91" s="1">
        <v>6.2000000000000003E-5</v>
      </c>
      <c r="D91" s="1">
        <v>6.0000000000000002E-5</v>
      </c>
      <c r="E91" s="1">
        <v>5.8999999999999998E-5</v>
      </c>
      <c r="F91" s="1">
        <v>6.0000000000000002E-5</v>
      </c>
      <c r="I91">
        <v>6.4000000000000001E-2</v>
      </c>
      <c r="J91" s="1">
        <v>6.4999999999999994E-5</v>
      </c>
      <c r="K91" s="1">
        <v>6.2000000000000003E-5</v>
      </c>
      <c r="L91" s="1">
        <v>7.6000000000000004E-5</v>
      </c>
      <c r="M91">
        <v>1.8100000000000001E-4</v>
      </c>
      <c r="P91">
        <v>0.36899999999999999</v>
      </c>
      <c r="Q91" s="1">
        <v>5.8E-5</v>
      </c>
      <c r="R91" s="1">
        <v>6.0999999999999999E-5</v>
      </c>
      <c r="S91" s="1">
        <v>5.3999999999999998E-5</v>
      </c>
      <c r="T91" s="1">
        <v>5.3999999999999998E-5</v>
      </c>
      <c r="U91" s="1"/>
      <c r="W91">
        <v>8.1000000000000003E-2</v>
      </c>
      <c r="X91">
        <v>7.0999999999999994E-2</v>
      </c>
      <c r="Y91">
        <v>7.0999999999999994E-2</v>
      </c>
      <c r="Z91">
        <v>7.1999999999999995E-2</v>
      </c>
      <c r="AA91">
        <v>7.8E-2</v>
      </c>
      <c r="AD91">
        <v>5.7000000000000002E-2</v>
      </c>
      <c r="AE91">
        <v>5.2999999999999999E-2</v>
      </c>
      <c r="AF91">
        <v>4.9000000000000002E-2</v>
      </c>
      <c r="AG91">
        <v>0.23300000000000001</v>
      </c>
      <c r="AH91">
        <v>0.38900000000000001</v>
      </c>
      <c r="AK91">
        <v>5.7000000000000002E-2</v>
      </c>
      <c r="AL91">
        <v>0.06</v>
      </c>
      <c r="AM91">
        <v>5.8000000000000003E-2</v>
      </c>
      <c r="AN91">
        <v>5.0999999999999997E-2</v>
      </c>
      <c r="AO91">
        <v>5.1999999999999998E-2</v>
      </c>
    </row>
    <row r="92" spans="1:41" hidden="1">
      <c r="A92">
        <v>90</v>
      </c>
      <c r="B92">
        <v>6.2E-2</v>
      </c>
      <c r="C92" s="1">
        <v>6.3E-5</v>
      </c>
      <c r="D92" s="1">
        <v>6.0000000000000002E-5</v>
      </c>
      <c r="E92" s="1">
        <v>5.8999999999999998E-5</v>
      </c>
      <c r="F92" s="1">
        <v>5.8E-5</v>
      </c>
      <c r="I92">
        <v>6.5000000000000002E-2</v>
      </c>
      <c r="J92" s="1">
        <v>6.3E-5</v>
      </c>
      <c r="K92" s="1">
        <v>6.0000000000000002E-5</v>
      </c>
      <c r="L92" s="1">
        <v>6.3E-5</v>
      </c>
      <c r="M92" s="1">
        <v>5.3999999999999998E-5</v>
      </c>
      <c r="P92">
        <v>5.6000000000000001E-2</v>
      </c>
      <c r="Q92" s="1">
        <v>6.3E-5</v>
      </c>
      <c r="R92" s="1">
        <v>6.0000000000000002E-5</v>
      </c>
      <c r="S92" s="1">
        <v>6.0999999999999999E-5</v>
      </c>
      <c r="T92" s="1">
        <v>6.6000000000000005E-5</v>
      </c>
      <c r="U92" s="1"/>
      <c r="W92">
        <v>8.1000000000000003E-2</v>
      </c>
      <c r="X92">
        <v>7.1999999999999995E-2</v>
      </c>
      <c r="Y92">
        <v>7.8E-2</v>
      </c>
      <c r="Z92">
        <v>7.2999999999999995E-2</v>
      </c>
      <c r="AA92">
        <v>7.6999999999999999E-2</v>
      </c>
      <c r="AD92">
        <v>5.6000000000000001E-2</v>
      </c>
      <c r="AE92">
        <v>7.6999999999999999E-2</v>
      </c>
      <c r="AF92">
        <v>8.5000000000000006E-2</v>
      </c>
      <c r="AG92">
        <v>9.2999999999999999E-2</v>
      </c>
      <c r="AH92">
        <v>5.5E-2</v>
      </c>
      <c r="AK92">
        <v>5.1999999999999998E-2</v>
      </c>
      <c r="AL92">
        <v>0.05</v>
      </c>
      <c r="AM92">
        <v>0.34599999999999997</v>
      </c>
      <c r="AN92">
        <v>5.3999999999999999E-2</v>
      </c>
      <c r="AO92">
        <v>5.1999999999999998E-2</v>
      </c>
    </row>
    <row r="93" spans="1:41" hidden="1">
      <c r="A93">
        <v>91</v>
      </c>
      <c r="B93">
        <v>6.3E-2</v>
      </c>
      <c r="C93" s="1">
        <v>5.5999999999999999E-5</v>
      </c>
      <c r="D93" s="1">
        <v>5.5000000000000002E-5</v>
      </c>
      <c r="E93">
        <v>1.1233E-2</v>
      </c>
      <c r="F93">
        <v>2.8800000000000001E-4</v>
      </c>
      <c r="I93">
        <v>6.2E-2</v>
      </c>
      <c r="J93" s="1">
        <v>6.3E-5</v>
      </c>
      <c r="K93" s="1">
        <v>5.8999999999999998E-5</v>
      </c>
      <c r="L93" s="1">
        <v>5.5000000000000002E-5</v>
      </c>
      <c r="M93">
        <v>5.2909999999999997E-3</v>
      </c>
      <c r="P93">
        <v>6.4000000000000001E-2</v>
      </c>
      <c r="Q93" s="1">
        <v>6.3E-5</v>
      </c>
      <c r="R93" s="1">
        <v>5.3000000000000001E-5</v>
      </c>
      <c r="S93" s="1">
        <v>5.3999999999999998E-5</v>
      </c>
      <c r="T93" s="1">
        <v>5.3000000000000001E-5</v>
      </c>
      <c r="U93" s="1"/>
      <c r="W93">
        <v>7.3999999999999996E-2</v>
      </c>
      <c r="X93">
        <v>7.6999999999999999E-2</v>
      </c>
      <c r="Y93">
        <v>7.1999999999999995E-2</v>
      </c>
      <c r="Z93">
        <v>7.8E-2</v>
      </c>
      <c r="AA93">
        <v>0.2</v>
      </c>
      <c r="AD93">
        <v>7.5999999999999998E-2</v>
      </c>
      <c r="AE93">
        <v>5.1999999999999998E-2</v>
      </c>
      <c r="AF93">
        <v>5.0999999999999997E-2</v>
      </c>
      <c r="AG93">
        <v>0.438</v>
      </c>
      <c r="AH93">
        <v>5.3999999999999999E-2</v>
      </c>
      <c r="AK93">
        <v>7.3999999999999996E-2</v>
      </c>
      <c r="AL93">
        <v>7.2999999999999995E-2</v>
      </c>
      <c r="AM93">
        <v>5.1999999999999998E-2</v>
      </c>
      <c r="AN93">
        <v>0.05</v>
      </c>
      <c r="AO93">
        <v>2.2650000000000001</v>
      </c>
    </row>
    <row r="94" spans="1:41" hidden="1">
      <c r="A94">
        <v>92</v>
      </c>
      <c r="B94">
        <v>9.6000000000000002E-2</v>
      </c>
      <c r="C94" s="1">
        <v>5.8E-5</v>
      </c>
      <c r="D94" s="1">
        <v>5.7000000000000003E-5</v>
      </c>
      <c r="E94">
        <v>1.84E-4</v>
      </c>
      <c r="F94" s="1">
        <v>7.4999999999999993E-5</v>
      </c>
      <c r="I94">
        <v>6.5000000000000002E-2</v>
      </c>
      <c r="J94" s="1">
        <v>6.2000000000000003E-5</v>
      </c>
      <c r="K94" s="1">
        <v>5.8999999999999998E-5</v>
      </c>
      <c r="L94" s="1">
        <v>6.0999999999999999E-5</v>
      </c>
      <c r="M94" s="1">
        <v>5.8E-5</v>
      </c>
      <c r="P94">
        <v>5.8000000000000003E-2</v>
      </c>
      <c r="Q94" s="1">
        <v>5.5999999999999999E-5</v>
      </c>
      <c r="R94" s="1">
        <v>5.3999999999999998E-5</v>
      </c>
      <c r="S94">
        <v>6.9199999999999999E-3</v>
      </c>
      <c r="T94">
        <v>9.9700000000000006E-4</v>
      </c>
      <c r="W94">
        <v>7.2999999999999995E-2</v>
      </c>
      <c r="X94">
        <v>0.121</v>
      </c>
      <c r="Y94">
        <v>7.2999999999999995E-2</v>
      </c>
      <c r="Z94">
        <v>7.9000000000000001E-2</v>
      </c>
      <c r="AA94">
        <v>7.3999999999999996E-2</v>
      </c>
      <c r="AD94">
        <v>5.2999999999999999E-2</v>
      </c>
      <c r="AE94">
        <v>5.0999999999999997E-2</v>
      </c>
      <c r="AF94">
        <v>5.0999999999999997E-2</v>
      </c>
      <c r="AG94">
        <v>0.05</v>
      </c>
      <c r="AH94">
        <v>0.05</v>
      </c>
      <c r="AK94">
        <v>6.7000000000000004E-2</v>
      </c>
      <c r="AL94">
        <v>6.3E-2</v>
      </c>
      <c r="AM94">
        <v>5.8999999999999997E-2</v>
      </c>
      <c r="AN94">
        <v>5.8999999999999997E-2</v>
      </c>
      <c r="AO94">
        <v>0.06</v>
      </c>
    </row>
    <row r="95" spans="1:41" hidden="1">
      <c r="A95">
        <v>93</v>
      </c>
      <c r="B95">
        <v>6.2E-2</v>
      </c>
      <c r="C95" s="1">
        <v>6.3E-5</v>
      </c>
      <c r="D95" s="1">
        <v>6.0999999999999999E-5</v>
      </c>
      <c r="E95" s="1">
        <v>5.8999999999999998E-5</v>
      </c>
      <c r="F95" s="1">
        <v>5.8E-5</v>
      </c>
      <c r="I95">
        <v>6.0999999999999999E-2</v>
      </c>
      <c r="J95" s="1">
        <v>6.0999999999999999E-5</v>
      </c>
      <c r="K95" s="1">
        <v>6.3E-5</v>
      </c>
      <c r="L95" s="1">
        <v>5.3999999999999998E-5</v>
      </c>
      <c r="M95" s="1">
        <v>5.3999999999999998E-5</v>
      </c>
      <c r="P95">
        <v>5.8999999999999997E-2</v>
      </c>
      <c r="Q95" s="1">
        <v>9.2E-5</v>
      </c>
      <c r="R95">
        <v>2.1970000000000002E-3</v>
      </c>
      <c r="S95" s="1">
        <v>5.5999999999999999E-5</v>
      </c>
      <c r="T95" s="1">
        <v>5.5000000000000002E-5</v>
      </c>
      <c r="U95" s="1"/>
      <c r="W95">
        <v>8.1000000000000003E-2</v>
      </c>
      <c r="X95">
        <v>7.0999999999999994E-2</v>
      </c>
      <c r="Y95">
        <v>7.5999999999999998E-2</v>
      </c>
      <c r="Z95">
        <v>7.0999999999999994E-2</v>
      </c>
      <c r="AA95">
        <v>2.1880000000000002</v>
      </c>
      <c r="AD95">
        <v>5.0999999999999997E-2</v>
      </c>
      <c r="AE95">
        <v>0.16500000000000001</v>
      </c>
      <c r="AF95">
        <v>0.14099999999999999</v>
      </c>
      <c r="AG95">
        <v>5.3999999999999999E-2</v>
      </c>
      <c r="AH95">
        <v>7.9000000000000001E-2</v>
      </c>
      <c r="AK95">
        <v>5.6000000000000001E-2</v>
      </c>
      <c r="AL95">
        <v>5.1999999999999998E-2</v>
      </c>
      <c r="AM95">
        <v>5.1999999999999998E-2</v>
      </c>
      <c r="AN95">
        <v>5.0999999999999997E-2</v>
      </c>
      <c r="AO95">
        <v>5.0999999999999997E-2</v>
      </c>
    </row>
    <row r="96" spans="1:41" hidden="1">
      <c r="A96">
        <v>94</v>
      </c>
      <c r="B96">
        <v>6.3E-2</v>
      </c>
      <c r="C96" s="1">
        <v>6.3E-5</v>
      </c>
      <c r="D96" s="1">
        <v>6.3E-5</v>
      </c>
      <c r="E96" s="1">
        <v>5.8999999999999998E-5</v>
      </c>
      <c r="F96" s="1">
        <v>6.0999999999999999E-5</v>
      </c>
      <c r="I96">
        <v>5.7000000000000002E-2</v>
      </c>
      <c r="J96" s="1">
        <v>6.2000000000000003E-5</v>
      </c>
      <c r="K96" s="1">
        <v>5.8999999999999998E-5</v>
      </c>
      <c r="L96" s="1">
        <v>5.8999999999999998E-5</v>
      </c>
      <c r="M96" s="1">
        <v>6.2000000000000003E-5</v>
      </c>
      <c r="P96">
        <v>5.8000000000000003E-2</v>
      </c>
      <c r="Q96" s="1">
        <v>6.0000000000000002E-5</v>
      </c>
      <c r="R96" s="1">
        <v>5.5999999999999999E-5</v>
      </c>
      <c r="S96" s="1">
        <v>6.0999999999999999E-5</v>
      </c>
      <c r="T96" s="1">
        <v>5.8999999999999998E-5</v>
      </c>
      <c r="U96" s="1"/>
      <c r="W96">
        <v>7.4999999999999997E-2</v>
      </c>
      <c r="X96">
        <v>7.4999999999999997E-2</v>
      </c>
      <c r="Y96">
        <v>6.5000000000000002E-2</v>
      </c>
      <c r="Z96">
        <v>7.0000000000000007E-2</v>
      </c>
      <c r="AA96">
        <v>6.4000000000000001E-2</v>
      </c>
      <c r="AD96">
        <v>9.6000000000000002E-2</v>
      </c>
      <c r="AE96">
        <v>0.112</v>
      </c>
      <c r="AF96">
        <v>5.1999999999999998E-2</v>
      </c>
      <c r="AG96">
        <v>5.3999999999999999E-2</v>
      </c>
      <c r="AH96">
        <v>5.5E-2</v>
      </c>
      <c r="AK96">
        <v>5.1999999999999998E-2</v>
      </c>
      <c r="AL96">
        <v>5.3999999999999999E-2</v>
      </c>
      <c r="AM96">
        <v>5.5E-2</v>
      </c>
      <c r="AN96">
        <v>5.0999999999999997E-2</v>
      </c>
      <c r="AO96">
        <v>3.4159999999999999</v>
      </c>
    </row>
    <row r="97" spans="1:41" hidden="1">
      <c r="A97">
        <v>95</v>
      </c>
      <c r="B97">
        <v>6.3E-2</v>
      </c>
      <c r="C97" s="1">
        <v>6.0999999999999999E-5</v>
      </c>
      <c r="D97" s="1">
        <v>5.5000000000000002E-5</v>
      </c>
      <c r="E97" s="1">
        <v>5.3999999999999998E-5</v>
      </c>
      <c r="F97" s="1">
        <v>5.8E-5</v>
      </c>
      <c r="I97">
        <v>6.2E-2</v>
      </c>
      <c r="J97" s="1">
        <v>6.3E-5</v>
      </c>
      <c r="K97" s="1">
        <v>6.2000000000000003E-5</v>
      </c>
      <c r="L97" s="1">
        <v>5.8999999999999998E-5</v>
      </c>
      <c r="M97" s="1">
        <v>5.3999999999999998E-5</v>
      </c>
      <c r="P97">
        <v>6.5000000000000002E-2</v>
      </c>
      <c r="Q97" s="1">
        <v>5.7000000000000003E-5</v>
      </c>
      <c r="R97" s="1">
        <v>6.2000000000000003E-5</v>
      </c>
      <c r="S97" s="1">
        <v>5.8999999999999998E-5</v>
      </c>
      <c r="T97" s="1">
        <v>5.8E-5</v>
      </c>
      <c r="U97" s="1"/>
      <c r="W97">
        <v>7.0000000000000007E-2</v>
      </c>
      <c r="X97">
        <v>6.8000000000000005E-2</v>
      </c>
      <c r="Y97">
        <v>0.28100000000000003</v>
      </c>
      <c r="Z97">
        <v>6.6000000000000003E-2</v>
      </c>
      <c r="AA97">
        <v>7.0999999999999994E-2</v>
      </c>
      <c r="AD97">
        <v>5.3999999999999999E-2</v>
      </c>
      <c r="AE97">
        <v>0.05</v>
      </c>
      <c r="AF97">
        <v>5.0999999999999997E-2</v>
      </c>
      <c r="AG97">
        <v>5.0999999999999997E-2</v>
      </c>
      <c r="AH97">
        <v>5.1999999999999998E-2</v>
      </c>
      <c r="AK97">
        <v>5.3999999999999999E-2</v>
      </c>
      <c r="AL97">
        <v>0.05</v>
      </c>
      <c r="AM97">
        <v>5.0999999999999997E-2</v>
      </c>
      <c r="AN97">
        <v>0.05</v>
      </c>
      <c r="AO97">
        <v>0.05</v>
      </c>
    </row>
    <row r="98" spans="1:41">
      <c r="A98">
        <v>96</v>
      </c>
      <c r="B98">
        <v>6.5000000000000002E-2</v>
      </c>
      <c r="C98" s="1">
        <v>6.2000000000000003E-5</v>
      </c>
      <c r="D98" s="1">
        <v>6.0000000000000002E-5</v>
      </c>
      <c r="E98" s="1">
        <v>6.0000000000000002E-5</v>
      </c>
      <c r="F98" s="1">
        <v>5.8E-5</v>
      </c>
      <c r="I98">
        <v>0.245</v>
      </c>
      <c r="J98">
        <v>5.1199999999999998E-4</v>
      </c>
      <c r="K98" s="1">
        <v>5.8999999999999998E-5</v>
      </c>
      <c r="L98" s="1">
        <v>5.5000000000000002E-5</v>
      </c>
      <c r="M98" s="1">
        <v>5.5999999999999999E-5</v>
      </c>
      <c r="P98">
        <v>0.18099999999999999</v>
      </c>
      <c r="Q98" s="1">
        <v>7.2999999999999999E-5</v>
      </c>
      <c r="R98" s="1">
        <v>9.3999999999999994E-5</v>
      </c>
      <c r="S98" s="1">
        <v>6.0000000000000002E-5</v>
      </c>
      <c r="T98" s="1">
        <v>7.1000000000000005E-5</v>
      </c>
      <c r="U98" s="1"/>
      <c r="W98">
        <v>7.1999999999999995E-2</v>
      </c>
      <c r="X98">
        <v>6.9000000000000006E-2</v>
      </c>
      <c r="Y98">
        <v>6.9000000000000006E-2</v>
      </c>
      <c r="Z98">
        <v>7.0000000000000007E-2</v>
      </c>
      <c r="AA98">
        <v>6.9000000000000006E-2</v>
      </c>
      <c r="AD98">
        <v>5.0999999999999997E-2</v>
      </c>
      <c r="AE98">
        <v>0.05</v>
      </c>
      <c r="AF98">
        <v>1.0580000000000001</v>
      </c>
      <c r="AG98">
        <v>5.8000000000000003E-2</v>
      </c>
      <c r="AH98">
        <v>5.0999999999999997E-2</v>
      </c>
      <c r="AK98">
        <v>5.0999999999999997E-2</v>
      </c>
      <c r="AL98">
        <v>5.2999999999999999E-2</v>
      </c>
      <c r="AM98">
        <v>5.8999999999999997E-2</v>
      </c>
      <c r="AN98">
        <v>5.3999999999999999E-2</v>
      </c>
      <c r="AO98">
        <v>5.6000000000000001E-2</v>
      </c>
    </row>
    <row r="99" spans="1:41">
      <c r="A99">
        <v>97</v>
      </c>
      <c r="B99">
        <v>6.3E-2</v>
      </c>
      <c r="C99" s="1">
        <v>6.2000000000000003E-5</v>
      </c>
      <c r="D99" s="1">
        <v>6.2000000000000003E-5</v>
      </c>
      <c r="E99" s="1">
        <v>5.8999999999999998E-5</v>
      </c>
      <c r="F99" s="1">
        <v>5.8E-5</v>
      </c>
      <c r="I99">
        <v>5.8000000000000003E-2</v>
      </c>
      <c r="J99" s="1">
        <v>7.2000000000000002E-5</v>
      </c>
      <c r="K99" s="1">
        <v>5.5000000000000002E-5</v>
      </c>
      <c r="L99" s="1">
        <v>5.5999999999999999E-5</v>
      </c>
      <c r="M99">
        <v>1.93E-4</v>
      </c>
      <c r="P99">
        <v>0.16500000000000001</v>
      </c>
      <c r="Q99" s="1">
        <v>5.8999999999999998E-5</v>
      </c>
      <c r="R99" s="1">
        <v>6.0999999999999999E-5</v>
      </c>
      <c r="S99">
        <v>1.4300000000000001E-4</v>
      </c>
      <c r="T99" s="1">
        <v>5.5999999999999999E-5</v>
      </c>
      <c r="U99" s="1"/>
      <c r="W99">
        <v>7.1999999999999995E-2</v>
      </c>
      <c r="X99">
        <v>0.17199999999999999</v>
      </c>
      <c r="Y99">
        <v>6.4000000000000001E-2</v>
      </c>
      <c r="Z99">
        <v>6.4000000000000001E-2</v>
      </c>
      <c r="AA99">
        <v>0.75700000000000001</v>
      </c>
      <c r="AD99">
        <v>5.0999999999999997E-2</v>
      </c>
      <c r="AE99">
        <v>8.3330000000000002</v>
      </c>
      <c r="AF99">
        <v>5.2999999999999999E-2</v>
      </c>
      <c r="AG99">
        <v>5.1999999999999998E-2</v>
      </c>
      <c r="AH99">
        <v>5.7000000000000002E-2</v>
      </c>
      <c r="AK99">
        <v>5.6000000000000001E-2</v>
      </c>
      <c r="AL99">
        <v>5.6000000000000001E-2</v>
      </c>
      <c r="AM99">
        <v>5.5E-2</v>
      </c>
      <c r="AN99">
        <v>5.0999999999999997E-2</v>
      </c>
      <c r="AO99">
        <v>5.0999999999999997E-2</v>
      </c>
    </row>
    <row r="100" spans="1:41">
      <c r="A100">
        <v>98</v>
      </c>
      <c r="B100">
        <v>6.4000000000000001E-2</v>
      </c>
      <c r="C100" s="1">
        <v>6.0999999999999999E-5</v>
      </c>
      <c r="D100" s="1">
        <v>6.3E-5</v>
      </c>
      <c r="E100" s="1">
        <v>5.3000000000000001E-5</v>
      </c>
      <c r="F100" s="1">
        <v>6.0000000000000002E-5</v>
      </c>
      <c r="I100">
        <v>0.06</v>
      </c>
      <c r="J100" s="1">
        <v>9.3999999999999994E-5</v>
      </c>
      <c r="K100" s="1">
        <v>7.7999999999999999E-5</v>
      </c>
      <c r="L100" s="1">
        <v>6.0000000000000002E-5</v>
      </c>
      <c r="M100" s="1">
        <v>5.3999999999999998E-5</v>
      </c>
      <c r="P100">
        <v>7.6999999999999999E-2</v>
      </c>
      <c r="Q100" s="1">
        <v>7.7000000000000001E-5</v>
      </c>
      <c r="R100" s="1">
        <v>7.7999999999999999E-5</v>
      </c>
      <c r="S100" s="1">
        <v>5.8E-5</v>
      </c>
      <c r="T100" s="1">
        <v>5.3999999999999998E-5</v>
      </c>
      <c r="U100" s="1"/>
      <c r="W100">
        <v>6.0999999999999999E-2</v>
      </c>
      <c r="X100">
        <v>6.2E-2</v>
      </c>
      <c r="Y100">
        <v>6.5000000000000002E-2</v>
      </c>
      <c r="Z100">
        <v>6.4000000000000001E-2</v>
      </c>
      <c r="AA100">
        <v>6.0999999999999999E-2</v>
      </c>
      <c r="AD100">
        <v>5.7000000000000002E-2</v>
      </c>
      <c r="AE100">
        <v>5.3999999999999999E-2</v>
      </c>
      <c r="AF100">
        <v>5.3999999999999999E-2</v>
      </c>
      <c r="AG100">
        <v>5.8999999999999997E-2</v>
      </c>
      <c r="AH100">
        <v>5.8000000000000003E-2</v>
      </c>
      <c r="AK100">
        <v>5.1999999999999998E-2</v>
      </c>
      <c r="AL100">
        <v>1.5049999999999999</v>
      </c>
      <c r="AM100">
        <v>5.0999999999999997E-2</v>
      </c>
      <c r="AN100">
        <v>8.5999999999999993E-2</v>
      </c>
      <c r="AO100">
        <v>5.8999999999999997E-2</v>
      </c>
    </row>
    <row r="101" spans="1:41">
      <c r="A101">
        <v>99</v>
      </c>
      <c r="B101">
        <v>5.6000000000000001E-2</v>
      </c>
      <c r="C101" s="1">
        <v>5.7000000000000003E-5</v>
      </c>
      <c r="D101" s="1">
        <v>5.5000000000000002E-5</v>
      </c>
      <c r="E101" s="1">
        <v>5.5000000000000002E-5</v>
      </c>
      <c r="F101" s="1">
        <v>5.3999999999999998E-5</v>
      </c>
      <c r="I101">
        <v>5.8000000000000003E-2</v>
      </c>
      <c r="J101" s="1">
        <v>5.8E-5</v>
      </c>
      <c r="K101" s="1">
        <v>6.0999999999999999E-5</v>
      </c>
      <c r="L101" s="1">
        <v>5.5000000000000002E-5</v>
      </c>
      <c r="M101" s="1">
        <v>5.3999999999999998E-5</v>
      </c>
      <c r="P101">
        <v>5.7000000000000002E-2</v>
      </c>
      <c r="Q101" s="1">
        <v>5.5999999999999999E-5</v>
      </c>
      <c r="R101" s="1">
        <v>5.5999999999999999E-5</v>
      </c>
      <c r="S101" s="1">
        <v>5.3999999999999998E-5</v>
      </c>
      <c r="T101" s="1">
        <v>5.3999999999999998E-5</v>
      </c>
      <c r="U101" s="1"/>
      <c r="W101">
        <v>6.3E-2</v>
      </c>
      <c r="X101">
        <v>7.05</v>
      </c>
      <c r="Y101">
        <v>6.0999999999999999E-2</v>
      </c>
      <c r="Z101">
        <v>6.3E-2</v>
      </c>
      <c r="AA101">
        <v>6.2E-2</v>
      </c>
      <c r="AD101">
        <v>5.6000000000000001E-2</v>
      </c>
      <c r="AE101">
        <v>4.9000000000000002E-2</v>
      </c>
      <c r="AF101">
        <v>0.05</v>
      </c>
      <c r="AG101">
        <v>0.23899999999999999</v>
      </c>
      <c r="AH101">
        <v>7.3999999999999996E-2</v>
      </c>
      <c r="AK101">
        <v>5.8000000000000003E-2</v>
      </c>
      <c r="AL101">
        <v>5.0999999999999997E-2</v>
      </c>
      <c r="AM101">
        <v>11.443</v>
      </c>
      <c r="AN101">
        <v>5.3999999999999999E-2</v>
      </c>
      <c r="AO101">
        <v>5.1999999999999998E-2</v>
      </c>
    </row>
    <row r="102" spans="1:41">
      <c r="A102">
        <v>100</v>
      </c>
      <c r="B102">
        <v>5.8999999999999997E-2</v>
      </c>
      <c r="C102" s="1">
        <v>6.0999999999999999E-5</v>
      </c>
      <c r="D102" s="1">
        <v>6.2000000000000003E-5</v>
      </c>
      <c r="E102" s="1">
        <v>5.8999999999999998E-5</v>
      </c>
      <c r="F102" s="1">
        <v>5.8E-5</v>
      </c>
      <c r="I102">
        <v>5.7000000000000002E-2</v>
      </c>
      <c r="J102" s="1">
        <v>6.0000000000000002E-5</v>
      </c>
      <c r="K102" s="1">
        <v>5.5000000000000002E-5</v>
      </c>
      <c r="L102" s="1">
        <v>5.5000000000000002E-5</v>
      </c>
      <c r="M102" s="1">
        <v>5.3000000000000001E-5</v>
      </c>
      <c r="P102">
        <v>5.8000000000000003E-2</v>
      </c>
      <c r="Q102" s="1">
        <v>5.8E-5</v>
      </c>
      <c r="R102">
        <v>4.66E-4</v>
      </c>
      <c r="S102" s="1">
        <v>5.7000000000000003E-5</v>
      </c>
      <c r="T102" s="1">
        <v>5.3999999999999998E-5</v>
      </c>
      <c r="U102" s="1"/>
      <c r="W102">
        <v>5.0999999999999997E-2</v>
      </c>
      <c r="X102">
        <v>3.1579999999999999</v>
      </c>
      <c r="Y102">
        <v>5.8999999999999997E-2</v>
      </c>
      <c r="Z102">
        <v>5.1999999999999998E-2</v>
      </c>
      <c r="AA102">
        <v>5.6000000000000001E-2</v>
      </c>
      <c r="AD102">
        <v>0.09</v>
      </c>
      <c r="AE102">
        <v>5.5E-2</v>
      </c>
      <c r="AF102">
        <v>5.3999999999999999E-2</v>
      </c>
      <c r="AG102">
        <v>0.129</v>
      </c>
      <c r="AH102">
        <v>0.05</v>
      </c>
      <c r="AK102">
        <v>5.2999999999999999E-2</v>
      </c>
      <c r="AL102">
        <v>5.5E-2</v>
      </c>
      <c r="AM102">
        <v>5.5E-2</v>
      </c>
      <c r="AN102">
        <v>5.5E-2</v>
      </c>
      <c r="AO102">
        <v>5.6000000000000001E-2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AVERAGE(Encrypt16x3266[ECB])</f>
        <v>0.22773999999999997</v>
      </c>
      <c r="C106" s="29">
        <f>AVERAGE(Encrypt16x3266[CBC])</f>
        <v>3.8475000000000022E-4</v>
      </c>
      <c r="D106" s="29">
        <f>AVERAGE(Encrypt16x3266[OFB])</f>
        <v>3.9504999999999993E-4</v>
      </c>
      <c r="E106" s="29">
        <f>AVERAGE(Encrypt16x3266[CFB])</f>
        <v>4.7918999999999946E-4</v>
      </c>
      <c r="F106" s="29">
        <f>AVERAGE(Encrypt16x3266[CTR])</f>
        <v>3.6836999999999959E-4</v>
      </c>
      <c r="G106" s="26"/>
      <c r="H106" s="28" t="s">
        <v>8</v>
      </c>
      <c r="I106" s="29">
        <f>AVERAGE(Encrypt24x3267[ECB])</f>
        <v>0.33836999999999995</v>
      </c>
      <c r="J106" s="29">
        <f>AVERAGE(Encrypt24x3267[CBC])</f>
        <v>3.4754000000000013E-4</v>
      </c>
      <c r="K106" s="29">
        <f>AVERAGE(Encrypt24x3267[OFB])</f>
        <v>3.9676999999999969E-4</v>
      </c>
      <c r="L106" s="29">
        <f>AVERAGE(Encrypt24x3267[CFB])</f>
        <v>1.0963999999999999E-4</v>
      </c>
      <c r="M106" s="29">
        <f>AVERAGE(Encrypt24x3267[CTR])</f>
        <v>2.7651999999999977E-4</v>
      </c>
      <c r="N106" s="26"/>
      <c r="O106" s="28" t="s">
        <v>8</v>
      </c>
      <c r="P106" s="29">
        <f>AVERAGE(Encrypt32x3268[ECB])</f>
        <v>0.27750999999999987</v>
      </c>
      <c r="Q106" s="29">
        <f>AVERAGE(Encrypt32x3268[CBC])</f>
        <v>3.6337000000000028E-4</v>
      </c>
      <c r="R106" s="29">
        <f>AVERAGE(Encrypt32x3268[OFB])</f>
        <v>1.7225000000000001E-4</v>
      </c>
      <c r="S106" s="29">
        <f>AVERAGE(Encrypt32x3268[CFB])</f>
        <v>2.6622000000000001E-4</v>
      </c>
      <c r="T106" s="29">
        <f>AVERAGE(Encrypt32x3268[CTR])</f>
        <v>5.1543999999999993E-4</v>
      </c>
      <c r="U106" s="26"/>
      <c r="V106" s="28" t="s">
        <v>8</v>
      </c>
      <c r="W106" s="29">
        <f>AVERAGE(Decrypt16x3269[ECB])</f>
        <v>0.50361000000000045</v>
      </c>
      <c r="X106" s="29">
        <f>AVERAGE(Decrypt16x3269[CBC])</f>
        <v>0.30381000000000002</v>
      </c>
      <c r="Y106" s="29">
        <f>AVERAGE(Decrypt16x3269[OFB])</f>
        <v>0.18367000000000008</v>
      </c>
      <c r="Z106" s="29">
        <f>AVERAGE(Decrypt16x3269[CFB])</f>
        <v>0.31398999999999982</v>
      </c>
      <c r="AA106" s="29">
        <f>AVERAGE(Decrypt16x3269[CTR])</f>
        <v>0.27209000000000005</v>
      </c>
      <c r="AB106" s="26"/>
      <c r="AC106" s="28" t="s">
        <v>8</v>
      </c>
      <c r="AD106" s="29">
        <f>AVERAGE(Decrypt24x3270[ECB])</f>
        <v>0.22725999999999991</v>
      </c>
      <c r="AE106" s="29">
        <f>AVERAGE(Decrypt24x3270[CBC])</f>
        <v>0.35831999999999992</v>
      </c>
      <c r="AF106" s="29">
        <f>AVERAGE(Decrypt24x3270[OFB])</f>
        <v>0.43221999999999999</v>
      </c>
      <c r="AG106" s="29">
        <f>AVERAGE(Decrypt24x3270[CFB])</f>
        <v>7.8419999999999976E-2</v>
      </c>
      <c r="AH106" s="29">
        <f>AVERAGE(Decrypt24x3270[CTR])</f>
        <v>0.30930999999999981</v>
      </c>
      <c r="AI106" s="26"/>
      <c r="AJ106" s="28" t="s">
        <v>8</v>
      </c>
      <c r="AK106" s="29">
        <f>AVERAGE(Decrypt32x3271[ECB])</f>
        <v>0.35790999999999962</v>
      </c>
      <c r="AL106" s="29">
        <f>AVERAGE(Decrypt32x3271[CBC])</f>
        <v>0.31162999999999985</v>
      </c>
      <c r="AM106" s="29">
        <f>AVERAGE(Decrypt32x3271[OFB])</f>
        <v>0.37636999999999998</v>
      </c>
      <c r="AN106" s="29">
        <f>AVERAGE(Decrypt32x3271[CFB])</f>
        <v>0.17847999999999994</v>
      </c>
      <c r="AO106" s="29">
        <f>AVERAGE(Decrypt32x3271[CTR])</f>
        <v>0.35494999999999971</v>
      </c>
    </row>
    <row r="107" spans="1:41">
      <c r="A107" s="30" t="s">
        <v>10</v>
      </c>
      <c r="B107" s="29">
        <f>MIN(Encrypt16x3266[ECB])</f>
        <v>5.6000000000000001E-2</v>
      </c>
      <c r="C107" s="29">
        <f>MIN(Encrypt16x3266[CBC])</f>
        <v>5.5999999999999999E-5</v>
      </c>
      <c r="D107" s="29">
        <f>MIN(Encrypt16x3266[OFB])</f>
        <v>5.3999999999999998E-5</v>
      </c>
      <c r="E107" s="29">
        <f>MIN(Encrypt16x3266[CFB])</f>
        <v>5.3000000000000001E-5</v>
      </c>
      <c r="F107" s="29">
        <f>MIN(Encrypt16x3266[CTR])</f>
        <v>5.3999999999999998E-5</v>
      </c>
      <c r="G107" s="26"/>
      <c r="H107" s="31" t="s">
        <v>10</v>
      </c>
      <c r="I107" s="29">
        <f>MIN(Encrypt24x3267[ECB])</f>
        <v>5.5E-2</v>
      </c>
      <c r="J107" s="29">
        <f>MIN(Encrypt24x3267[CBC])</f>
        <v>5.5999999999999999E-5</v>
      </c>
      <c r="K107" s="29">
        <f>MIN(Encrypt24x3267[OFB])</f>
        <v>5.3999999999999998E-5</v>
      </c>
      <c r="L107" s="29">
        <f>MIN(Encrypt24x3267[CFB])</f>
        <v>5.3999999999999998E-5</v>
      </c>
      <c r="M107" s="29">
        <f>MIN(Encrypt24x3267[CTR])</f>
        <v>5.3000000000000001E-5</v>
      </c>
      <c r="N107" s="26"/>
      <c r="O107" s="31" t="s">
        <v>10</v>
      </c>
      <c r="P107" s="29">
        <f>MIN(Encrypt32x3268[ECB])</f>
        <v>5.6000000000000001E-2</v>
      </c>
      <c r="Q107" s="29">
        <f>MIN(Encrypt32x3268[CBC])</f>
        <v>5.5999999999999999E-5</v>
      </c>
      <c r="R107" s="29">
        <f>MIN(Encrypt32x3268[OFB])</f>
        <v>5.3000000000000001E-5</v>
      </c>
      <c r="S107" s="29">
        <f>MIN(Encrypt32x3268[CFB])</f>
        <v>5.3999999999999998E-5</v>
      </c>
      <c r="T107" s="29">
        <f>MIN(Encrypt32x3268[CTR])</f>
        <v>5.3000000000000001E-5</v>
      </c>
      <c r="U107" s="26"/>
      <c r="V107" s="30" t="s">
        <v>10</v>
      </c>
      <c r="W107" s="29">
        <f>MIN(Decrypt16x3269[ECB])</f>
        <v>0.05</v>
      </c>
      <c r="X107" s="29">
        <f>MIN(Decrypt16x3269[CBC])</f>
        <v>4.8000000000000001E-2</v>
      </c>
      <c r="Y107" s="29">
        <f>MIN(Decrypt16x3269[OFB])</f>
        <v>4.9000000000000002E-2</v>
      </c>
      <c r="Z107" s="29">
        <f>MIN(Decrypt16x3269[CFB])</f>
        <v>0.05</v>
      </c>
      <c r="AA107" s="29">
        <f>MIN(Decrypt16x3269[CTR])</f>
        <v>4.9000000000000002E-2</v>
      </c>
      <c r="AB107" s="26"/>
      <c r="AC107" s="31" t="s">
        <v>10</v>
      </c>
      <c r="AD107" s="29">
        <f>MIN(Decrypt24x3270[ECB])</f>
        <v>0.05</v>
      </c>
      <c r="AE107" s="29">
        <f>MIN(Decrypt24x3270[CBC])</f>
        <v>4.8000000000000001E-2</v>
      </c>
      <c r="AF107" s="29">
        <f>MIN(Decrypt24x3270[OFB])</f>
        <v>4.9000000000000002E-2</v>
      </c>
      <c r="AG107" s="29">
        <f>MIN(Decrypt24x3270[CFB])</f>
        <v>4.9000000000000002E-2</v>
      </c>
      <c r="AH107" s="29">
        <f>MIN(Decrypt24x3270[CTR])</f>
        <v>4.9000000000000002E-2</v>
      </c>
      <c r="AI107" s="26"/>
      <c r="AJ107" s="31" t="s">
        <v>10</v>
      </c>
      <c r="AK107" s="29">
        <f>MIN(Decrypt32x3271[ECB])</f>
        <v>5.0999999999999997E-2</v>
      </c>
      <c r="AL107" s="29">
        <f>MIN(Decrypt32x3271[CBC])</f>
        <v>4.9000000000000002E-2</v>
      </c>
      <c r="AM107" s="29">
        <f>MIN(Decrypt32x3271[OFB])</f>
        <v>4.9000000000000002E-2</v>
      </c>
      <c r="AN107" s="29">
        <f>MIN(Decrypt32x3271[CFB])</f>
        <v>4.9000000000000002E-2</v>
      </c>
      <c r="AO107" s="29">
        <f>MIN(Decrypt32x3271[CTR])</f>
        <v>4.9000000000000002E-2</v>
      </c>
    </row>
    <row r="108" spans="1:41">
      <c r="A108" s="28" t="s">
        <v>11</v>
      </c>
      <c r="B108" s="29">
        <f>MAX(Encrypt16x3266[ECB])</f>
        <v>10.746</v>
      </c>
      <c r="C108" s="29">
        <f>MAX(Encrypt16x3266[CBC])</f>
        <v>2.2395000000000002E-2</v>
      </c>
      <c r="D108" s="29">
        <f>MAX(Encrypt16x3266[OFB])</f>
        <v>1.1805E-2</v>
      </c>
      <c r="E108" s="29">
        <f>MAX(Encrypt16x3266[CFB])</f>
        <v>1.3969000000000001E-2</v>
      </c>
      <c r="F108" s="29">
        <f>MAX(Encrypt16x3266[CTR])</f>
        <v>1.7649000000000001E-2</v>
      </c>
      <c r="G108" s="26"/>
      <c r="H108" s="32" t="s">
        <v>11</v>
      </c>
      <c r="I108" s="29">
        <f>MAX(Encrypt24x3267[ECB])</f>
        <v>9.6959999999999997</v>
      </c>
      <c r="J108" s="29">
        <f>MAX(Encrypt24x3267[CBC])</f>
        <v>8.4080000000000005E-3</v>
      </c>
      <c r="K108" s="29">
        <f>MAX(Encrypt24x3267[OFB])</f>
        <v>1.1906999999999999E-2</v>
      </c>
      <c r="L108" s="29">
        <f>MAX(Encrypt24x3267[CFB])</f>
        <v>1.761E-3</v>
      </c>
      <c r="M108" s="29">
        <f>MAX(Encrypt24x3267[CTR])</f>
        <v>8.2030000000000002E-3</v>
      </c>
      <c r="N108" s="26"/>
      <c r="O108" s="32" t="s">
        <v>11</v>
      </c>
      <c r="P108" s="29">
        <f>MAX(Encrypt32x3268[ECB])</f>
        <v>9.9269999999999996</v>
      </c>
      <c r="Q108" s="29">
        <f>MAX(Encrypt32x3268[CBC])</f>
        <v>9.3390000000000001E-3</v>
      </c>
      <c r="R108" s="29">
        <f>MAX(Encrypt32x3268[OFB])</f>
        <v>5.3689999999999996E-3</v>
      </c>
      <c r="S108" s="29">
        <f>MAX(Encrypt32x3268[CFB])</f>
        <v>9.8899999999999995E-3</v>
      </c>
      <c r="T108" s="29">
        <f>MAX(Encrypt32x3268[CTR])</f>
        <v>2.5111000000000001E-2</v>
      </c>
      <c r="U108" s="26"/>
      <c r="V108" s="28" t="s">
        <v>11</v>
      </c>
      <c r="W108" s="29">
        <f>MAX(Decrypt16x3269[ECB])</f>
        <v>13.09</v>
      </c>
      <c r="X108" s="29">
        <f>MAX(Decrypt16x3269[CBC])</f>
        <v>7.05</v>
      </c>
      <c r="Y108" s="29">
        <f>MAX(Decrypt16x3269[OFB])</f>
        <v>8.4480000000000004</v>
      </c>
      <c r="Z108" s="29">
        <f>MAX(Decrypt16x3269[CFB])</f>
        <v>8.8219999999999992</v>
      </c>
      <c r="AA108" s="29">
        <f>MAX(Decrypt16x3269[CTR])</f>
        <v>8.8089999999999993</v>
      </c>
      <c r="AB108" s="26"/>
      <c r="AC108" s="32" t="s">
        <v>11</v>
      </c>
      <c r="AD108" s="29">
        <f>MAX(Decrypt24x3270[ECB])</f>
        <v>8.3770000000000007</v>
      </c>
      <c r="AE108" s="29">
        <f>MAX(Decrypt24x3270[CBC])</f>
        <v>10.763</v>
      </c>
      <c r="AF108" s="29">
        <f>MAX(Decrypt24x3270[OFB])</f>
        <v>11.819000000000001</v>
      </c>
      <c r="AG108" s="29">
        <f>MAX(Decrypt24x3270[CFB])</f>
        <v>0.52800000000000002</v>
      </c>
      <c r="AH108" s="29">
        <f>MAX(Decrypt24x3270[CTR])</f>
        <v>14.12</v>
      </c>
      <c r="AI108" s="26"/>
      <c r="AJ108" s="32" t="s">
        <v>11</v>
      </c>
      <c r="AK108" s="29">
        <f>MAX(Decrypt32x3271[ECB])</f>
        <v>9.6069999999999993</v>
      </c>
      <c r="AL108" s="29">
        <f>MAX(Decrypt32x3271[CBC])</f>
        <v>9.6859999999999999</v>
      </c>
      <c r="AM108" s="29">
        <f>MAX(Decrypt32x3271[OFB])</f>
        <v>11.724</v>
      </c>
      <c r="AN108" s="29">
        <f>MAX(Decrypt32x3271[CFB])</f>
        <v>8.4440000000000008</v>
      </c>
      <c r="AO108" s="29">
        <f>MAX(Decrypt32x3271[CTR])</f>
        <v>9.5109999999999992</v>
      </c>
    </row>
    <row r="109" spans="1:41">
      <c r="A109" s="33" t="s">
        <v>9</v>
      </c>
      <c r="B109" s="29">
        <f>MEDIAN(Encrypt16x3266[ECB])</f>
        <v>6.3E-2</v>
      </c>
      <c r="C109" s="29">
        <f>MEDIAN(Encrypt16x3266[CBC])</f>
        <v>6.2000000000000003E-5</v>
      </c>
      <c r="D109" s="29">
        <f>MEDIAN(Encrypt16x3266[OFB])</f>
        <v>6.0000000000000002E-5</v>
      </c>
      <c r="E109" s="29">
        <f>MEDIAN(Encrypt16x3266[CFB])</f>
        <v>5.8999999999999998E-5</v>
      </c>
      <c r="F109" s="29">
        <f>MEDIAN(Encrypt16x3266[CTR])</f>
        <v>6.0000000000000002E-5</v>
      </c>
      <c r="G109" s="26"/>
      <c r="H109" s="34" t="s">
        <v>9</v>
      </c>
      <c r="I109" s="29">
        <f>MEDIAN(Encrypt24x3267[ECB])</f>
        <v>7.3499999999999996E-2</v>
      </c>
      <c r="J109" s="29">
        <f>MEDIAN(Encrypt24x3267[CBC])</f>
        <v>7.5000000000000007E-5</v>
      </c>
      <c r="K109" s="29">
        <f>MEDIAN(Encrypt24x3267[OFB])</f>
        <v>7.400000000000001E-5</v>
      </c>
      <c r="L109" s="29">
        <f>MEDIAN(Encrypt24x3267[CFB])</f>
        <v>6.3E-5</v>
      </c>
      <c r="M109" s="29">
        <f>MEDIAN(Encrypt24x3267[CTR])</f>
        <v>7.2000000000000002E-5</v>
      </c>
      <c r="N109" s="26"/>
      <c r="O109" s="34" t="s">
        <v>9</v>
      </c>
      <c r="P109" s="29">
        <f>MEDIAN(Encrypt32x3268[ECB])</f>
        <v>6.3E-2</v>
      </c>
      <c r="Q109" s="29">
        <f>MEDIAN(Encrypt32x3268[CBC])</f>
        <v>6.3E-5</v>
      </c>
      <c r="R109" s="29">
        <f>MEDIAN(Encrypt32x3268[OFB])</f>
        <v>6.0999999999999999E-5</v>
      </c>
      <c r="S109" s="29">
        <f>MEDIAN(Encrypt32x3268[CFB])</f>
        <v>6.0000000000000002E-5</v>
      </c>
      <c r="T109" s="29">
        <f>MEDIAN(Encrypt32x3268[CTR])</f>
        <v>5.8999999999999998E-5</v>
      </c>
      <c r="U109" s="26"/>
      <c r="V109" s="33" t="s">
        <v>9</v>
      </c>
      <c r="W109" s="29">
        <f>MEDIAN(Decrypt16x3269[ECB])</f>
        <v>5.8999999999999997E-2</v>
      </c>
      <c r="X109" s="29">
        <f>MEDIAN(Decrypt16x3269[CBC])</f>
        <v>5.7500000000000002E-2</v>
      </c>
      <c r="Y109" s="29">
        <f>MEDIAN(Decrypt16x3269[OFB])</f>
        <v>6.2E-2</v>
      </c>
      <c r="Z109" s="29">
        <f>MEDIAN(Decrypt16x3269[CFB])</f>
        <v>5.7000000000000002E-2</v>
      </c>
      <c r="AA109" s="29">
        <f>MEDIAN(Decrypt16x3269[CTR])</f>
        <v>5.7500000000000002E-2</v>
      </c>
      <c r="AB109" s="26"/>
      <c r="AC109" s="34" t="s">
        <v>9</v>
      </c>
      <c r="AD109" s="29">
        <f>MEDIAN(Decrypt24x3270[ECB])</f>
        <v>5.5E-2</v>
      </c>
      <c r="AE109" s="29">
        <f>MEDIAN(Decrypt24x3270[CBC])</f>
        <v>5.3999999999999999E-2</v>
      </c>
      <c r="AF109" s="29">
        <f>MEDIAN(Decrypt24x3270[OFB])</f>
        <v>5.3999999999999999E-2</v>
      </c>
      <c r="AG109" s="29">
        <f>MEDIAN(Decrypt24x3270[CFB])</f>
        <v>5.2999999999999999E-2</v>
      </c>
      <c r="AH109" s="29">
        <f>MEDIAN(Decrypt24x3270[CTR])</f>
        <v>5.3999999999999999E-2</v>
      </c>
      <c r="AI109" s="26"/>
      <c r="AJ109" s="34" t="s">
        <v>9</v>
      </c>
      <c r="AK109" s="29">
        <f>MEDIAN(Decrypt32x3271[ECB])</f>
        <v>5.6000000000000001E-2</v>
      </c>
      <c r="AL109" s="29">
        <f>MEDIAN(Decrypt32x3271[CBC])</f>
        <v>5.3999999999999999E-2</v>
      </c>
      <c r="AM109" s="29">
        <f>MEDIAN(Decrypt32x3271[OFB])</f>
        <v>5.45E-2</v>
      </c>
      <c r="AN109" s="29">
        <f>MEDIAN(Decrypt32x3271[CFB])</f>
        <v>5.1999999999999998E-2</v>
      </c>
      <c r="AO109" s="29">
        <f>MEDIAN(Decrypt32x3271[CTR])</f>
        <v>5.5E-2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Roll Up Tables</vt:lpstr>
      <vt:lpstr>Encryption Summary Table</vt:lpstr>
      <vt:lpstr>Decryption Summary Table</vt:lpstr>
      <vt:lpstr>Input Size per Mode</vt:lpstr>
      <vt:lpstr>Key Size per Mode</vt:lpstr>
      <vt:lpstr>Key Size per Input Size</vt:lpstr>
      <vt:lpstr>1M_File</vt:lpstr>
      <vt:lpstr>5M_File</vt:lpstr>
      <vt:lpstr>10M_File</vt:lpstr>
      <vt:lpstr>256M_File</vt:lpstr>
      <vt:lpstr>File_Sizes</vt:lpstr>
      <vt:lpstr>HIDDEN</vt:lpstr>
      <vt:lpstr>Sheet2</vt:lpstr>
      <vt:lpstr>16B_File (2)</vt:lpstr>
      <vt:lpstr>32B_File (2)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2013-08-15T20:57:26Z</dcterms:modified>
</cp:coreProperties>
</file>